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40" yWindow="75" windowWidth="17235" windowHeight="8955" activeTab="3"/>
  </bookViews>
  <sheets>
    <sheet name="Wang&amp;Chung2008CES" sheetId="1" r:id="rId1"/>
    <sheet name="Yao2016(preparing)" sheetId="2" r:id="rId2"/>
    <sheet name="ExpData160515" sheetId="3" r:id="rId3"/>
    <sheet name="ExpData161130" sheetId="6" r:id="rId4"/>
    <sheet name="SimRecords" sheetId="4" r:id="rId5"/>
    <sheet name="Origin exporter" sheetId="5" r:id="rId6"/>
  </sheets>
  <externalReferences>
    <externalReference r:id="rId7"/>
    <externalReference r:id="rId8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AP37" i="2"/>
  <c r="AO37"/>
  <c r="AN37"/>
  <c r="AM37"/>
  <c r="AP36"/>
  <c r="AO36"/>
  <c r="AN36"/>
  <c r="AM36"/>
  <c r="AP35"/>
  <c r="AO35"/>
  <c r="AN35"/>
  <c r="AM35"/>
  <c r="AP33"/>
  <c r="AO33"/>
  <c r="AN33"/>
  <c r="AM33"/>
  <c r="AP30"/>
  <c r="AO30"/>
  <c r="AN30"/>
  <c r="AM30"/>
  <c r="AP24"/>
  <c r="AP27" s="1"/>
  <c r="AP32" s="1"/>
  <c r="AO24"/>
  <c r="AO27" s="1"/>
  <c r="AO32" s="1"/>
  <c r="AN24"/>
  <c r="AN27" s="1"/>
  <c r="AN32" s="1"/>
  <c r="AM24"/>
  <c r="AM27" s="1"/>
  <c r="AM32" s="1"/>
  <c r="AP23"/>
  <c r="AP26" s="1"/>
  <c r="AP29" s="1"/>
  <c r="AO23"/>
  <c r="AO26" s="1"/>
  <c r="AO29" s="1"/>
  <c r="AN23"/>
  <c r="AN26" s="1"/>
  <c r="AN29" s="1"/>
  <c r="AM23"/>
  <c r="AM26" s="1"/>
  <c r="AM29" s="1"/>
  <c r="S23" i="6" a="1"/>
  <c r="U23" s="1"/>
  <c r="AD35" l="1"/>
  <c r="Z35"/>
  <c r="V35"/>
  <c r="AE34"/>
  <c r="AA34"/>
  <c r="W34"/>
  <c r="S34"/>
  <c r="AB33"/>
  <c r="X33"/>
  <c r="T33"/>
  <c r="AC32"/>
  <c r="Y32"/>
  <c r="U32"/>
  <c r="AD31"/>
  <c r="Z31"/>
  <c r="V31"/>
  <c r="AE30"/>
  <c r="AA30"/>
  <c r="W30"/>
  <c r="S30"/>
  <c r="AB29"/>
  <c r="X29"/>
  <c r="T29"/>
  <c r="AC28"/>
  <c r="Y28"/>
  <c r="U28"/>
  <c r="AD27"/>
  <c r="Z27"/>
  <c r="V27"/>
  <c r="AE26"/>
  <c r="AA26"/>
  <c r="W26"/>
  <c r="S26"/>
  <c r="AB25"/>
  <c r="X25"/>
  <c r="T25"/>
  <c r="AC24"/>
  <c r="Y24"/>
  <c r="U24"/>
  <c r="AD23"/>
  <c r="Z23"/>
  <c r="V23"/>
  <c r="AE35"/>
  <c r="AA35"/>
  <c r="W35"/>
  <c r="S35"/>
  <c r="AB34"/>
  <c r="X34"/>
  <c r="T34"/>
  <c r="AC33"/>
  <c r="Y33"/>
  <c r="U33"/>
  <c r="AD32"/>
  <c r="Z32"/>
  <c r="V32"/>
  <c r="AE31"/>
  <c r="AA31"/>
  <c r="W31"/>
  <c r="S31"/>
  <c r="AB30"/>
  <c r="X30"/>
  <c r="T30"/>
  <c r="AC29"/>
  <c r="Y29"/>
  <c r="U29"/>
  <c r="AD28"/>
  <c r="Z28"/>
  <c r="V28"/>
  <c r="AE27"/>
  <c r="AA27"/>
  <c r="W27"/>
  <c r="S27"/>
  <c r="AB26"/>
  <c r="X26"/>
  <c r="T26"/>
  <c r="AC25"/>
  <c r="Y25"/>
  <c r="U25"/>
  <c r="AD24"/>
  <c r="Z24"/>
  <c r="V24"/>
  <c r="AE23"/>
  <c r="AA23"/>
  <c r="W23"/>
  <c r="S23"/>
  <c r="AB35"/>
  <c r="X35"/>
  <c r="T35"/>
  <c r="AC34"/>
  <c r="Y34"/>
  <c r="U34"/>
  <c r="AD33"/>
  <c r="Z33"/>
  <c r="V33"/>
  <c r="AE32"/>
  <c r="AA32"/>
  <c r="W32"/>
  <c r="S32"/>
  <c r="AB31"/>
  <c r="X31"/>
  <c r="T31"/>
  <c r="AC30"/>
  <c r="Y30"/>
  <c r="U30"/>
  <c r="AD29"/>
  <c r="Z29"/>
  <c r="V29"/>
  <c r="AE28"/>
  <c r="AA28"/>
  <c r="W28"/>
  <c r="S28"/>
  <c r="AB27"/>
  <c r="X27"/>
  <c r="T27"/>
  <c r="AC26"/>
  <c r="Y26"/>
  <c r="U26"/>
  <c r="AD25"/>
  <c r="Z25"/>
  <c r="V25"/>
  <c r="AE24"/>
  <c r="AA24"/>
  <c r="W24"/>
  <c r="S24"/>
  <c r="AB23"/>
  <c r="X23"/>
  <c r="T23"/>
  <c r="AC35"/>
  <c r="Y35"/>
  <c r="U35"/>
  <c r="AD34"/>
  <c r="Z34"/>
  <c r="V34"/>
  <c r="AE33"/>
  <c r="AA33"/>
  <c r="W33"/>
  <c r="S33"/>
  <c r="AB32"/>
  <c r="X32"/>
  <c r="T32"/>
  <c r="AC31"/>
  <c r="Y31"/>
  <c r="U31"/>
  <c r="AD30"/>
  <c r="Z30"/>
  <c r="V30"/>
  <c r="AE29"/>
  <c r="AA29"/>
  <c r="W29"/>
  <c r="S29"/>
  <c r="AB28"/>
  <c r="X28"/>
  <c r="T28"/>
  <c r="AC27"/>
  <c r="Y27"/>
  <c r="U27"/>
  <c r="AD26"/>
  <c r="Z26"/>
  <c r="V26"/>
  <c r="AE25"/>
  <c r="AA25"/>
  <c r="W25"/>
  <c r="S25"/>
  <c r="AB24"/>
  <c r="X24"/>
  <c r="T24"/>
  <c r="AC23"/>
  <c r="Y23"/>
  <c r="AK27" i="2"/>
  <c r="AK32" s="1"/>
  <c r="AK37"/>
  <c r="AJ37"/>
  <c r="AI37"/>
  <c r="AH37"/>
  <c r="AG37"/>
  <c r="AK36"/>
  <c r="AJ36"/>
  <c r="AI36"/>
  <c r="AH36"/>
  <c r="AG36"/>
  <c r="AK35"/>
  <c r="AJ35"/>
  <c r="AI35"/>
  <c r="AH35"/>
  <c r="AG35"/>
  <c r="AK33"/>
  <c r="AJ33"/>
  <c r="AI33"/>
  <c r="AH33"/>
  <c r="AG33"/>
  <c r="AK30"/>
  <c r="AJ30"/>
  <c r="AI30"/>
  <c r="AH30"/>
  <c r="AG30"/>
  <c r="AG24"/>
  <c r="AG27" s="1"/>
  <c r="AG32" s="1"/>
  <c r="AH24"/>
  <c r="AH27" s="1"/>
  <c r="AH32" s="1"/>
  <c r="AI24"/>
  <c r="AI27" s="1"/>
  <c r="AI32" s="1"/>
  <c r="AJ24"/>
  <c r="AJ27" s="1"/>
  <c r="AJ32" s="1"/>
  <c r="AK24"/>
  <c r="AH23"/>
  <c r="AH26" s="1"/>
  <c r="AH29" s="1"/>
  <c r="AI23"/>
  <c r="AI26" s="1"/>
  <c r="AI29" s="1"/>
  <c r="AJ23"/>
  <c r="AJ26" s="1"/>
  <c r="AJ29" s="1"/>
  <c r="AK23"/>
  <c r="AK26" s="1"/>
  <c r="AK29" s="1"/>
  <c r="AG23"/>
  <c r="AG26" s="1"/>
  <c r="AG29" s="1"/>
  <c r="U18" i="6" a="1"/>
  <c r="W18" s="1"/>
  <c r="X18"/>
  <c r="U17" a="1"/>
  <c r="W17" s="1"/>
  <c r="X17"/>
  <c r="U16" a="1"/>
  <c r="W16" s="1"/>
  <c r="U11" a="1"/>
  <c r="W11" s="1"/>
  <c r="C13"/>
  <c r="D13"/>
  <c r="E13"/>
  <c r="F13"/>
  <c r="G13"/>
  <c r="H13"/>
  <c r="I13"/>
  <c r="J13"/>
  <c r="K13"/>
  <c r="L13"/>
  <c r="O19"/>
  <c r="O18"/>
  <c r="O17"/>
  <c r="O16"/>
  <c r="O15"/>
  <c r="B13"/>
  <c r="A13"/>
  <c r="L12"/>
  <c r="K12"/>
  <c r="J12"/>
  <c r="I12"/>
  <c r="H12"/>
  <c r="G12"/>
  <c r="F12"/>
  <c r="E12"/>
  <c r="D12"/>
  <c r="C12"/>
  <c r="B12"/>
  <c r="A12"/>
  <c r="L11"/>
  <c r="K11"/>
  <c r="J11"/>
  <c r="I11"/>
  <c r="H11"/>
  <c r="G11"/>
  <c r="F11"/>
  <c r="E11"/>
  <c r="D11"/>
  <c r="C11"/>
  <c r="B11"/>
  <c r="A11"/>
  <c r="L10"/>
  <c r="K10"/>
  <c r="J10"/>
  <c r="I10"/>
  <c r="H10"/>
  <c r="G10"/>
  <c r="F10"/>
  <c r="E10"/>
  <c r="D10"/>
  <c r="C10"/>
  <c r="B10"/>
  <c r="A10"/>
  <c r="L9"/>
  <c r="K9"/>
  <c r="J9"/>
  <c r="I9"/>
  <c r="H9"/>
  <c r="G9"/>
  <c r="F9"/>
  <c r="E9"/>
  <c r="D9"/>
  <c r="C9"/>
  <c r="B9"/>
  <c r="A9"/>
  <c r="L7"/>
  <c r="K7"/>
  <c r="J7"/>
  <c r="I7"/>
  <c r="H7"/>
  <c r="G7"/>
  <c r="F7"/>
  <c r="E7"/>
  <c r="D7"/>
  <c r="C7"/>
  <c r="B7"/>
  <c r="A7"/>
  <c r="L6"/>
  <c r="K6"/>
  <c r="J6"/>
  <c r="I6"/>
  <c r="H6"/>
  <c r="G6"/>
  <c r="F6"/>
  <c r="E6"/>
  <c r="D6"/>
  <c r="C6"/>
  <c r="B6"/>
  <c r="A6"/>
  <c r="L5"/>
  <c r="K5"/>
  <c r="M5" s="1"/>
  <c r="J5"/>
  <c r="I5"/>
  <c r="H5"/>
  <c r="G5"/>
  <c r="F5"/>
  <c r="E5"/>
  <c r="D5"/>
  <c r="C5"/>
  <c r="B5"/>
  <c r="A5"/>
  <c r="L4"/>
  <c r="K4"/>
  <c r="M4" s="1"/>
  <c r="J4"/>
  <c r="I4"/>
  <c r="H4"/>
  <c r="G4"/>
  <c r="F4"/>
  <c r="E4"/>
  <c r="D4"/>
  <c r="C4"/>
  <c r="B4"/>
  <c r="A4"/>
  <c r="L3"/>
  <c r="K3"/>
  <c r="M3" s="1"/>
  <c r="J3"/>
  <c r="I3"/>
  <c r="H3"/>
  <c r="G3"/>
  <c r="U14" s="1" a="1"/>
  <c r="F3"/>
  <c r="E3"/>
  <c r="U4" s="1" a="1"/>
  <c r="D3"/>
  <c r="U1" s="1" a="1"/>
  <c r="C3"/>
  <c r="B3"/>
  <c r="A3"/>
  <c r="Y18" l="1"/>
  <c r="U18"/>
  <c r="V18"/>
  <c r="Y17"/>
  <c r="U17"/>
  <c r="V17"/>
  <c r="X16"/>
  <c r="Y16"/>
  <c r="U16"/>
  <c r="V16"/>
  <c r="W4"/>
  <c r="X4"/>
  <c r="W5"/>
  <c r="W1"/>
  <c r="X1"/>
  <c r="Y1"/>
  <c r="W14"/>
  <c r="X14"/>
  <c r="M13"/>
  <c r="O13" s="1"/>
  <c r="N10"/>
  <c r="N9"/>
  <c r="N13"/>
  <c r="N4"/>
  <c r="N5"/>
  <c r="M7"/>
  <c r="O7" s="1"/>
  <c r="M9"/>
  <c r="O9" s="1"/>
  <c r="M10"/>
  <c r="O10" s="1"/>
  <c r="M12"/>
  <c r="O12" s="1"/>
  <c r="X11"/>
  <c r="Y11"/>
  <c r="U11"/>
  <c r="V11"/>
  <c r="Y14"/>
  <c r="U14"/>
  <c r="V14"/>
  <c r="X5"/>
  <c r="Y4"/>
  <c r="U4"/>
  <c r="Y5"/>
  <c r="U5"/>
  <c r="V4"/>
  <c r="V5"/>
  <c r="U1"/>
  <c r="V1"/>
  <c r="N12"/>
  <c r="M11"/>
  <c r="O11" s="1"/>
  <c r="M6"/>
  <c r="O6" s="1"/>
  <c r="N7"/>
  <c r="N3"/>
  <c r="O4"/>
  <c r="O5"/>
  <c r="N6"/>
  <c r="N11"/>
  <c r="O3" l="1"/>
  <c r="B30" i="4" l="1"/>
  <c r="D30"/>
  <c r="C30"/>
  <c r="B19"/>
  <c r="B21"/>
  <c r="X59" i="2"/>
  <c r="U7" i="5" s="1"/>
  <c r="C19" i="4"/>
  <c r="C21"/>
  <c r="E19"/>
  <c r="D19"/>
  <c r="C2" i="5"/>
  <c r="C4"/>
  <c r="C6"/>
  <c r="C3"/>
  <c r="D3"/>
  <c r="E3"/>
  <c r="F3"/>
  <c r="G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C5"/>
  <c r="D5"/>
  <c r="E5"/>
  <c r="F5"/>
  <c r="G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C7"/>
  <c r="W7"/>
  <c r="Y7"/>
  <c r="Z7"/>
  <c r="AD59" i="2"/>
  <c r="AE59"/>
  <c r="AA7" i="5" s="1"/>
  <c r="AC59" i="2"/>
  <c r="AB59"/>
  <c r="X7" i="5" s="1"/>
  <c r="AA59" i="2"/>
  <c r="AB45"/>
  <c r="AD45"/>
  <c r="AB41"/>
  <c r="AA45"/>
  <c r="AA41"/>
  <c r="AE27"/>
  <c r="AE45" s="1"/>
  <c r="AD27"/>
  <c r="AC27"/>
  <c r="AC45" s="1"/>
  <c r="AB27"/>
  <c r="AA27"/>
  <c r="AE26"/>
  <c r="AE41" s="1"/>
  <c r="AD26"/>
  <c r="AD41" s="1"/>
  <c r="AC26"/>
  <c r="AC41" s="1"/>
  <c r="AB26"/>
  <c r="AA26"/>
  <c r="AA38"/>
  <c r="A36" i="3"/>
  <c r="B36"/>
  <c r="C36"/>
  <c r="D36"/>
  <c r="E36"/>
  <c r="F36"/>
  <c r="G36"/>
  <c r="H36"/>
  <c r="I36"/>
  <c r="J36"/>
  <c r="A37"/>
  <c r="B37"/>
  <c r="C37"/>
  <c r="D37"/>
  <c r="E37"/>
  <c r="F37"/>
  <c r="G37"/>
  <c r="H37"/>
  <c r="I37"/>
  <c r="J37"/>
  <c r="A38"/>
  <c r="B38"/>
  <c r="C38"/>
  <c r="D38"/>
  <c r="E38"/>
  <c r="F38"/>
  <c r="G38"/>
  <c r="H38"/>
  <c r="I38"/>
  <c r="J38"/>
  <c r="A39"/>
  <c r="B39"/>
  <c r="C39"/>
  <c r="D39"/>
  <c r="E39"/>
  <c r="F39"/>
  <c r="G39"/>
  <c r="H39"/>
  <c r="I39"/>
  <c r="J39"/>
  <c r="A40"/>
  <c r="B40"/>
  <c r="C40"/>
  <c r="D40"/>
  <c r="E40"/>
  <c r="F40"/>
  <c r="G40"/>
  <c r="H40"/>
  <c r="I40"/>
  <c r="J40"/>
  <c r="AL2" l="1" a="1"/>
  <c r="AN2" s="1"/>
  <c r="AP4" l="1"/>
  <c r="AP21" s="1"/>
  <c r="AE35" i="2" s="1"/>
  <c r="AE43" s="1"/>
  <c r="AL8" i="3"/>
  <c r="AL15" s="1"/>
  <c r="AA29" i="2" s="1"/>
  <c r="AM11" i="3"/>
  <c r="AB21" i="2" s="1"/>
  <c r="AB20" s="1"/>
  <c r="AO8" i="3"/>
  <c r="AO15" s="1"/>
  <c r="AD29" i="2" s="1"/>
  <c r="AP2" i="3"/>
  <c r="AL6"/>
  <c r="AL22" s="1"/>
  <c r="AA36" i="2" s="1"/>
  <c r="AA47" s="1"/>
  <c r="AP10" i="3"/>
  <c r="AP23" s="1"/>
  <c r="AE37" i="2" s="1"/>
  <c r="AE48" s="1"/>
  <c r="AM8" i="3"/>
  <c r="AM15" s="1"/>
  <c r="AB29" i="2" s="1"/>
  <c r="AP3" i="3"/>
  <c r="AP16" s="1"/>
  <c r="AE30" i="2" s="1"/>
  <c r="AE42" s="1"/>
  <c r="AN9" i="3"/>
  <c r="AN18" s="1"/>
  <c r="AC32" i="2" s="1"/>
  <c r="AO11" i="3"/>
  <c r="AD21" i="2" s="1"/>
  <c r="AD20" s="1"/>
  <c r="AN7" i="3"/>
  <c r="AL4"/>
  <c r="AL21" s="1"/>
  <c r="AA35" i="2" s="1"/>
  <c r="AA43" s="1"/>
  <c r="AN10" i="3"/>
  <c r="AN23" s="1"/>
  <c r="AC37" i="2" s="1"/>
  <c r="AC48" s="1"/>
  <c r="AL2" i="3"/>
  <c r="AM9"/>
  <c r="AM18" s="1"/>
  <c r="AB32" i="2" s="1"/>
  <c r="AM2" i="3"/>
  <c r="AL10"/>
  <c r="AL23" s="1"/>
  <c r="AA37" i="2" s="1"/>
  <c r="AA48" s="1"/>
  <c r="B31" i="4" s="1"/>
  <c r="B32" s="1"/>
  <c r="AO5" i="3"/>
  <c r="AO19" s="1"/>
  <c r="AD33" i="2" s="1"/>
  <c r="AD46" s="1"/>
  <c r="AP8" i="3"/>
  <c r="AP15" s="1"/>
  <c r="AE29" i="2" s="1"/>
  <c r="AL3" i="3"/>
  <c r="AL16" s="1"/>
  <c r="AA30" i="2" s="1"/>
  <c r="AA42" s="1"/>
  <c r="AM10" i="3"/>
  <c r="AM23" s="1"/>
  <c r="AB37" i="2" s="1"/>
  <c r="AB48" s="1"/>
  <c r="AO3" i="3"/>
  <c r="AO16" s="1"/>
  <c r="AD30" i="2" s="1"/>
  <c r="AD42" s="1"/>
  <c r="AO7" i="3"/>
  <c r="AN3"/>
  <c r="AN16" s="1"/>
  <c r="AC30" i="2" s="1"/>
  <c r="AC42" s="1"/>
  <c r="AP9" i="3"/>
  <c r="AP18" s="1"/>
  <c r="AE32" i="2" s="1"/>
  <c r="AO4" i="3"/>
  <c r="AO21" s="1"/>
  <c r="AD35" i="2" s="1"/>
  <c r="AD43" s="1"/>
  <c r="AP11" i="3"/>
  <c r="AE21" i="2" s="1"/>
  <c r="AE20" s="1"/>
  <c r="AO2" i="3"/>
  <c r="AL9"/>
  <c r="AL18" s="1"/>
  <c r="AA32" i="2" s="1"/>
  <c r="AM7" i="3"/>
  <c r="AL7"/>
  <c r="AM5"/>
  <c r="AM19" s="1"/>
  <c r="AB33" i="2" s="1"/>
  <c r="AB46" s="1"/>
  <c r="AO6" i="3"/>
  <c r="AO22" s="1"/>
  <c r="AD36" i="2" s="1"/>
  <c r="AD47" s="1"/>
  <c r="AP7" i="3"/>
  <c r="AP5"/>
  <c r="AP19" s="1"/>
  <c r="AE33" i="2" s="1"/>
  <c r="AE46" s="1"/>
  <c r="AM3" i="3"/>
  <c r="AM16" s="1"/>
  <c r="AB30" i="2" s="1"/>
  <c r="AB42" s="1"/>
  <c r="AN6" i="3"/>
  <c r="AN22" s="1"/>
  <c r="AC36" i="2" s="1"/>
  <c r="AC47" s="1"/>
  <c r="AO9" i="3"/>
  <c r="AO18" s="1"/>
  <c r="AD32" i="2" s="1"/>
  <c r="AN5" i="3"/>
  <c r="AN19" s="1"/>
  <c r="AC33" i="2" s="1"/>
  <c r="AC46" s="1"/>
  <c r="AL11" i="3"/>
  <c r="AA21" i="2" s="1"/>
  <c r="AA20" s="1"/>
  <c r="AN4" i="3"/>
  <c r="AN21" s="1"/>
  <c r="AC35" i="2" s="1"/>
  <c r="AC43" s="1"/>
  <c r="AN8" i="3"/>
  <c r="AN15" s="1"/>
  <c r="AC29" i="2" s="1"/>
  <c r="AL5" i="3"/>
  <c r="AL19" s="1"/>
  <c r="AA33" i="2" s="1"/>
  <c r="AA46" s="1"/>
  <c r="AN11" i="3"/>
  <c r="AC21" i="2" s="1"/>
  <c r="AC20" s="1"/>
  <c r="AM6" i="3"/>
  <c r="AM22" s="1"/>
  <c r="AB36" i="2" s="1"/>
  <c r="AB47" s="1"/>
  <c r="AP6" i="3"/>
  <c r="AP22" s="1"/>
  <c r="AE36" i="2" s="1"/>
  <c r="AE47" s="1"/>
  <c r="AM4" i="3"/>
  <c r="AM21" s="1"/>
  <c r="AB35" i="2" s="1"/>
  <c r="AB43" s="1"/>
  <c r="AO10" i="3"/>
  <c r="AO23" s="1"/>
  <c r="AD37" i="2" s="1"/>
  <c r="AD48" s="1"/>
  <c r="Y59"/>
  <c r="V7" i="5" s="1"/>
  <c r="V59" i="2"/>
  <c r="T7" i="5" s="1"/>
  <c r="U59" i="2"/>
  <c r="S7" i="5" s="1"/>
  <c r="S59" i="2"/>
  <c r="R7" i="5" s="1"/>
  <c r="R59" i="2"/>
  <c r="Q7" i="5" s="1"/>
  <c r="AA60" i="2" l="1"/>
  <c r="W2" i="5"/>
  <c r="AE60" i="2"/>
  <c r="AA2" i="5"/>
  <c r="Y2"/>
  <c r="AC60" i="2"/>
  <c r="AD61"/>
  <c r="Z4" i="5"/>
  <c r="AB62" i="2"/>
  <c r="X6" i="5"/>
  <c r="AC62" i="2"/>
  <c r="Y6" i="5"/>
  <c r="AE61" i="2"/>
  <c r="AA4" i="5"/>
  <c r="AD60" i="2"/>
  <c r="AD63" s="1"/>
  <c r="Z2" i="5"/>
  <c r="AA6"/>
  <c r="AE62" i="2"/>
  <c r="Z6" i="5"/>
  <c r="AD62" i="2"/>
  <c r="X4" i="5"/>
  <c r="AB61" i="2"/>
  <c r="AC61"/>
  <c r="Y4" i="5"/>
  <c r="W6"/>
  <c r="AA62" i="2"/>
  <c r="AA61"/>
  <c r="W4" i="5"/>
  <c r="X2"/>
  <c r="AB60" i="2"/>
  <c r="Q59"/>
  <c r="P7" i="5" s="1"/>
  <c r="P59" i="2"/>
  <c r="O7" i="5" s="1"/>
  <c r="N59" i="2"/>
  <c r="N7" i="5" s="1"/>
  <c r="M59" i="2"/>
  <c r="M7" i="5" s="1"/>
  <c r="L59" i="2"/>
  <c r="L7" i="5" s="1"/>
  <c r="K59" i="2"/>
  <c r="K7" i="5" s="1"/>
  <c r="J59" i="2"/>
  <c r="J7" i="5" s="1"/>
  <c r="I59" i="2"/>
  <c r="I7" i="5" s="1"/>
  <c r="O31" i="3"/>
  <c r="P31"/>
  <c r="Q31"/>
  <c r="R31"/>
  <c r="S31"/>
  <c r="T31"/>
  <c r="P26" s="1"/>
  <c r="P24" s="1"/>
  <c r="E38" i="2" s="1"/>
  <c r="U31" i="3"/>
  <c r="U26" s="1"/>
  <c r="U24" s="1"/>
  <c r="J38" i="2" s="1"/>
  <c r="V31" i="3"/>
  <c r="W31"/>
  <c r="X31"/>
  <c r="Y31"/>
  <c r="Z31"/>
  <c r="AA31"/>
  <c r="AB31"/>
  <c r="AC31"/>
  <c r="AD31"/>
  <c r="AE31"/>
  <c r="AF31"/>
  <c r="AG31"/>
  <c r="AH31"/>
  <c r="AI31"/>
  <c r="AJ31"/>
  <c r="R26" s="1"/>
  <c r="R24" s="1"/>
  <c r="G38" i="2" s="1"/>
  <c r="N31" i="3"/>
  <c r="N26"/>
  <c r="N24" s="1"/>
  <c r="C38" i="2" s="1"/>
  <c r="AC26" i="3"/>
  <c r="AC24" s="1"/>
  <c r="R38" i="2" s="1"/>
  <c r="Y26" i="3"/>
  <c r="Y24" s="1"/>
  <c r="N38" i="2" s="1"/>
  <c r="AD26" i="3"/>
  <c r="AD24" s="1"/>
  <c r="S38" i="2" s="1"/>
  <c r="T26" i="3"/>
  <c r="T24" s="1"/>
  <c r="I38" i="2" s="1"/>
  <c r="V26" i="3"/>
  <c r="V24" s="1"/>
  <c r="K38" i="2" s="1"/>
  <c r="AJ26" i="3"/>
  <c r="AJ24" s="1"/>
  <c r="Y38" i="2" s="1"/>
  <c r="Y27"/>
  <c r="Y45" s="1"/>
  <c r="X27"/>
  <c r="X45" s="1"/>
  <c r="W27"/>
  <c r="W45" s="1"/>
  <c r="Y26"/>
  <c r="Y41" s="1"/>
  <c r="X26"/>
  <c r="X41" s="1"/>
  <c r="W26"/>
  <c r="W41" s="1"/>
  <c r="V27"/>
  <c r="V45" s="1"/>
  <c r="U27"/>
  <c r="U45" s="1"/>
  <c r="T27"/>
  <c r="T45" s="1"/>
  <c r="S27"/>
  <c r="S45" s="1"/>
  <c r="R27"/>
  <c r="R45" s="1"/>
  <c r="V26"/>
  <c r="V41" s="1"/>
  <c r="U26"/>
  <c r="U41" s="1"/>
  <c r="T26"/>
  <c r="T41" s="1"/>
  <c r="S26"/>
  <c r="S41" s="1"/>
  <c r="R26"/>
  <c r="R41" s="1"/>
  <c r="Q27"/>
  <c r="Q45" s="1"/>
  <c r="P27"/>
  <c r="P45" s="1"/>
  <c r="O27"/>
  <c r="O45" s="1"/>
  <c r="N27"/>
  <c r="N45" s="1"/>
  <c r="M27"/>
  <c r="M45" s="1"/>
  <c r="Q26"/>
  <c r="Q41" s="1"/>
  <c r="P26"/>
  <c r="P41" s="1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L41" s="1"/>
  <c r="K26"/>
  <c r="J26"/>
  <c r="J41" s="1"/>
  <c r="I26"/>
  <c r="I41" s="1"/>
  <c r="H26"/>
  <c r="H41" s="1"/>
  <c r="K41"/>
  <c r="D26"/>
  <c r="D41" s="1"/>
  <c r="E26"/>
  <c r="E41" s="1"/>
  <c r="F26"/>
  <c r="F41" s="1"/>
  <c r="G26"/>
  <c r="G41" s="1"/>
  <c r="D27"/>
  <c r="D45" s="1"/>
  <c r="E27"/>
  <c r="E45" s="1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B63" i="2" l="1"/>
  <c r="AE63"/>
  <c r="AA63"/>
  <c r="AC63"/>
  <c r="AH26" i="3"/>
  <c r="AH24" s="1"/>
  <c r="W38" i="2" s="1"/>
  <c r="Q26" i="3"/>
  <c r="Q24" s="1"/>
  <c r="F38" i="2" s="1"/>
  <c r="AG26" i="3"/>
  <c r="AG24" s="1"/>
  <c r="V38" i="2" s="1"/>
  <c r="O26" i="3"/>
  <c r="O24" s="1"/>
  <c r="D38" i="2" s="1"/>
  <c r="AI26" i="3"/>
  <c r="AI24" s="1"/>
  <c r="X38" i="2" s="1"/>
  <c r="X26" i="3"/>
  <c r="X24" s="1"/>
  <c r="M38" i="2" s="1"/>
  <c r="S26" i="3"/>
  <c r="S24" s="1"/>
  <c r="H38" i="2" s="1"/>
  <c r="AF26" i="3"/>
  <c r="AF24" s="1"/>
  <c r="U38" i="2" s="1"/>
  <c r="W26" i="3"/>
  <c r="W24" s="1"/>
  <c r="L38" i="2" s="1"/>
  <c r="Z26" i="3"/>
  <c r="Z24" s="1"/>
  <c r="O38" i="2" s="1"/>
  <c r="AB26" i="3"/>
  <c r="AB24" s="1"/>
  <c r="Q38" i="2" s="1"/>
  <c r="AA26" i="3"/>
  <c r="AA24" s="1"/>
  <c r="P38" i="2" s="1"/>
  <c r="AE26" i="3"/>
  <c r="AE24" s="1"/>
  <c r="T38" i="2" s="1"/>
  <c r="AC2" i="3" a="1"/>
  <c r="AE2" s="1"/>
  <c r="X2" a="1"/>
  <c r="X2" s="1"/>
  <c r="AH2" a="1"/>
  <c r="AJ2" s="1"/>
  <c r="S2" a="1"/>
  <c r="T6" s="1"/>
  <c r="T22" s="1"/>
  <c r="I36" i="2" s="1"/>
  <c r="I47" s="1"/>
  <c r="I61" l="1"/>
  <c r="I4" i="5"/>
  <c r="AH2" i="3"/>
  <c r="AJ3"/>
  <c r="AJ16" s="1"/>
  <c r="Y30" i="2" s="1"/>
  <c r="Y42" s="1"/>
  <c r="AI4" i="3"/>
  <c r="AI21" s="1"/>
  <c r="X35" i="2" s="1"/>
  <c r="X43" s="1"/>
  <c r="AH4" i="3"/>
  <c r="AH21" s="1"/>
  <c r="W35" i="2" s="1"/>
  <c r="W43" s="1"/>
  <c r="AJ8" i="3"/>
  <c r="AJ15" s="1"/>
  <c r="Y29" i="2" s="1"/>
  <c r="AE6" i="3"/>
  <c r="AE22" s="1"/>
  <c r="T36" i="2" s="1"/>
  <c r="T47" s="1"/>
  <c r="AJ5" i="3"/>
  <c r="AJ19" s="1"/>
  <c r="Y33" i="2" s="1"/>
  <c r="Y46" s="1"/>
  <c r="AC9" i="3"/>
  <c r="AC18" s="1"/>
  <c r="R32" i="2" s="1"/>
  <c r="AJ10" i="3"/>
  <c r="AJ23" s="1"/>
  <c r="Y37" i="2" s="1"/>
  <c r="Y48" s="1"/>
  <c r="AI6" i="3"/>
  <c r="AI22" s="1"/>
  <c r="X36" i="2" s="1"/>
  <c r="X47" s="1"/>
  <c r="AE9" i="3"/>
  <c r="AE18" s="1"/>
  <c r="T32" i="2" s="1"/>
  <c r="AJ6" i="3"/>
  <c r="AJ22" s="1"/>
  <c r="Y36" i="2" s="1"/>
  <c r="Y47" s="1"/>
  <c r="AI2" i="3"/>
  <c r="AJ4"/>
  <c r="AJ21" s="1"/>
  <c r="Y35" i="2" s="1"/>
  <c r="Y43" s="1"/>
  <c r="AC3" i="3"/>
  <c r="AC16" s="1"/>
  <c r="R30" i="2" s="1"/>
  <c r="R42" s="1"/>
  <c r="Z10" i="3"/>
  <c r="Z23" s="1"/>
  <c r="AI9"/>
  <c r="AI18" s="1"/>
  <c r="X32" i="2" s="1"/>
  <c r="AH7" i="3"/>
  <c r="AH9"/>
  <c r="AH18" s="1"/>
  <c r="W32" i="2" s="1"/>
  <c r="AH10" i="3"/>
  <c r="AH23" s="1"/>
  <c r="AF3"/>
  <c r="AF16" s="1"/>
  <c r="U30" i="2" s="1"/>
  <c r="U42" s="1"/>
  <c r="AF6" i="3"/>
  <c r="AF22" s="1"/>
  <c r="U36" i="2" s="1"/>
  <c r="U47" s="1"/>
  <c r="AD9" i="3"/>
  <c r="AD18" s="1"/>
  <c r="S32" i="2" s="1"/>
  <c r="AG3" i="3"/>
  <c r="AG16" s="1"/>
  <c r="V30" i="2" s="1"/>
  <c r="V42" s="1"/>
  <c r="X4" i="3"/>
  <c r="X21" s="1"/>
  <c r="M35" i="2" s="1"/>
  <c r="M43" s="1"/>
  <c r="AG4" i="3"/>
  <c r="AG21" s="1"/>
  <c r="V35" i="2" s="1"/>
  <c r="V43" s="1"/>
  <c r="AG8" i="3"/>
  <c r="AG15" s="1"/>
  <c r="V29" i="2" s="1"/>
  <c r="AF2" i="3"/>
  <c r="AD6"/>
  <c r="AD22" s="1"/>
  <c r="S36" i="2" s="1"/>
  <c r="S47" s="1"/>
  <c r="AC10" i="3"/>
  <c r="AC23" s="1"/>
  <c r="AF8"/>
  <c r="AF15" s="1"/>
  <c r="U29" i="2" s="1"/>
  <c r="AE3" i="3"/>
  <c r="AE16" s="1"/>
  <c r="T30" i="2" s="1"/>
  <c r="T42" s="1"/>
  <c r="AC7" i="3"/>
  <c r="Y7"/>
  <c r="AF5"/>
  <c r="AF19" s="1"/>
  <c r="U33" i="2" s="1"/>
  <c r="U46" s="1"/>
  <c r="AF9" i="3"/>
  <c r="AF18" s="1"/>
  <c r="U32" i="2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AI5" i="3"/>
  <c r="AI19" s="1"/>
  <c r="X33" i="2" s="1"/>
  <c r="X46" s="1"/>
  <c r="AI3" i="3"/>
  <c r="AI16" s="1"/>
  <c r="X30" i="2" s="1"/>
  <c r="X42" s="1"/>
  <c r="AJ9" i="3"/>
  <c r="AJ18" s="1"/>
  <c r="Y32" i="2" s="1"/>
  <c r="AJ7" i="3"/>
  <c r="AH6"/>
  <c r="AH22" s="1"/>
  <c r="W36" i="2" s="1"/>
  <c r="W47" s="1"/>
  <c r="AG6" i="3"/>
  <c r="AG22" s="1"/>
  <c r="V36" i="2" s="1"/>
  <c r="V47" s="1"/>
  <c r="AE7" i="3"/>
  <c r="AC2"/>
  <c r="AG10"/>
  <c r="AG23" s="1"/>
  <c r="AE4"/>
  <c r="AE21" s="1"/>
  <c r="T35" i="2" s="1"/>
  <c r="T43" s="1"/>
  <c r="AD8" i="3"/>
  <c r="AD15" s="1"/>
  <c r="S29" i="2" s="1"/>
  <c r="AG2" i="3"/>
  <c r="AB4"/>
  <c r="AB21" s="1"/>
  <c r="Q35" i="2" s="1"/>
  <c r="Q43" s="1"/>
  <c r="X8" i="3"/>
  <c r="X15" s="1"/>
  <c r="M29" i="2" s="1"/>
  <c r="AB10" i="3"/>
  <c r="AB23" s="1"/>
  <c r="AA6"/>
  <c r="AA22" s="1"/>
  <c r="P36" i="2" s="1"/>
  <c r="P47" s="1"/>
  <c r="Y2" i="3"/>
  <c r="X7"/>
  <c r="AB2"/>
  <c r="AB6"/>
  <c r="AB22" s="1"/>
  <c r="Q36" i="2" s="1"/>
  <c r="Q47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Z6" i="3"/>
  <c r="Z22" s="1"/>
  <c r="O36" i="2" s="1"/>
  <c r="O47" s="1"/>
  <c r="AA8" i="3"/>
  <c r="AA15" s="1"/>
  <c r="P29" i="2" s="1"/>
  <c r="Z2" i="3"/>
  <c r="Y3"/>
  <c r="Y16" s="1"/>
  <c r="N30" i="2" s="1"/>
  <c r="N42" s="1"/>
  <c r="AA9" i="3"/>
  <c r="AA18" s="1"/>
  <c r="P32" i="2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AC4" i="3"/>
  <c r="AC21" s="1"/>
  <c r="R35" i="2" s="1"/>
  <c r="R43" s="1"/>
  <c r="AD7" i="3"/>
  <c r="AE10"/>
  <c r="AE23" s="1"/>
  <c r="AH8"/>
  <c r="AH15" s="1"/>
  <c r="W29" i="2" s="1"/>
  <c r="AH3" i="3"/>
  <c r="AH16" s="1"/>
  <c r="W30" i="2" s="1"/>
  <c r="W42" s="1"/>
  <c r="AI8" i="3"/>
  <c r="AI15" s="1"/>
  <c r="X29" i="2" s="1"/>
  <c r="AH5" i="3"/>
  <c r="AH19" s="1"/>
  <c r="W33" i="2" s="1"/>
  <c r="W46" s="1"/>
  <c r="AI10" i="3"/>
  <c r="AI23" s="1"/>
  <c r="AI7"/>
  <c r="AB9"/>
  <c r="AB18" s="1"/>
  <c r="Q32" i="2" s="1"/>
  <c r="Z5" i="3"/>
  <c r="Z19" s="1"/>
  <c r="O33" i="2" s="1"/>
  <c r="O46" s="1"/>
  <c r="Y10" i="3"/>
  <c r="Y23" s="1"/>
  <c r="X6"/>
  <c r="X22" s="1"/>
  <c r="M36" i="2" s="1"/>
  <c r="M47" s="1"/>
  <c r="X10" i="3"/>
  <c r="X23" s="1"/>
  <c r="AB5"/>
  <c r="AB19" s="1"/>
  <c r="Q33" i="2" s="1"/>
  <c r="Q46" s="1"/>
  <c r="AA10" i="3"/>
  <c r="AA23" s="1"/>
  <c r="Y6"/>
  <c r="Y22" s="1"/>
  <c r="N36" i="2" s="1"/>
  <c r="N47" s="1"/>
  <c r="AF4" i="3"/>
  <c r="AF21" s="1"/>
  <c r="U35" i="2" s="1"/>
  <c r="U43" s="1"/>
  <c r="AE8" i="3"/>
  <c r="AE15" s="1"/>
  <c r="T29" i="2" s="1"/>
  <c r="AD4" i="3"/>
  <c r="AD21" s="1"/>
  <c r="S35" i="2" s="1"/>
  <c r="S43" s="1"/>
  <c r="AG7" i="3"/>
  <c r="AG9"/>
  <c r="AG18" s="1"/>
  <c r="V32" i="2" s="1"/>
  <c r="AE5" i="3"/>
  <c r="AE19" s="1"/>
  <c r="T33" i="2" s="1"/>
  <c r="T46" s="1"/>
  <c r="AD10" i="3"/>
  <c r="AD23" s="1"/>
  <c r="AC6"/>
  <c r="AC22" s="1"/>
  <c r="R36" i="2" s="1"/>
  <c r="R47" s="1"/>
  <c r="V3" i="3"/>
  <c r="V16" s="1"/>
  <c r="K30" i="2" s="1"/>
  <c r="K42" s="1"/>
  <c r="W6" i="3"/>
  <c r="W22" s="1"/>
  <c r="L36" i="2" s="1"/>
  <c r="L47" s="1"/>
  <c r="S10" i="3"/>
  <c r="S23" s="1"/>
  <c r="T4"/>
  <c r="T21" s="1"/>
  <c r="I35" i="2" s="1"/>
  <c r="I43" s="1"/>
  <c r="U7" i="3"/>
  <c r="V10"/>
  <c r="V23" s="1"/>
  <c r="W4"/>
  <c r="W21" s="1"/>
  <c r="L35" i="2" s="1"/>
  <c r="L43" s="1"/>
  <c r="S8" i="3"/>
  <c r="S15" s="1"/>
  <c r="H29" i="2" s="1"/>
  <c r="V8" i="3"/>
  <c r="V15" s="1"/>
  <c r="K29" i="2" s="1"/>
  <c r="V4" i="3"/>
  <c r="V21" s="1"/>
  <c r="K35" i="2" s="1"/>
  <c r="K43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P61" i="2" l="1"/>
  <c r="O4" i="5"/>
  <c r="Y61" i="2"/>
  <c r="V4" i="5"/>
  <c r="J60" i="2"/>
  <c r="J2" i="5"/>
  <c r="L60" i="2"/>
  <c r="L2" i="5"/>
  <c r="S60" i="2"/>
  <c r="R2" i="5"/>
  <c r="P60" i="2"/>
  <c r="O2" i="5"/>
  <c r="Q60" i="2"/>
  <c r="P2" i="5"/>
  <c r="S61" i="2"/>
  <c r="R4" i="5"/>
  <c r="M60" i="2"/>
  <c r="M2" i="5"/>
  <c r="Y62" i="2"/>
  <c r="V6" i="5"/>
  <c r="U60" i="2"/>
  <c r="S2" i="5"/>
  <c r="N60" i="2"/>
  <c r="N2" i="5"/>
  <c r="X60" i="2"/>
  <c r="U2" i="5"/>
  <c r="J61" i="2"/>
  <c r="J4" i="5"/>
  <c r="K60" i="2"/>
  <c r="K2" i="5"/>
  <c r="L61" i="2"/>
  <c r="L4" i="5"/>
  <c r="Q61" i="2"/>
  <c r="P4" i="5"/>
  <c r="K61" i="2"/>
  <c r="K4" i="5"/>
  <c r="I60" i="2"/>
  <c r="I2" i="5"/>
  <c r="R61" i="2"/>
  <c r="Q4" i="5"/>
  <c r="N61" i="2"/>
  <c r="N4" i="5"/>
  <c r="M61" i="2"/>
  <c r="M4" i="5"/>
  <c r="R60" i="2"/>
  <c r="Q2" i="5"/>
  <c r="V61" i="2"/>
  <c r="T4" i="5"/>
  <c r="V60" i="2"/>
  <c r="T2" i="5"/>
  <c r="U61" i="2"/>
  <c r="S4" i="5"/>
  <c r="Y60" i="2"/>
  <c r="V2" i="5"/>
  <c r="X61" i="2"/>
  <c r="U4" i="5"/>
  <c r="W37" i="2"/>
  <c r="W48" s="1"/>
  <c r="O37"/>
  <c r="O48" s="1"/>
  <c r="H37"/>
  <c r="H48" s="1"/>
  <c r="S37"/>
  <c r="S48" s="1"/>
  <c r="P37"/>
  <c r="P48" s="1"/>
  <c r="V37"/>
  <c r="V48" s="1"/>
  <c r="U37"/>
  <c r="U48" s="1"/>
  <c r="I37"/>
  <c r="I48" s="1"/>
  <c r="J37"/>
  <c r="J48" s="1"/>
  <c r="R37"/>
  <c r="R48" s="1"/>
  <c r="K37"/>
  <c r="K48" s="1"/>
  <c r="T37"/>
  <c r="T48" s="1"/>
  <c r="N37"/>
  <c r="N48" s="1"/>
  <c r="X37"/>
  <c r="X48" s="1"/>
  <c r="L37"/>
  <c r="L48" s="1"/>
  <c r="M37"/>
  <c r="M48" s="1"/>
  <c r="Q37"/>
  <c r="Q48" s="1"/>
  <c r="G32" i="1"/>
  <c r="F32"/>
  <c r="E32"/>
  <c r="D32"/>
  <c r="C32"/>
  <c r="D28"/>
  <c r="E28"/>
  <c r="F28"/>
  <c r="G28"/>
  <c r="C28"/>
  <c r="D35"/>
  <c r="E35"/>
  <c r="F35"/>
  <c r="G35"/>
  <c r="C35"/>
  <c r="C59" i="2"/>
  <c r="D7" i="5" s="1"/>
  <c r="D59" i="2"/>
  <c r="E7" i="5" s="1"/>
  <c r="E59" i="2"/>
  <c r="F7" i="5" s="1"/>
  <c r="G58" i="2"/>
  <c r="F59"/>
  <c r="G7" i="5" s="1"/>
  <c r="G57" i="2"/>
  <c r="H5" i="5" s="1"/>
  <c r="G56" i="2"/>
  <c r="H3" i="5" s="1"/>
  <c r="B8" i="4"/>
  <c r="G59" i="2" s="1"/>
  <c r="H7" i="5" s="1"/>
  <c r="C8" i="4"/>
  <c r="B10" s="1"/>
  <c r="E8"/>
  <c r="D8"/>
  <c r="C7" i="2"/>
  <c r="M2" i="3" a="1"/>
  <c r="O2" s="1"/>
  <c r="C26" i="2"/>
  <c r="C41" s="1"/>
  <c r="Y63" l="1"/>
  <c r="Q62"/>
  <c r="Q63" s="1"/>
  <c r="P6" i="5"/>
  <c r="N62" i="2"/>
  <c r="N63" s="1"/>
  <c r="N6" i="5"/>
  <c r="J62" i="2"/>
  <c r="J63" s="1"/>
  <c r="J6" i="5"/>
  <c r="P62" i="2"/>
  <c r="P63" s="1"/>
  <c r="O6" i="5"/>
  <c r="I62" i="2"/>
  <c r="I63" s="1"/>
  <c r="I6" i="5"/>
  <c r="S62" i="2"/>
  <c r="S63" s="1"/>
  <c r="R6" i="5"/>
  <c r="R62" i="2"/>
  <c r="R63" s="1"/>
  <c r="Q6" i="5"/>
  <c r="M62" i="2"/>
  <c r="M63" s="1"/>
  <c r="M6" i="5"/>
  <c r="X62" i="2"/>
  <c r="X63" s="1"/>
  <c r="U6" i="5"/>
  <c r="V62" i="2"/>
  <c r="V63" s="1"/>
  <c r="T6" i="5"/>
  <c r="L62" i="2"/>
  <c r="L63" s="1"/>
  <c r="L6" i="5"/>
  <c r="K62" i="2"/>
  <c r="K63" s="1"/>
  <c r="K6" i="5"/>
  <c r="U62" i="2"/>
  <c r="U63" s="1"/>
  <c r="S6" i="5"/>
  <c r="P12" i="3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C37"/>
  <c r="C48" s="1"/>
  <c r="D37"/>
  <c r="D48" s="1"/>
  <c r="F37"/>
  <c r="F48" s="1"/>
  <c r="E37"/>
  <c r="E48" s="1"/>
  <c r="F43"/>
  <c r="G43"/>
  <c r="F47"/>
  <c r="E47"/>
  <c r="D43"/>
  <c r="C43"/>
  <c r="G47"/>
  <c r="D47"/>
  <c r="C47"/>
  <c r="E43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D60" i="2" l="1"/>
  <c r="E2" i="5"/>
  <c r="D61" i="2"/>
  <c r="E4" i="5"/>
  <c r="E61" i="2"/>
  <c r="F4" i="5"/>
  <c r="E62" i="2"/>
  <c r="F6" i="5"/>
  <c r="G62" i="2"/>
  <c r="H6" i="5"/>
  <c r="C61" i="2"/>
  <c r="D4" i="5"/>
  <c r="F60" i="2"/>
  <c r="G2" i="5"/>
  <c r="E60" i="2"/>
  <c r="F2" i="5"/>
  <c r="C60" i="2"/>
  <c r="C63" s="1"/>
  <c r="D2" i="5"/>
  <c r="G60" i="2"/>
  <c r="H2" i="5"/>
  <c r="D62" i="2"/>
  <c r="E6" i="5"/>
  <c r="C62" i="2"/>
  <c r="D6" i="5"/>
  <c r="G61" i="2"/>
  <c r="G63" s="1"/>
  <c r="H4" i="5"/>
  <c r="F61" i="2"/>
  <c r="G4" i="5"/>
  <c r="F62" i="2"/>
  <c r="G6" i="5"/>
  <c r="B11" l="1" a="1"/>
  <c r="C14" s="1"/>
  <c r="F63" i="2"/>
  <c r="D63"/>
  <c r="E63"/>
  <c r="F36" i="5" l="1"/>
  <c r="F34"/>
  <c r="D25"/>
  <c r="D30"/>
  <c r="G14"/>
  <c r="E30"/>
  <c r="G26"/>
  <c r="G12"/>
  <c r="D23"/>
  <c r="C11"/>
  <c r="G34"/>
  <c r="G16"/>
  <c r="C12"/>
  <c r="G20"/>
  <c r="D31"/>
  <c r="G15"/>
  <c r="C33"/>
  <c r="D29"/>
  <c r="C15"/>
  <c r="G24"/>
  <c r="E15"/>
  <c r="D33"/>
  <c r="E20"/>
  <c r="B11"/>
  <c r="C23"/>
  <c r="G32"/>
  <c r="E24"/>
  <c r="F14"/>
  <c r="C32"/>
  <c r="B15"/>
  <c r="C35"/>
  <c r="F27"/>
  <c r="G23"/>
  <c r="B14"/>
  <c r="B23"/>
  <c r="C24"/>
  <c r="B18"/>
  <c r="D22"/>
  <c r="E32"/>
  <c r="G36"/>
  <c r="B30"/>
  <c r="F31"/>
  <c r="C20"/>
  <c r="F17"/>
  <c r="E27"/>
  <c r="F29"/>
  <c r="E22"/>
  <c r="C16"/>
  <c r="E33"/>
  <c r="B36"/>
  <c r="E34"/>
  <c r="F21"/>
  <c r="E31"/>
  <c r="E14"/>
  <c r="F24"/>
  <c r="G33"/>
  <c r="F15"/>
  <c r="E25"/>
  <c r="F33"/>
  <c r="D17"/>
  <c r="E26"/>
  <c r="C26"/>
  <c r="D19"/>
  <c r="B26"/>
  <c r="G28"/>
  <c r="B22"/>
  <c r="B13"/>
  <c r="D20"/>
  <c r="F13"/>
  <c r="E23"/>
  <c r="B33"/>
  <c r="F16"/>
  <c r="G25"/>
  <c r="B34"/>
  <c r="E17"/>
  <c r="F25"/>
  <c r="E35"/>
  <c r="E18"/>
  <c r="B32"/>
  <c r="B25"/>
  <c r="G17"/>
  <c r="G30"/>
  <c r="D28"/>
  <c r="B12"/>
  <c r="C21"/>
  <c r="C18"/>
  <c r="D11"/>
  <c r="F28"/>
  <c r="B31"/>
  <c r="E19"/>
  <c r="D32"/>
  <c r="B16"/>
  <c r="C25"/>
  <c r="D35"/>
  <c r="G18"/>
  <c r="D26"/>
  <c r="C36"/>
  <c r="C19"/>
  <c r="B28"/>
  <c r="E11"/>
  <c r="D21"/>
  <c r="D14"/>
  <c r="B21"/>
  <c r="B24"/>
  <c r="B17"/>
  <c r="D34"/>
  <c r="E16"/>
  <c r="D24"/>
  <c r="C34"/>
  <c r="C17"/>
  <c r="D27"/>
  <c r="E36"/>
  <c r="D18"/>
  <c r="C28"/>
  <c r="D36"/>
  <c r="B20"/>
  <c r="C29"/>
  <c r="B27"/>
  <c r="G19"/>
  <c r="E13"/>
  <c r="D15"/>
  <c r="G13"/>
  <c r="F22"/>
  <c r="G31"/>
  <c r="D13"/>
  <c r="F32"/>
  <c r="F23"/>
  <c r="C27"/>
  <c r="C30"/>
  <c r="C13"/>
  <c r="F26"/>
  <c r="G35"/>
  <c r="F19"/>
  <c r="E29"/>
  <c r="E12"/>
  <c r="F20"/>
  <c r="G29"/>
  <c r="D12"/>
  <c r="C22"/>
  <c r="D16"/>
  <c r="F35"/>
  <c r="E28"/>
  <c r="B19"/>
  <c r="G11"/>
  <c r="C31"/>
  <c r="G22"/>
  <c r="B35"/>
  <c r="F18"/>
  <c r="G27"/>
  <c r="F11"/>
  <c r="E21"/>
  <c r="B29"/>
  <c r="F12"/>
  <c r="G21"/>
  <c r="F30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comments2.xml><?xml version="1.0" encoding="utf-8"?>
<comments xmlns="http://schemas.openxmlformats.org/spreadsheetml/2006/main">
  <authors>
    <author>Guoqiang GUAN</author>
  </authors>
  <commentList>
    <comment ref="AA55" authorId="0">
      <text>
        <r>
          <rPr>
            <b/>
            <sz val="9"/>
            <color indexed="81"/>
            <rFont val="Tahoma"/>
            <charset val="1"/>
          </rPr>
          <t>Guoqiang GUAN:</t>
        </r>
        <r>
          <rPr>
            <sz val="9"/>
            <color indexed="81"/>
            <rFont val="Tahoma"/>
            <charset val="1"/>
          </rPr>
          <t xml:space="preserve">
Based on 16GGQ-2-4.cas, apply the correlation of physical properties in V3.0</t>
        </r>
      </text>
    </comment>
  </commentList>
</comments>
</file>

<file path=xl/sharedStrings.xml><?xml version="1.0" encoding="utf-8"?>
<sst xmlns="http://schemas.openxmlformats.org/spreadsheetml/2006/main" count="349" uniqueCount="209">
  <si>
    <t>Wang K Y, Chung T S, Gryta M. Chem. Eng. Sci., 2008, 63: 2587-2594</t>
    <phoneticPr fontId="6" type="noConversion"/>
  </si>
  <si>
    <t>Type</t>
    <phoneticPr fontId="6" type="noConversion"/>
  </si>
  <si>
    <t>Hollow fiber</t>
    <phoneticPr fontId="6" type="noConversion"/>
  </si>
  <si>
    <t>Main content</t>
    <phoneticPr fontId="6" type="noConversion"/>
  </si>
  <si>
    <t>PVDF</t>
    <phoneticPr fontId="6" type="noConversion"/>
  </si>
  <si>
    <t>Performances</t>
    <phoneticPr fontId="6" type="noConversion"/>
  </si>
  <si>
    <t>Membrane area</t>
    <phoneticPr fontId="6" type="noConversion"/>
  </si>
  <si>
    <t>cm2</t>
    <phoneticPr fontId="6" type="noConversion"/>
  </si>
  <si>
    <t>Packing density</t>
    <phoneticPr fontId="6" type="noConversion"/>
  </si>
  <si>
    <t>Active layer</t>
    <phoneticPr fontId="6" type="noConversion"/>
  </si>
  <si>
    <t>Outside the fiber</t>
    <phoneticPr fontId="6" type="noConversion"/>
  </si>
  <si>
    <t>Hot feed side at</t>
    <phoneticPr fontId="6" type="noConversion"/>
  </si>
  <si>
    <t>Shell side</t>
    <phoneticPr fontId="6" type="noConversion"/>
  </si>
  <si>
    <t>Flow pattern</t>
    <phoneticPr fontId="6" type="noConversion"/>
  </si>
  <si>
    <t>Co-current</t>
    <phoneticPr fontId="6" type="noConversion"/>
  </si>
  <si>
    <t>Feed concentration</t>
    <phoneticPr fontId="6" type="noConversion"/>
  </si>
  <si>
    <t>%</t>
    <phoneticPr fontId="6" type="noConversion"/>
  </si>
  <si>
    <t>wt% (NaCl)</t>
    <phoneticPr fontId="6" type="noConversion"/>
  </si>
  <si>
    <t>OD of fibers</t>
    <phoneticPr fontId="6" type="noConversion"/>
  </si>
  <si>
    <t>ID of fibers</t>
    <phoneticPr fontId="6" type="noConversion"/>
  </si>
  <si>
    <t>um</t>
    <phoneticPr fontId="6" type="noConversion"/>
  </si>
  <si>
    <t>Thickness of active layer</t>
    <phoneticPr fontId="6" type="noConversion"/>
  </si>
  <si>
    <t>nm</t>
    <phoneticPr fontId="6" type="noConversion"/>
  </si>
  <si>
    <t>Length</t>
    <phoneticPr fontId="6" type="noConversion"/>
  </si>
  <si>
    <t>cm</t>
    <phoneticPr fontId="6" type="noConversion"/>
  </si>
  <si>
    <t>Membrane specifications</t>
    <phoneticPr fontId="6" type="noConversion"/>
  </si>
  <si>
    <t>Module specifications</t>
    <phoneticPr fontId="6" type="noConversion"/>
  </si>
  <si>
    <t>Housing ID</t>
    <phoneticPr fontId="6" type="noConversion"/>
  </si>
  <si>
    <t>in ca.</t>
    <phoneticPr fontId="6" type="noConversion"/>
  </si>
  <si>
    <t>Porosity</t>
    <phoneticPr fontId="6" type="noConversion"/>
  </si>
  <si>
    <t>PVDF/NMP/EG</t>
    <phoneticPr fontId="6" type="noConversion"/>
  </si>
  <si>
    <t>PVDF/NMP</t>
    <phoneticPr fontId="6" type="noConversion"/>
  </si>
  <si>
    <t>Contact angle</t>
    <phoneticPr fontId="6" type="noConversion"/>
  </si>
  <si>
    <t>Effective pore size</t>
    <phoneticPr fontId="6" type="noConversion"/>
  </si>
  <si>
    <t>0.15-0.18</t>
    <phoneticPr fontId="6" type="noConversion"/>
  </si>
  <si>
    <t>Operating conditions</t>
    <phoneticPr fontId="6" type="noConversion"/>
  </si>
  <si>
    <t>Inlet flowrate</t>
    <phoneticPr fontId="6" type="noConversion"/>
  </si>
  <si>
    <t>Inlet temperatures</t>
    <phoneticPr fontId="6" type="noConversion"/>
  </si>
  <si>
    <t>Permeate side</t>
    <phoneticPr fontId="6" type="noConversion"/>
  </si>
  <si>
    <t>Feed side</t>
    <phoneticPr fontId="6" type="noConversion"/>
  </si>
  <si>
    <t>Number of fibers</t>
    <phoneticPr fontId="6" type="noConversion"/>
  </si>
  <si>
    <t>C</t>
    <phoneticPr fontId="6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</si>
  <si>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6" type="noConversion"/>
  </si>
  <si>
    <t>m/s</t>
    <phoneticPr fontId="6" type="noConversion"/>
  </si>
  <si>
    <t>Permeation flux</t>
    <phoneticPr fontId="6" type="noConversion"/>
  </si>
  <si>
    <t>kg/m2-h</t>
    <phoneticPr fontId="6" type="noConversion"/>
  </si>
  <si>
    <t>Feed-side outlet temperature</t>
    <phoneticPr fontId="6" type="noConversion"/>
  </si>
  <si>
    <t>Permeate-side outlet temperature</t>
    <phoneticPr fontId="6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</si>
  <si>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</si>
  <si>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</si>
  <si>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</si>
  <si>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</si>
  <si>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</si>
  <si>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</si>
  <si>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</si>
  <si>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</si>
  <si>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</si>
  <si>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</si>
  <si>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</si>
  <si>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</si>
  <si>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</si>
  <si>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</si>
  <si>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</si>
  <si>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</si>
  <si>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</si>
  <si>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</si>
  <si>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</si>
  <si>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</si>
  <si>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</si>
  <si>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</si>
  <si>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</si>
  <si>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</si>
  <si>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</si>
  <si>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</si>
  <si>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</si>
  <si>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</si>
  <si>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</si>
  <si>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</si>
  <si>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</si>
  <si>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</si>
  <si>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</si>
  <si>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</si>
  <si>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</si>
  <si>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</si>
  <si>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</si>
  <si>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</si>
  <si>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</si>
  <si>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</si>
  <si>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</si>
  <si>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</si>
  <si>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</si>
  <si>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</si>
  <si>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</si>
  <si>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</si>
  <si>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</si>
  <si>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</si>
  <si>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</si>
  <si>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</si>
  <si>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</si>
  <si>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</si>
  <si>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</si>
  <si>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</si>
  <si>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</si>
  <si>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</si>
  <si>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</si>
  <si>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</si>
  <si>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</si>
  <si>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</si>
  <si>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</si>
  <si>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</si>
  <si>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</si>
  <si>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</si>
  <si>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</si>
  <si>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</si>
  <si>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</si>
  <si>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</si>
  <si>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</si>
  <si>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</si>
  <si>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</si>
  <si>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</si>
  <si>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</si>
  <si>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</si>
  <si>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</si>
  <si>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</si>
  <si>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</si>
  <si>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</si>
  <si>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</si>
  <si>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</si>
  <si>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</si>
  <si>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</si>
  <si>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</si>
  <si>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</si>
  <si>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</si>
  <si>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</si>
  <si>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</si>
  <si>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</si>
  <si>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</si>
  <si>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</si>
  <si>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</si>
  <si>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</si>
  <si>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</si>
  <si>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</si>
  <si>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</si>
  <si>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</si>
  <si>
    <t>进料浓度变化</t>
  </si>
  <si>
    <t>浓度</t>
  </si>
  <si>
    <t>进料浓度</t>
  </si>
  <si>
    <t>duplicate</t>
  </si>
  <si>
    <t>16GGQ-3-</t>
  </si>
  <si>
    <t>JM_EXP</t>
  </si>
  <si>
    <t>JM_SIM</t>
  </si>
  <si>
    <t>T0O_SIM</t>
  </si>
  <si>
    <t>T1O_SIM</t>
  </si>
  <si>
    <t>T0O_EXP</t>
  </si>
  <si>
    <t>T1O_EXP</t>
  </si>
  <si>
    <t>transpose</t>
  </si>
  <si>
    <t>16GGQ-3-18</t>
  </si>
  <si>
    <t>16GGQ-3-19</t>
  </si>
  <si>
    <t>16GGQ-3.2-20</t>
  </si>
  <si>
    <t>Exp. JM</t>
  </si>
  <si>
    <t>Linearly corr. MDC</t>
  </si>
  <si>
    <t>Membrane</t>
  </si>
  <si>
    <t>Membrane area</t>
    <phoneticPr fontId="19" type="noConversion"/>
  </si>
  <si>
    <t>Cross section area</t>
    <phoneticPr fontId="19" type="noConversion"/>
  </si>
  <si>
    <t>Original concentration</t>
    <phoneticPr fontId="19" type="noConversion"/>
  </si>
  <si>
    <t>Feed revolution</t>
    <phoneticPr fontId="19" type="noConversion"/>
  </si>
  <si>
    <t>Permeate revolution</t>
    <phoneticPr fontId="19" type="noConversion"/>
  </si>
  <si>
    <t xml:space="preserve"> Tpin</t>
    <phoneticPr fontId="19" type="noConversion"/>
  </si>
  <si>
    <t>Tpout</t>
    <phoneticPr fontId="19" type="noConversion"/>
  </si>
  <si>
    <t>Tfin</t>
    <phoneticPr fontId="19" type="noConversion"/>
  </si>
  <si>
    <t>Tfout</t>
    <phoneticPr fontId="19" type="noConversion"/>
  </si>
  <si>
    <t>Measured flux(g/s)</t>
  </si>
  <si>
    <t>std</t>
    <phoneticPr fontId="19" type="noConversion"/>
  </si>
  <si>
    <t>Flux</t>
    <phoneticPr fontId="19" type="noConversion"/>
  </si>
  <si>
    <t>stdev.Flux</t>
    <phoneticPr fontId="19" type="noConversion"/>
  </si>
  <si>
    <t>Flux</t>
    <phoneticPr fontId="19" type="noConversion"/>
  </si>
  <si>
    <t>Comments</t>
    <phoneticPr fontId="19" type="noConversion"/>
  </si>
  <si>
    <t>cm2</t>
    <phoneticPr fontId="19" type="noConversion"/>
  </si>
  <si>
    <t>cm2</t>
    <phoneticPr fontId="19" type="noConversion"/>
  </si>
  <si>
    <t>g/l</t>
    <phoneticPr fontId="19" type="noConversion"/>
  </si>
  <si>
    <t>rpm</t>
    <phoneticPr fontId="19" type="noConversion"/>
  </si>
  <si>
    <t>℃</t>
    <phoneticPr fontId="19" type="noConversion"/>
  </si>
  <si>
    <t>g/s</t>
    <phoneticPr fontId="19" type="noConversion"/>
  </si>
  <si>
    <t>kg/m2 h</t>
    <phoneticPr fontId="19" type="noConversion"/>
  </si>
  <si>
    <t>kg/m3 h</t>
  </si>
  <si>
    <t>dimensionless</t>
    <phoneticPr fontId="19" type="noConversion"/>
  </si>
  <si>
    <t>Wetting</t>
    <phoneticPr fontId="19" type="noConversion"/>
  </si>
  <si>
    <t>#2ePTFE</t>
    <phoneticPr fontId="19" type="noConversion"/>
  </si>
  <si>
    <t>From Exp.1.0</t>
    <phoneticPr fontId="19" type="noConversion"/>
  </si>
  <si>
    <t>#2ePTFE</t>
  </si>
  <si>
    <t>Rotated array</t>
  </si>
  <si>
    <t>Copied data</t>
  </si>
  <si>
    <t>#3PVDF</t>
  </si>
  <si>
    <t>#1PTFE</t>
  </si>
  <si>
    <t>Cross section area</t>
  </si>
  <si>
    <t>Original concentration</t>
  </si>
  <si>
    <t>g/l</t>
  </si>
  <si>
    <t>Feed revolution</t>
  </si>
  <si>
    <t>Permeate revolution</t>
  </si>
  <si>
    <t xml:space="preserve"> Tpin</t>
  </si>
  <si>
    <t>℃</t>
  </si>
  <si>
    <t>Tpout</t>
  </si>
  <si>
    <t>Tfin</t>
  </si>
  <si>
    <t>Tfout</t>
  </si>
  <si>
    <t>g/s</t>
  </si>
  <si>
    <t>std</t>
  </si>
  <si>
    <t>Flux</t>
  </si>
  <si>
    <t>kg/m2 h</t>
  </si>
  <si>
    <t>Brine concentration (g/L)</t>
  </si>
</sst>
</file>

<file path=xl/styles.xml><?xml version="1.0" encoding="utf-8"?>
<styleSheet xmlns="http://schemas.openxmlformats.org/spreadsheetml/2006/main">
  <numFmts count="3">
    <numFmt numFmtId="164" formatCode="0.000E+00"/>
    <numFmt numFmtId="165" formatCode="0.0000"/>
    <numFmt numFmtId="167" formatCode="0.00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/>
    <xf numFmtId="0" fontId="16" fillId="7" borderId="1" applyNumberFormat="0" applyAlignment="0" applyProtection="0"/>
    <xf numFmtId="0" fontId="18" fillId="8" borderId="1" applyNumberFormat="0" applyAlignment="0" applyProtection="0"/>
    <xf numFmtId="0" fontId="19" fillId="0" borderId="2" applyNumberFormat="0" applyFill="0" applyAlignment="0" applyProtection="0"/>
    <xf numFmtId="0" fontId="1" fillId="0" borderId="0">
      <alignment vertical="center"/>
    </xf>
    <xf numFmtId="0" fontId="13" fillId="0" borderId="0"/>
    <xf numFmtId="0" fontId="24" fillId="0" borderId="0" applyNumberFormat="0" applyFill="0" applyBorder="0" applyAlignment="0" applyProtection="0"/>
    <xf numFmtId="0" fontId="1" fillId="10" borderId="11" applyNumberFormat="0" applyFont="0" applyAlignment="0" applyProtection="0">
      <alignment vertical="center"/>
    </xf>
  </cellStyleXfs>
  <cellXfs count="77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0" xfId="0" applyNumberFormat="1">
      <alignment vertical="center"/>
    </xf>
    <xf numFmtId="0" fontId="3" fillId="2" borderId="0" xfId="2">
      <alignment vertical="center"/>
    </xf>
    <xf numFmtId="0" fontId="3" fillId="3" borderId="0" xfId="3">
      <alignment vertical="center"/>
    </xf>
    <xf numFmtId="0" fontId="3" fillId="3" borderId="0" xfId="3" applyNumberFormat="1">
      <alignment vertical="center"/>
    </xf>
    <xf numFmtId="0" fontId="3" fillId="4" borderId="0" xfId="4">
      <alignment vertical="center"/>
    </xf>
    <xf numFmtId="0" fontId="9" fillId="3" borderId="0" xfId="3" applyFont="1">
      <alignment vertical="center"/>
    </xf>
    <xf numFmtId="0" fontId="10" fillId="2" borderId="0" xfId="2" applyFont="1">
      <alignment vertical="center"/>
    </xf>
    <xf numFmtId="0" fontId="11" fillId="2" borderId="0" xfId="2" applyFont="1">
      <alignment vertical="center"/>
    </xf>
    <xf numFmtId="0" fontId="5" fillId="0" borderId="0" xfId="0" applyFont="1">
      <alignment vertical="center"/>
    </xf>
    <xf numFmtId="0" fontId="5" fillId="4" borderId="0" xfId="4" applyFont="1">
      <alignment vertical="center"/>
    </xf>
    <xf numFmtId="0" fontId="0" fillId="4" borderId="0" xfId="4" applyFont="1">
      <alignment vertical="center"/>
    </xf>
    <xf numFmtId="0" fontId="3" fillId="5" borderId="0" xfId="5">
      <alignment vertical="center"/>
    </xf>
    <xf numFmtId="0" fontId="12" fillId="5" borderId="0" xfId="5" applyFont="1">
      <alignment vertical="center"/>
    </xf>
    <xf numFmtId="0" fontId="0" fillId="5" borderId="0" xfId="5" applyFont="1">
      <alignment vertical="center"/>
    </xf>
    <xf numFmtId="0" fontId="14" fillId="0" borderId="0" xfId="1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3" fillId="0" borderId="0" xfId="0" applyNumberFormat="1" applyFont="1">
      <alignment vertical="center"/>
    </xf>
    <xf numFmtId="0" fontId="16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8" fillId="8" borderId="1" xfId="8" applyAlignment="1">
      <alignment vertical="center"/>
    </xf>
    <xf numFmtId="0" fontId="13" fillId="0" borderId="0" xfId="5" applyFont="1" applyFill="1">
      <alignment vertical="center"/>
    </xf>
    <xf numFmtId="0" fontId="13" fillId="0" borderId="0" xfId="4" applyFont="1" applyFill="1">
      <alignment vertical="center"/>
    </xf>
    <xf numFmtId="0" fontId="13" fillId="0" borderId="0" xfId="0" applyFont="1" applyFill="1">
      <alignment vertical="center"/>
    </xf>
    <xf numFmtId="0" fontId="15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3" fillId="0" borderId="0" xfId="2" applyFont="1" applyFill="1" applyBorder="1">
      <alignment vertical="center"/>
    </xf>
    <xf numFmtId="0" fontId="13" fillId="0" borderId="0" xfId="2" applyFont="1" applyFill="1" applyBorder="1" applyAlignment="1">
      <alignment vertical="center"/>
    </xf>
    <xf numFmtId="0" fontId="15" fillId="0" borderId="0" xfId="0" applyFont="1" applyFill="1">
      <alignment vertical="center"/>
    </xf>
    <xf numFmtId="0" fontId="13" fillId="0" borderId="0" xfId="3" applyFont="1" applyFill="1" applyBorder="1">
      <alignment vertical="center"/>
    </xf>
    <xf numFmtId="0" fontId="13" fillId="0" borderId="0" xfId="3" applyFont="1" applyFill="1">
      <alignment vertical="center"/>
    </xf>
    <xf numFmtId="0" fontId="13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3" fillId="0" borderId="0" xfId="6" applyNumberFormat="1" applyFont="1" applyFill="1" applyAlignment="1">
      <alignment vertical="center"/>
    </xf>
    <xf numFmtId="0" fontId="17" fillId="0" borderId="0" xfId="0" applyFont="1" applyFill="1">
      <alignment vertical="center"/>
    </xf>
    <xf numFmtId="0" fontId="2" fillId="0" borderId="0" xfId="6" applyFill="1" applyAlignment="1">
      <alignment vertical="center"/>
    </xf>
    <xf numFmtId="0" fontId="19" fillId="0" borderId="2" xfId="9" applyNumberFormat="1" applyFill="1" applyAlignment="1">
      <alignment vertical="center"/>
    </xf>
    <xf numFmtId="0" fontId="13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9" fillId="0" borderId="2" xfId="9" applyAlignment="1">
      <alignment vertical="center"/>
    </xf>
    <xf numFmtId="0" fontId="0" fillId="0" borderId="0" xfId="0" applyFont="1">
      <alignment vertical="center"/>
    </xf>
    <xf numFmtId="0" fontId="18" fillId="8" borderId="1" xfId="8" applyNumberFormat="1" applyAlignment="1">
      <alignment vertical="center"/>
    </xf>
    <xf numFmtId="0" fontId="0" fillId="0" borderId="0" xfId="0" applyFill="1">
      <alignment vertical="center"/>
    </xf>
    <xf numFmtId="0" fontId="18" fillId="0" borderId="1" xfId="8" applyFill="1" applyAlignment="1">
      <alignment vertical="center"/>
    </xf>
    <xf numFmtId="0" fontId="19" fillId="0" borderId="2" xfId="9" applyFill="1" applyAlignment="1">
      <alignment vertical="center"/>
    </xf>
    <xf numFmtId="0" fontId="18" fillId="9" borderId="1" xfId="8" applyFill="1" applyAlignment="1">
      <alignment vertical="center"/>
    </xf>
    <xf numFmtId="0" fontId="23" fillId="11" borderId="12" xfId="10" applyNumberFormat="1" applyFont="1" applyFill="1" applyBorder="1" applyAlignment="1">
      <alignment vertical="center"/>
    </xf>
    <xf numFmtId="0" fontId="23" fillId="11" borderId="13" xfId="10" applyNumberFormat="1" applyFont="1" applyFill="1" applyBorder="1" applyAlignment="1">
      <alignment vertical="center"/>
    </xf>
    <xf numFmtId="0" fontId="0" fillId="0" borderId="0" xfId="11" applyFont="1"/>
    <xf numFmtId="0" fontId="23" fillId="11" borderId="14" xfId="10" applyNumberFormat="1" applyFont="1" applyFill="1" applyBorder="1" applyAlignment="1">
      <alignment vertical="center"/>
    </xf>
    <xf numFmtId="0" fontId="0" fillId="9" borderId="12" xfId="11" applyFont="1" applyFill="1" applyBorder="1"/>
    <xf numFmtId="0" fontId="0" fillId="0" borderId="12" xfId="11" applyFont="1" applyBorder="1"/>
    <xf numFmtId="0" fontId="0" fillId="12" borderId="13" xfId="11" applyFont="1" applyFill="1" applyBorder="1"/>
    <xf numFmtId="0" fontId="0" fillId="12" borderId="0" xfId="11" applyFont="1" applyFill="1"/>
    <xf numFmtId="0" fontId="24" fillId="0" borderId="12" xfId="12" applyBorder="1" applyAlignment="1">
      <alignment horizontal="center" vertical="center"/>
    </xf>
    <xf numFmtId="0" fontId="0" fillId="0" borderId="12" xfId="11" applyFont="1" applyBorder="1" applyAlignment="1">
      <alignment horizontal="center" vertical="center"/>
    </xf>
    <xf numFmtId="165" fontId="0" fillId="0" borderId="0" xfId="11" applyNumberFormat="1" applyFont="1"/>
    <xf numFmtId="2" fontId="0" fillId="0" borderId="0" xfId="11" applyNumberFormat="1" applyFont="1"/>
    <xf numFmtId="0" fontId="19" fillId="0" borderId="2" xfId="9"/>
    <xf numFmtId="165" fontId="19" fillId="0" borderId="2" xfId="9" applyNumberFormat="1"/>
    <xf numFmtId="2" fontId="19" fillId="0" borderId="2" xfId="9" applyNumberFormat="1"/>
    <xf numFmtId="167" fontId="18" fillId="8" borderId="1" xfId="8" applyNumberFormat="1" applyAlignment="1">
      <alignment vertical="center"/>
    </xf>
    <xf numFmtId="0" fontId="4" fillId="0" borderId="0" xfId="1" applyAlignment="1"/>
  </cellXfs>
  <cellStyles count="14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Hyperlink" xfId="12" builtinId="8"/>
    <cellStyle name="Input" xfId="7" builtinId="20"/>
    <cellStyle name="Linked Cell" xfId="9" builtinId="24" customBuiltin="1"/>
    <cellStyle name="Normal" xfId="0" builtinId="0" customBuiltin="1"/>
    <cellStyle name="Normal 2" xfId="11"/>
    <cellStyle name="常规 2" xfId="10"/>
    <cellStyle name="注释 2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Flux-conc.</a:t>
            </a:r>
            <a:endParaRPr lang="zh-CN" altLang="en-US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strRef>
              <c:f>ExpData161130!$A$4</c:f>
              <c:strCache>
                <c:ptCount val="1"/>
                <c:pt idx="0">
                  <c:v>#3PVDF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ExpData161130!$D$3:$D$7</c:f>
              <c:numCache>
                <c:formatCode>General</c:formatCode>
                <c:ptCount val="5"/>
                <c:pt idx="0">
                  <c:v>69.566000000000003</c:v>
                </c:pt>
                <c:pt idx="1">
                  <c:v>141.60266666666666</c:v>
                </c:pt>
                <c:pt idx="2">
                  <c:v>211.26733333333334</c:v>
                </c:pt>
                <c:pt idx="3">
                  <c:v>281.44509999999997</c:v>
                </c:pt>
                <c:pt idx="4">
                  <c:v>0</c:v>
                </c:pt>
              </c:numCache>
            </c:numRef>
          </c:xVal>
          <c:yVal>
            <c:numRef>
              <c:f>ExpData161130!$M$3:$M$7</c:f>
              <c:numCache>
                <c:formatCode>General</c:formatCode>
                <c:ptCount val="5"/>
                <c:pt idx="0">
                  <c:v>5.0019625728000001</c:v>
                </c:pt>
                <c:pt idx="1">
                  <c:v>4.4134104959999991</c:v>
                </c:pt>
                <c:pt idx="2">
                  <c:v>3.462614592</c:v>
                </c:pt>
                <c:pt idx="3">
                  <c:v>3.0054249984000001</c:v>
                </c:pt>
                <c:pt idx="4">
                  <c:v>5.1545233151999996</c:v>
                </c:pt>
              </c:numCache>
            </c:numRef>
          </c:yVal>
        </c:ser>
        <c:ser>
          <c:idx val="1"/>
          <c:order val="1"/>
          <c:tx>
            <c:strRef>
              <c:f>ExpData161130!$A$10</c:f>
              <c:strCache>
                <c:ptCount val="1"/>
                <c:pt idx="0">
                  <c:v>#1PTFE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ExpData161130!$D$9:$D$13</c:f>
              <c:numCache>
                <c:formatCode>General</c:formatCode>
                <c:ptCount val="5"/>
                <c:pt idx="0">
                  <c:v>0</c:v>
                </c:pt>
                <c:pt idx="1">
                  <c:v>69.53543333333333</c:v>
                </c:pt>
                <c:pt idx="2">
                  <c:v>141.39226666666667</c:v>
                </c:pt>
                <c:pt idx="3">
                  <c:v>211.26166666666666</c:v>
                </c:pt>
                <c:pt idx="4">
                  <c:v>0</c:v>
                </c:pt>
              </c:numCache>
            </c:numRef>
          </c:xVal>
          <c:yVal>
            <c:numRef>
              <c:f>ExpData161130!$M$9:$M$13</c:f>
              <c:numCache>
                <c:formatCode>General</c:formatCode>
                <c:ptCount val="5"/>
                <c:pt idx="0">
                  <c:v>4.2218308607999999</c:v>
                </c:pt>
                <c:pt idx="1">
                  <c:v>2.8030695167999999</c:v>
                </c:pt>
                <c:pt idx="2">
                  <c:v>1.5553173503999997</c:v>
                </c:pt>
                <c:pt idx="3">
                  <c:v>0.24622156800000003</c:v>
                </c:pt>
                <c:pt idx="4">
                  <c:v>0</c:v>
                </c:pt>
              </c:numCache>
            </c:numRef>
          </c:yVal>
        </c:ser>
        <c:ser>
          <c:idx val="2"/>
          <c:order val="2"/>
          <c:tx>
            <c:strRef>
              <c:f>ExpData161130!$A$17</c:f>
              <c:strCache>
                <c:ptCount val="1"/>
                <c:pt idx="0">
                  <c:v>#2ePTFE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ExpData161130!$D$15:$D$19</c:f>
              <c:numCache>
                <c:formatCode>General</c:formatCode>
                <c:ptCount val="5"/>
                <c:pt idx="0">
                  <c:v>0</c:v>
                </c:pt>
                <c:pt idx="1">
                  <c:v>69.566000000000003</c:v>
                </c:pt>
                <c:pt idx="2">
                  <c:v>141.60266666666666</c:v>
                </c:pt>
                <c:pt idx="3">
                  <c:v>211.26733333333334</c:v>
                </c:pt>
                <c:pt idx="4">
                  <c:v>281.44509999999997</c:v>
                </c:pt>
              </c:numCache>
            </c:numRef>
          </c:xVal>
          <c:yVal>
            <c:numRef>
              <c:f>ExpData161130!$M$15:$M$19</c:f>
              <c:numCache>
                <c:formatCode>General</c:formatCode>
                <c:ptCount val="5"/>
                <c:pt idx="0">
                  <c:v>10.728884735999999</c:v>
                </c:pt>
                <c:pt idx="1">
                  <c:v>6.7713711627906985</c:v>
                </c:pt>
                <c:pt idx="2">
                  <c:v>5.5270333439999995</c:v>
                </c:pt>
                <c:pt idx="3">
                  <c:v>3.0934241280000001</c:v>
                </c:pt>
                <c:pt idx="4">
                  <c:v>0.32185294698240002</c:v>
                </c:pt>
              </c:numCache>
            </c:numRef>
          </c:yVal>
        </c:ser>
        <c:axId val="82282368"/>
        <c:axId val="82297216"/>
      </c:scatterChart>
      <c:valAx>
        <c:axId val="8228236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altLang="zh-CN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concentration(g/l)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97216"/>
        <c:crosses val="autoZero"/>
        <c:crossBetween val="midCat"/>
      </c:valAx>
      <c:valAx>
        <c:axId val="822972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fkux(kg/m2 h)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8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dimensionless</a:t>
            </a:r>
            <a:r>
              <a:rPr lang="en-US" altLang="zh-CN" baseline="0"/>
              <a:t> flux-conc.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strRef>
              <c:f>ExpData161130!$A$5</c:f>
              <c:strCache>
                <c:ptCount val="1"/>
                <c:pt idx="0">
                  <c:v>#3PVDF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ExpData161130!$D$3:$D$7</c:f>
              <c:numCache>
                <c:formatCode>General</c:formatCode>
                <c:ptCount val="5"/>
                <c:pt idx="0">
                  <c:v>69.566000000000003</c:v>
                </c:pt>
                <c:pt idx="1">
                  <c:v>141.60266666666666</c:v>
                </c:pt>
                <c:pt idx="2">
                  <c:v>211.26733333333334</c:v>
                </c:pt>
                <c:pt idx="3">
                  <c:v>281.44509999999997</c:v>
                </c:pt>
                <c:pt idx="4">
                  <c:v>0</c:v>
                </c:pt>
              </c:numCache>
            </c:numRef>
          </c:xVal>
          <c:yVal>
            <c:numRef>
              <c:f>ExpData161130!$O$3:$O$7</c:f>
              <c:numCache>
                <c:formatCode>General</c:formatCode>
                <c:ptCount val="5"/>
                <c:pt idx="0">
                  <c:v>0.97040255071693671</c:v>
                </c:pt>
                <c:pt idx="1">
                  <c:v>0.85622088137334484</c:v>
                </c:pt>
                <c:pt idx="2">
                  <c:v>0.67176232994993212</c:v>
                </c:pt>
                <c:pt idx="3">
                  <c:v>0.58306555516732339</c:v>
                </c:pt>
                <c:pt idx="4">
                  <c:v>1</c:v>
                </c:pt>
              </c:numCache>
            </c:numRef>
          </c:yVal>
        </c:ser>
        <c:ser>
          <c:idx val="1"/>
          <c:order val="1"/>
          <c:tx>
            <c:strRef>
              <c:f>ExpData161130!$A$10</c:f>
              <c:strCache>
                <c:ptCount val="1"/>
                <c:pt idx="0">
                  <c:v>#1PTFE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ExpData161130!$D$9:$D$13</c:f>
              <c:numCache>
                <c:formatCode>General</c:formatCode>
                <c:ptCount val="5"/>
                <c:pt idx="0">
                  <c:v>0</c:v>
                </c:pt>
                <c:pt idx="1">
                  <c:v>69.53543333333333</c:v>
                </c:pt>
                <c:pt idx="2">
                  <c:v>141.39226666666667</c:v>
                </c:pt>
                <c:pt idx="3">
                  <c:v>211.26166666666666</c:v>
                </c:pt>
                <c:pt idx="4">
                  <c:v>0</c:v>
                </c:pt>
              </c:numCache>
            </c:numRef>
          </c:xVal>
          <c:yVal>
            <c:numRef>
              <c:f>ExpData161130!$O$9:$O$13</c:f>
              <c:numCache>
                <c:formatCode>General</c:formatCode>
                <c:ptCount val="5"/>
                <c:pt idx="0">
                  <c:v>1</c:v>
                </c:pt>
                <c:pt idx="1">
                  <c:v>0.66394642732533415</c:v>
                </c:pt>
                <c:pt idx="2">
                  <c:v>0.36839878282221866</c:v>
                </c:pt>
                <c:pt idx="3">
                  <c:v>5.8321040353886466E-2</c:v>
                </c:pt>
                <c:pt idx="4">
                  <c:v>0</c:v>
                </c:pt>
              </c:numCache>
            </c:numRef>
          </c:yVal>
        </c:ser>
        <c:ser>
          <c:idx val="2"/>
          <c:order val="2"/>
          <c:tx>
            <c:strRef>
              <c:f>ExpData161130!$A$17</c:f>
              <c:strCache>
                <c:ptCount val="1"/>
                <c:pt idx="0">
                  <c:v>#2ePTFE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ExpData161130!$D$15:$D$19</c:f>
              <c:numCache>
                <c:formatCode>General</c:formatCode>
                <c:ptCount val="5"/>
                <c:pt idx="0">
                  <c:v>0</c:v>
                </c:pt>
                <c:pt idx="1">
                  <c:v>69.566000000000003</c:v>
                </c:pt>
                <c:pt idx="2">
                  <c:v>141.60266666666666</c:v>
                </c:pt>
                <c:pt idx="3">
                  <c:v>211.26733333333334</c:v>
                </c:pt>
                <c:pt idx="4">
                  <c:v>281.44509999999997</c:v>
                </c:pt>
              </c:numCache>
            </c:numRef>
          </c:xVal>
          <c:yVal>
            <c:numRef>
              <c:f>ExpData161130!$O$15:$O$19</c:f>
              <c:numCache>
                <c:formatCode>General</c:formatCode>
                <c:ptCount val="5"/>
                <c:pt idx="0">
                  <c:v>1</c:v>
                </c:pt>
                <c:pt idx="1">
                  <c:v>0.63113467330577711</c:v>
                </c:pt>
                <c:pt idx="2">
                  <c:v>0.51515450859998868</c:v>
                </c:pt>
                <c:pt idx="3">
                  <c:v>0.28832671839788143</c:v>
                </c:pt>
                <c:pt idx="4">
                  <c:v>2.9998732850810266E-2</c:v>
                </c:pt>
              </c:numCache>
            </c:numRef>
          </c:yVal>
        </c:ser>
        <c:axId val="83044992"/>
        <c:axId val="83075840"/>
      </c:scatterChart>
      <c:valAx>
        <c:axId val="8304499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concentration(g/l)</a:t>
                </a:r>
                <a:endParaRPr lang="zh-CN" altLang="en-US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75840"/>
        <c:crosses val="autoZero"/>
        <c:crossBetween val="midCat"/>
      </c:valAx>
      <c:valAx>
        <c:axId val="830758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flux</a:t>
                </a:r>
                <a:endParaRPr lang="zh-CN" altLang="en-US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4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220805376"/>
        <c:axId val="221507584"/>
      </c:scatterChart>
      <c:valAx>
        <c:axId val="220805376"/>
        <c:scaling>
          <c:orientation val="minMax"/>
        </c:scaling>
        <c:axPos val="b"/>
        <c:numFmt formatCode="0.00E+00" sourceLinked="1"/>
        <c:tickLblPos val="nextTo"/>
        <c:crossAx val="221507584"/>
        <c:crosses val="autoZero"/>
        <c:crossBetween val="midCat"/>
      </c:valAx>
      <c:valAx>
        <c:axId val="221507584"/>
        <c:scaling>
          <c:orientation val="minMax"/>
        </c:scaling>
        <c:axPos val="l"/>
        <c:majorGridlines/>
        <c:numFmt formatCode="General" sourceLinked="1"/>
        <c:tickLblPos val="nextTo"/>
        <c:crossAx val="22080537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20</xdr:row>
      <xdr:rowOff>9525</xdr:rowOff>
    </xdr:from>
    <xdr:to>
      <xdr:col>7</xdr:col>
      <xdr:colOff>314325</xdr:colOff>
      <xdr:row>36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20</xdr:row>
      <xdr:rowOff>9525</xdr:rowOff>
    </xdr:from>
    <xdr:to>
      <xdr:col>14</xdr:col>
      <xdr:colOff>66675</xdr:colOff>
      <xdr:row>36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MD%20experiments/20161130%20exp.data_YCL/&#27719;&#24635;2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  <cell r="Y15">
            <v>0</v>
          </cell>
        </row>
        <row r="16">
          <cell r="P16" t="str">
            <v>ePTFE</v>
          </cell>
          <cell r="Q16">
            <v>46.848783530878762</v>
          </cell>
          <cell r="R16">
            <v>45.433250155957296</v>
          </cell>
          <cell r="S16">
            <v>19.989925140361731</v>
          </cell>
          <cell r="T16">
            <v>21.583000623829477</v>
          </cell>
          <cell r="U16">
            <v>25.324775484892648</v>
          </cell>
          <cell r="V16">
            <v>1.0575562188444444E-2</v>
          </cell>
          <cell r="W16">
            <v>1.0878928809055555E-2</v>
          </cell>
          <cell r="X16">
            <v>6.7713711627906985</v>
          </cell>
          <cell r="Y16">
            <v>6.5039999999999996</v>
          </cell>
        </row>
        <row r="17">
          <cell r="P17" t="str">
            <v>ePTFE</v>
          </cell>
          <cell r="Q17">
            <v>46.810284463894057</v>
          </cell>
          <cell r="R17">
            <v>46.127227258519227</v>
          </cell>
          <cell r="S17">
            <v>19.900375117224076</v>
          </cell>
          <cell r="T17">
            <v>21.569084088778226</v>
          </cell>
          <cell r="U17">
            <v>25.716106122382811</v>
          </cell>
          <cell r="V17">
            <v>1.0575562188444444E-2</v>
          </cell>
          <cell r="W17">
            <v>1.0878928809055555E-2</v>
          </cell>
          <cell r="X17">
            <v>5.5270333439999995</v>
          </cell>
          <cell r="Y17">
            <v>12.406000000000001</v>
          </cell>
        </row>
        <row r="18">
          <cell r="P18" t="str">
            <v>ePTFE</v>
          </cell>
          <cell r="Q18">
            <v>46.866582914572703</v>
          </cell>
          <cell r="R18">
            <v>45.261652010050049</v>
          </cell>
          <cell r="S18">
            <v>19.998618090452187</v>
          </cell>
          <cell r="T18">
            <v>21.251664572864392</v>
          </cell>
          <cell r="U18">
            <v>25.412196622905832</v>
          </cell>
          <cell r="V18">
            <v>1.0575562188444444E-2</v>
          </cell>
          <cell r="W18">
            <v>1.0878928809055555E-2</v>
          </cell>
          <cell r="X18">
            <v>3.0934241280000001</v>
          </cell>
          <cell r="Y18">
            <v>17.439</v>
          </cell>
        </row>
        <row r="19">
          <cell r="P19" t="str">
            <v>ePTFE</v>
          </cell>
          <cell r="Q19">
            <v>47.081704781703998</v>
          </cell>
          <cell r="R19">
            <v>45.950311850311486</v>
          </cell>
          <cell r="S19">
            <v>19.971794871794781</v>
          </cell>
          <cell r="T19">
            <v>21.224081774082016</v>
          </cell>
          <cell r="U19">
            <v>25.899790799170869</v>
          </cell>
          <cell r="V19">
            <v>1.0575562188444444E-2</v>
          </cell>
          <cell r="W19">
            <v>1.0878928809055555E-2</v>
          </cell>
          <cell r="X19">
            <v>0.32185294698240002</v>
          </cell>
          <cell r="Y19">
            <v>21.963999999999999</v>
          </cell>
        </row>
      </sheetData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imary result"/>
      <sheetName val="eff.concentration"/>
    </sheetNames>
    <sheetDataSet>
      <sheetData sheetId="0">
        <row r="2">
          <cell r="C2" t="str">
            <v>#3PVDF</v>
          </cell>
          <cell r="D2">
            <v>31.25</v>
          </cell>
          <cell r="E2">
            <v>3</v>
          </cell>
          <cell r="F2">
            <v>69.56</v>
          </cell>
          <cell r="I2">
            <v>98</v>
          </cell>
          <cell r="J2">
            <v>94</v>
          </cell>
          <cell r="K2">
            <v>20.023534000000001</v>
          </cell>
          <cell r="L2">
            <v>20.330677000000001</v>
          </cell>
          <cell r="M2">
            <v>46.782744000000001</v>
          </cell>
          <cell r="N2">
            <v>45.384247999999999</v>
          </cell>
          <cell r="O2">
            <v>4.2887860000000002E-3</v>
          </cell>
        </row>
        <row r="3">
          <cell r="D3">
            <v>31.25</v>
          </cell>
          <cell r="E3">
            <v>3</v>
          </cell>
          <cell r="F3">
            <v>69.582999999999998</v>
          </cell>
          <cell r="I3">
            <v>98</v>
          </cell>
          <cell r="J3">
            <v>94</v>
          </cell>
          <cell r="K3">
            <v>19.961779</v>
          </cell>
          <cell r="L3">
            <v>20.553080999999999</v>
          </cell>
          <cell r="M3">
            <v>46.723261999999998</v>
          </cell>
          <cell r="N3">
            <v>45.772125000000003</v>
          </cell>
          <cell r="O3">
            <v>4.1537654000000004E-3</v>
          </cell>
        </row>
        <row r="4">
          <cell r="D4">
            <v>31.25</v>
          </cell>
          <cell r="E4">
            <v>3</v>
          </cell>
          <cell r="F4">
            <v>69.555000000000007</v>
          </cell>
          <cell r="I4">
            <v>98</v>
          </cell>
          <cell r="J4">
            <v>94</v>
          </cell>
          <cell r="K4">
            <v>20.009757</v>
          </cell>
          <cell r="L4">
            <v>20.300325999999998</v>
          </cell>
          <cell r="M4">
            <v>46.856329000000002</v>
          </cell>
          <cell r="N4">
            <v>46.079579000000003</v>
          </cell>
          <cell r="O4">
            <v>4.5833927999999998E-3</v>
          </cell>
        </row>
        <row r="5">
          <cell r="C5" t="str">
            <v>#3PVDF</v>
          </cell>
          <cell r="D5">
            <v>31.25</v>
          </cell>
          <cell r="E5">
            <v>3</v>
          </cell>
          <cell r="F5">
            <v>141.63900000000001</v>
          </cell>
          <cell r="I5">
            <v>98</v>
          </cell>
          <cell r="J5">
            <v>94</v>
          </cell>
          <cell r="K5">
            <v>19.977509999999999</v>
          </cell>
          <cell r="L5">
            <v>20.563821999999998</v>
          </cell>
          <cell r="M5">
            <v>46.763052000000002</v>
          </cell>
          <cell r="N5">
            <v>45.729216999999998</v>
          </cell>
          <cell r="O5">
            <v>3.827249E-3</v>
          </cell>
        </row>
        <row r="6">
          <cell r="D6">
            <v>31.25</v>
          </cell>
          <cell r="E6">
            <v>3</v>
          </cell>
          <cell r="F6">
            <v>141.63900000000001</v>
          </cell>
          <cell r="I6">
            <v>98</v>
          </cell>
          <cell r="J6">
            <v>94</v>
          </cell>
          <cell r="K6">
            <v>19.965447999999999</v>
          </cell>
          <cell r="L6">
            <v>20.722349000000001</v>
          </cell>
          <cell r="M6">
            <v>46.917642000000001</v>
          </cell>
          <cell r="N6">
            <v>46.077421999999999</v>
          </cell>
          <cell r="O6">
            <v>3.5529122000000002E-3</v>
          </cell>
        </row>
        <row r="7">
          <cell r="D7">
            <v>31.25</v>
          </cell>
          <cell r="E7">
            <v>3</v>
          </cell>
          <cell r="F7">
            <v>141.53</v>
          </cell>
          <cell r="I7">
            <v>98</v>
          </cell>
          <cell r="J7">
            <v>94</v>
          </cell>
          <cell r="K7">
            <v>20.119669999999999</v>
          </cell>
          <cell r="L7">
            <v>20.834351999999999</v>
          </cell>
          <cell r="M7">
            <v>47.236775999999999</v>
          </cell>
          <cell r="N7">
            <v>46.041201000000001</v>
          </cell>
          <cell r="O7">
            <v>4.1130953000000003E-3</v>
          </cell>
        </row>
        <row r="8">
          <cell r="C8" t="str">
            <v>#3PVDF</v>
          </cell>
          <cell r="D8">
            <v>31.25</v>
          </cell>
          <cell r="E8">
            <v>3</v>
          </cell>
          <cell r="F8">
            <v>211.28200000000001</v>
          </cell>
          <cell r="I8">
            <v>98</v>
          </cell>
          <cell r="J8">
            <v>94</v>
          </cell>
          <cell r="K8">
            <v>19.823257999999999</v>
          </cell>
          <cell r="L8">
            <v>20.711842999999998</v>
          </cell>
          <cell r="M8">
            <v>46.731850999999999</v>
          </cell>
          <cell r="N8">
            <v>45.548782000000003</v>
          </cell>
          <cell r="O8">
            <v>3.0110521999999998E-3</v>
          </cell>
        </row>
        <row r="9">
          <cell r="D9">
            <v>31.25</v>
          </cell>
          <cell r="E9">
            <v>3</v>
          </cell>
          <cell r="F9">
            <v>211.26</v>
          </cell>
          <cell r="I9">
            <v>98</v>
          </cell>
          <cell r="J9">
            <v>94</v>
          </cell>
          <cell r="K9">
            <v>19.896543999999999</v>
          </cell>
          <cell r="L9">
            <v>20.531760999999999</v>
          </cell>
          <cell r="M9">
            <v>46.819569999999999</v>
          </cell>
          <cell r="N9">
            <v>45.754741000000003</v>
          </cell>
          <cell r="O9">
            <v>2.8766769999999998E-3</v>
          </cell>
        </row>
        <row r="10">
          <cell r="D10">
            <v>31.25</v>
          </cell>
          <cell r="E10">
            <v>3</v>
          </cell>
          <cell r="F10">
            <v>211.26</v>
          </cell>
          <cell r="I10">
            <v>98</v>
          </cell>
          <cell r="J10">
            <v>94</v>
          </cell>
          <cell r="K10">
            <v>19.869620000000001</v>
          </cell>
          <cell r="L10">
            <v>20.607797000000001</v>
          </cell>
          <cell r="M10">
            <v>46.998632999999998</v>
          </cell>
          <cell r="N10">
            <v>45.856709000000002</v>
          </cell>
          <cell r="O10">
            <v>3.1294962999999999E-3</v>
          </cell>
        </row>
        <row r="11">
          <cell r="C11" t="str">
            <v>#3PVDF</v>
          </cell>
          <cell r="D11">
            <v>31.25</v>
          </cell>
          <cell r="E11">
            <v>3</v>
          </cell>
          <cell r="F11">
            <v>281.40530000000001</v>
          </cell>
          <cell r="I11">
            <v>98</v>
          </cell>
          <cell r="J11">
            <v>94</v>
          </cell>
          <cell r="K11">
            <v>20.181401999999999</v>
          </cell>
          <cell r="L11">
            <v>20.785309999999999</v>
          </cell>
          <cell r="M11">
            <v>47.187331999999998</v>
          </cell>
          <cell r="N11">
            <v>45.896833000000001</v>
          </cell>
          <cell r="O11">
            <v>2.5719582000000001E-3</v>
          </cell>
        </row>
        <row r="12">
          <cell r="D12">
            <v>31.25</v>
          </cell>
          <cell r="E12">
            <v>3</v>
          </cell>
          <cell r="F12">
            <v>281.471</v>
          </cell>
          <cell r="I12">
            <v>98</v>
          </cell>
          <cell r="J12">
            <v>94</v>
          </cell>
          <cell r="K12">
            <v>20.077441</v>
          </cell>
          <cell r="L12">
            <v>20.739701</v>
          </cell>
          <cell r="M12">
            <v>46.731257999999997</v>
          </cell>
          <cell r="N12">
            <v>45.470703999999998</v>
          </cell>
          <cell r="O12">
            <v>2.6025496999999998E-3</v>
          </cell>
        </row>
        <row r="13">
          <cell r="D13">
            <v>31.25</v>
          </cell>
          <cell r="E13">
            <v>3</v>
          </cell>
          <cell r="F13">
            <v>281.459</v>
          </cell>
          <cell r="I13">
            <v>98</v>
          </cell>
          <cell r="J13">
            <v>94</v>
          </cell>
          <cell r="K13">
            <v>20.086855</v>
          </cell>
          <cell r="L13">
            <v>20.706842999999999</v>
          </cell>
          <cell r="M13">
            <v>46.803511</v>
          </cell>
          <cell r="N13">
            <v>45.908102999999997</v>
          </cell>
          <cell r="O13">
            <v>2.6521196999999999E-3</v>
          </cell>
        </row>
        <row r="14">
          <cell r="C14" t="str">
            <v>#3PVDF</v>
          </cell>
          <cell r="D14">
            <v>31.25</v>
          </cell>
          <cell r="E14">
            <v>3</v>
          </cell>
          <cell r="F14">
            <v>0</v>
          </cell>
          <cell r="I14">
            <v>98</v>
          </cell>
          <cell r="J14">
            <v>94</v>
          </cell>
          <cell r="K14">
            <v>19.836213000000001</v>
          </cell>
          <cell r="L14">
            <v>20.75882</v>
          </cell>
          <cell r="M14">
            <v>47.171384000000003</v>
          </cell>
          <cell r="N14">
            <v>45.864080000000001</v>
          </cell>
          <cell r="O14">
            <v>4.6617307999999996E-3</v>
          </cell>
        </row>
        <row r="15">
          <cell r="D15">
            <v>31.25</v>
          </cell>
          <cell r="E15">
            <v>3</v>
          </cell>
          <cell r="F15">
            <v>0</v>
          </cell>
          <cell r="I15">
            <v>98</v>
          </cell>
          <cell r="J15">
            <v>94</v>
          </cell>
          <cell r="K15">
            <v>19.928771999999999</v>
          </cell>
          <cell r="L15">
            <v>20.816649999999999</v>
          </cell>
          <cell r="M15">
            <v>46.916454999999999</v>
          </cell>
          <cell r="N15">
            <v>45.563493999999999</v>
          </cell>
          <cell r="O15">
            <v>4.4279022999999997E-3</v>
          </cell>
        </row>
        <row r="16">
          <cell r="D16">
            <v>31.25</v>
          </cell>
          <cell r="E16">
            <v>3</v>
          </cell>
          <cell r="F16">
            <v>0</v>
          </cell>
          <cell r="I16">
            <v>98</v>
          </cell>
          <cell r="J16">
            <v>94</v>
          </cell>
          <cell r="K16">
            <v>19.902256999999999</v>
          </cell>
          <cell r="L16">
            <v>20.685841</v>
          </cell>
          <cell r="M16">
            <v>46.735602</v>
          </cell>
          <cell r="N16">
            <v>45.466107999999998</v>
          </cell>
          <cell r="O16">
            <v>4.3336047000000003E-3</v>
          </cell>
        </row>
        <row r="17">
          <cell r="C17" t="str">
            <v>#1PTFE</v>
          </cell>
          <cell r="D17">
            <v>31.25</v>
          </cell>
          <cell r="E17">
            <v>3</v>
          </cell>
          <cell r="F17">
            <v>0</v>
          </cell>
          <cell r="I17">
            <v>98</v>
          </cell>
          <cell r="J17">
            <v>94</v>
          </cell>
          <cell r="K17">
            <v>19.995996999999999</v>
          </cell>
          <cell r="L17">
            <v>21.146885000000001</v>
          </cell>
          <cell r="M17">
            <v>46.932158999999999</v>
          </cell>
          <cell r="N17">
            <v>45.428068000000003</v>
          </cell>
          <cell r="O17">
            <v>3.9783984000000003E-3</v>
          </cell>
        </row>
        <row r="18">
          <cell r="D18">
            <v>31.25</v>
          </cell>
          <cell r="E18">
            <v>3</v>
          </cell>
          <cell r="F18">
            <v>0</v>
          </cell>
          <cell r="I18">
            <v>98</v>
          </cell>
          <cell r="J18">
            <v>94</v>
          </cell>
          <cell r="K18">
            <v>19.924395000000001</v>
          </cell>
          <cell r="L18">
            <v>21.081990999999999</v>
          </cell>
          <cell r="M18">
            <v>46.710863000000003</v>
          </cell>
          <cell r="N18">
            <v>45.227260999999999</v>
          </cell>
          <cell r="O18">
            <v>2.8882195000000002E-3</v>
          </cell>
        </row>
        <row r="19">
          <cell r="D19">
            <v>31.25</v>
          </cell>
          <cell r="E19">
            <v>3</v>
          </cell>
          <cell r="F19">
            <v>0</v>
          </cell>
          <cell r="I19">
            <v>98</v>
          </cell>
          <cell r="J19">
            <v>94</v>
          </cell>
          <cell r="K19">
            <v>19.924524999999999</v>
          </cell>
          <cell r="L19">
            <v>20.953102999999999</v>
          </cell>
          <cell r="M19">
            <v>47.082920999999999</v>
          </cell>
          <cell r="N19">
            <v>45.857165999999999</v>
          </cell>
          <cell r="O19">
            <v>4.1277333000000003E-3</v>
          </cell>
        </row>
        <row r="20">
          <cell r="C20" t="str">
            <v>#1PTFE</v>
          </cell>
          <cell r="D20">
            <v>31.25</v>
          </cell>
          <cell r="E20">
            <v>3</v>
          </cell>
          <cell r="F20">
            <v>69.500299999999996</v>
          </cell>
          <cell r="I20">
            <v>98</v>
          </cell>
          <cell r="J20">
            <v>94</v>
          </cell>
          <cell r="K20">
            <v>19.915969</v>
          </cell>
          <cell r="L20">
            <v>21.026779999999999</v>
          </cell>
          <cell r="M20">
            <v>46.834726000000003</v>
          </cell>
          <cell r="N20">
            <v>45.462305999999998</v>
          </cell>
          <cell r="O20">
            <v>2.6051859999999998E-3</v>
          </cell>
        </row>
        <row r="21">
          <cell r="D21">
            <v>31.25</v>
          </cell>
          <cell r="E21">
            <v>3</v>
          </cell>
          <cell r="F21">
            <v>69.552999999999997</v>
          </cell>
          <cell r="I21">
            <v>98</v>
          </cell>
          <cell r="J21">
            <v>94</v>
          </cell>
          <cell r="K21">
            <v>19.858008000000002</v>
          </cell>
          <cell r="L21">
            <v>20.868282000000001</v>
          </cell>
          <cell r="M21">
            <v>46.724566000000003</v>
          </cell>
          <cell r="N21">
            <v>45.511439000000003</v>
          </cell>
          <cell r="O21">
            <v>2.3730052000000001E-3</v>
          </cell>
        </row>
        <row r="22">
          <cell r="D22">
            <v>31.25</v>
          </cell>
          <cell r="E22">
            <v>3</v>
          </cell>
          <cell r="F22">
            <v>69.552999999999997</v>
          </cell>
          <cell r="I22">
            <v>98</v>
          </cell>
          <cell r="J22">
            <v>94</v>
          </cell>
          <cell r="K22">
            <v>19.912194</v>
          </cell>
          <cell r="L22">
            <v>20.765387</v>
          </cell>
          <cell r="M22">
            <v>47.055352999999997</v>
          </cell>
          <cell r="N22">
            <v>45.517465999999999</v>
          </cell>
          <cell r="O22">
            <v>2.321469E-3</v>
          </cell>
        </row>
        <row r="23">
          <cell r="C23" t="str">
            <v>#1PTFE</v>
          </cell>
          <cell r="D23">
            <v>31.25</v>
          </cell>
          <cell r="E23">
            <v>3</v>
          </cell>
          <cell r="F23">
            <v>141.0703</v>
          </cell>
          <cell r="I23">
            <v>98</v>
          </cell>
          <cell r="J23">
            <v>94</v>
          </cell>
          <cell r="K23">
            <v>19.992736000000001</v>
          </cell>
          <cell r="L23">
            <v>20.890882000000001</v>
          </cell>
          <cell r="M23">
            <v>46.846423999999999</v>
          </cell>
          <cell r="N23">
            <v>45.546548000000001</v>
          </cell>
          <cell r="O23">
            <v>1.4326702000000001E-3</v>
          </cell>
        </row>
        <row r="24">
          <cell r="D24">
            <v>31.25</v>
          </cell>
          <cell r="E24">
            <v>3</v>
          </cell>
          <cell r="F24">
            <v>141.5565</v>
          </cell>
          <cell r="I24">
            <v>98</v>
          </cell>
          <cell r="J24">
            <v>94</v>
          </cell>
          <cell r="K24">
            <v>20.009806999999999</v>
          </cell>
          <cell r="L24">
            <v>20.899156000000001</v>
          </cell>
          <cell r="M24">
            <v>46.633228000000003</v>
          </cell>
          <cell r="N24">
            <v>45.166559999999997</v>
          </cell>
          <cell r="O24">
            <v>1.4049126999999999E-3</v>
          </cell>
        </row>
        <row r="25">
          <cell r="D25">
            <v>31.25</v>
          </cell>
          <cell r="E25">
            <v>3</v>
          </cell>
          <cell r="F25">
            <v>141.55000000000001</v>
          </cell>
          <cell r="I25">
            <v>98</v>
          </cell>
          <cell r="J25">
            <v>94</v>
          </cell>
          <cell r="K25">
            <v>19.692053999999999</v>
          </cell>
          <cell r="L25">
            <v>20.420978000000002</v>
          </cell>
          <cell r="M25">
            <v>46.850340000000003</v>
          </cell>
          <cell r="N25">
            <v>45.804163000000003</v>
          </cell>
          <cell r="O25">
            <v>1.2127227000000001E-3</v>
          </cell>
        </row>
        <row r="26">
          <cell r="C26" t="str">
            <v>#1PTFE</v>
          </cell>
          <cell r="D26">
            <v>31.25</v>
          </cell>
          <cell r="E26">
            <v>3</v>
          </cell>
          <cell r="F26">
            <v>211.26499999999999</v>
          </cell>
          <cell r="I26">
            <v>98</v>
          </cell>
          <cell r="J26">
            <v>94</v>
          </cell>
          <cell r="K26">
            <v>19.941050000000001</v>
          </cell>
          <cell r="L26">
            <v>20.574325999999999</v>
          </cell>
          <cell r="M26">
            <v>47.140931000000002</v>
          </cell>
          <cell r="N26">
            <v>46.083371999999997</v>
          </cell>
          <cell r="O26">
            <v>2.0173270000000001E-4</v>
          </cell>
        </row>
        <row r="27">
          <cell r="D27">
            <v>31.25</v>
          </cell>
          <cell r="E27">
            <v>3</v>
          </cell>
          <cell r="F27">
            <v>211.26499999999999</v>
          </cell>
          <cell r="I27">
            <v>98</v>
          </cell>
          <cell r="J27">
            <v>94</v>
          </cell>
          <cell r="K27">
            <v>20.155515999999999</v>
          </cell>
          <cell r="L27">
            <v>20.893260999999999</v>
          </cell>
          <cell r="M27">
            <v>47.622903999999998</v>
          </cell>
          <cell r="N27">
            <v>46.149971000000001</v>
          </cell>
          <cell r="O27">
            <v>3.2753779999999998E-4</v>
          </cell>
        </row>
        <row r="28">
          <cell r="D28">
            <v>31.25</v>
          </cell>
          <cell r="E28">
            <v>3</v>
          </cell>
          <cell r="F28">
            <v>211.255</v>
          </cell>
          <cell r="I28">
            <v>98</v>
          </cell>
          <cell r="J28">
            <v>94</v>
          </cell>
          <cell r="K28">
            <v>20.126283000000001</v>
          </cell>
          <cell r="L28">
            <v>20.832934999999999</v>
          </cell>
          <cell r="M28">
            <v>46.811818000000002</v>
          </cell>
          <cell r="N28">
            <v>45.504075999999998</v>
          </cell>
          <cell r="O28">
            <v>1.119315E-4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29_experiment_data\Conductivity_C%20curve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4"/>
  <sheetViews>
    <sheetView workbookViewId="0">
      <pane xSplit="2" ySplit="1" topLeftCell="W14" activePane="bottomRight" state="frozen"/>
      <selection pane="topRight" activeCell="C1" sqref="C1"/>
      <selection pane="bottomLeft" activeCell="A2" sqref="A2"/>
      <selection pane="bottomRight" activeCell="AP8" sqref="AP8"/>
    </sheetView>
  </sheetViews>
  <sheetFormatPr defaultColWidth="9.140625"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1" width="9.140625" style="17" customWidth="1"/>
    <col min="12" max="12" width="11.28515625" style="17" customWidth="1"/>
    <col min="13" max="13" width="9.140625" style="17" customWidth="1"/>
    <col min="14" max="14" width="9.7109375" style="17" customWidth="1"/>
    <col min="15" max="15" width="9.140625" style="17" customWidth="1"/>
    <col min="16" max="19" width="10" style="17" customWidth="1"/>
    <col min="20" max="23" width="9.140625" style="17" customWidth="1"/>
    <col min="24" max="25" width="10.28515625" style="17" customWidth="1"/>
    <col min="26" max="16384" width="9.140625" style="17"/>
  </cols>
  <sheetData>
    <row r="1" spans="1:42">
      <c r="A1" s="16" t="s">
        <v>69</v>
      </c>
    </row>
    <row r="3" spans="1:42">
      <c r="A3" s="18" t="s">
        <v>91</v>
      </c>
    </row>
    <row r="4" spans="1:42" s="30" customFormat="1">
      <c r="A4" s="30" t="s">
        <v>79</v>
      </c>
      <c r="C4" s="30" t="s">
        <v>48</v>
      </c>
    </row>
    <row r="5" spans="1:42" s="30" customFormat="1">
      <c r="A5" s="30" t="s">
        <v>57</v>
      </c>
      <c r="C5" s="30" t="s">
        <v>59</v>
      </c>
      <c r="D5" s="30" t="s">
        <v>58</v>
      </c>
      <c r="E5" s="30" t="s">
        <v>58</v>
      </c>
    </row>
    <row r="6" spans="1:42" s="30" customFormat="1">
      <c r="A6" s="30" t="s">
        <v>80</v>
      </c>
      <c r="C6" s="30" t="s">
        <v>60</v>
      </c>
      <c r="D6" s="30" t="s">
        <v>54</v>
      </c>
      <c r="E6" s="30" t="s">
        <v>49</v>
      </c>
      <c r="AA6" s="20" t="s">
        <v>60</v>
      </c>
      <c r="AB6" s="20" t="s">
        <v>60</v>
      </c>
      <c r="AC6" s="20" t="s">
        <v>60</v>
      </c>
      <c r="AD6" s="20" t="s">
        <v>60</v>
      </c>
      <c r="AE6" s="20" t="s">
        <v>60</v>
      </c>
      <c r="AG6" s="20" t="s">
        <v>54</v>
      </c>
      <c r="AH6" s="20" t="s">
        <v>54</v>
      </c>
      <c r="AI6" s="20" t="s">
        <v>54</v>
      </c>
      <c r="AJ6" s="20" t="s">
        <v>54</v>
      </c>
      <c r="AK6" s="20" t="s">
        <v>54</v>
      </c>
      <c r="AM6" s="20" t="s">
        <v>49</v>
      </c>
      <c r="AN6" s="20" t="s">
        <v>49</v>
      </c>
      <c r="AO6" s="20" t="s">
        <v>49</v>
      </c>
      <c r="AP6" s="20" t="s">
        <v>49</v>
      </c>
    </row>
    <row r="7" spans="1:42" s="30" customFormat="1">
      <c r="A7" s="30" t="s">
        <v>81</v>
      </c>
      <c r="B7" s="30" t="s">
        <v>67</v>
      </c>
      <c r="C7" s="31">
        <f>C8*C9</f>
        <v>31.25</v>
      </c>
      <c r="D7" s="31"/>
      <c r="E7" s="31">
        <f>E8*E9</f>
        <v>31.25</v>
      </c>
    </row>
    <row r="8" spans="1:42" s="30" customFormat="1">
      <c r="A8" s="30" t="s">
        <v>63</v>
      </c>
      <c r="B8" s="30" t="s">
        <v>52</v>
      </c>
      <c r="C8" s="31">
        <v>12.5</v>
      </c>
      <c r="D8" s="31"/>
      <c r="E8" s="31">
        <v>12.5</v>
      </c>
    </row>
    <row r="9" spans="1:42" s="30" customFormat="1">
      <c r="A9" s="30" t="s">
        <v>51</v>
      </c>
      <c r="B9" s="30" t="s">
        <v>52</v>
      </c>
      <c r="C9" s="31">
        <v>2.5</v>
      </c>
      <c r="D9" s="31"/>
      <c r="E9" s="31">
        <v>2.5</v>
      </c>
    </row>
    <row r="10" spans="1:42" s="30" customFormat="1">
      <c r="A10" s="30" t="s">
        <v>55</v>
      </c>
      <c r="B10" s="30" t="s">
        <v>56</v>
      </c>
      <c r="C10" s="30">
        <v>18.7</v>
      </c>
      <c r="D10" s="30">
        <v>11</v>
      </c>
      <c r="E10" s="30">
        <v>23</v>
      </c>
    </row>
    <row r="11" spans="1:42" s="30" customFormat="1">
      <c r="A11" s="30" t="s">
        <v>82</v>
      </c>
    </row>
    <row r="12" spans="1:42" s="30" customFormat="1">
      <c r="A12" s="30" t="s">
        <v>83</v>
      </c>
      <c r="C12" s="30">
        <v>132.25</v>
      </c>
      <c r="D12" s="30">
        <v>110.63</v>
      </c>
      <c r="E12" s="30">
        <v>125.25</v>
      </c>
    </row>
    <row r="13" spans="1:42" s="30" customFormat="1">
      <c r="A13" s="30" t="s">
        <v>84</v>
      </c>
      <c r="B13" s="30" t="s">
        <v>56</v>
      </c>
      <c r="C13" s="30" t="s">
        <v>53</v>
      </c>
      <c r="D13" s="30" t="s">
        <v>53</v>
      </c>
      <c r="E13" s="30" t="s">
        <v>53</v>
      </c>
    </row>
    <row r="14" spans="1:42" s="27" customFormat="1">
      <c r="A14" s="32" t="s">
        <v>92</v>
      </c>
    </row>
    <row r="15" spans="1:42" s="34" customFormat="1">
      <c r="A15" s="33" t="s">
        <v>64</v>
      </c>
      <c r="B15" s="33" t="s">
        <v>67</v>
      </c>
      <c r="C15" s="33">
        <v>12.5</v>
      </c>
      <c r="D15" s="33"/>
      <c r="E15" s="33"/>
    </row>
    <row r="16" spans="1:42" s="34" customFormat="1">
      <c r="A16" s="33" t="s">
        <v>65</v>
      </c>
      <c r="B16" s="33" t="s">
        <v>67</v>
      </c>
      <c r="C16" s="33">
        <v>2.5</v>
      </c>
      <c r="D16" s="33"/>
      <c r="E16" s="33"/>
    </row>
    <row r="17" spans="1:42" s="34" customFormat="1">
      <c r="A17" s="33" t="s">
        <v>66</v>
      </c>
      <c r="B17" s="33" t="s">
        <v>67</v>
      </c>
      <c r="C17" s="33">
        <v>1.5</v>
      </c>
      <c r="D17" s="33"/>
      <c r="E17" s="33"/>
    </row>
    <row r="18" spans="1:42" s="34" customFormat="1">
      <c r="A18" s="33" t="s">
        <v>76</v>
      </c>
      <c r="B18" s="33"/>
      <c r="C18" s="33" t="s">
        <v>50</v>
      </c>
      <c r="D18" s="33"/>
      <c r="E18" s="33"/>
    </row>
    <row r="19" spans="1:42" s="34" customFormat="1">
      <c r="A19" s="33" t="s">
        <v>77</v>
      </c>
      <c r="B19" s="33"/>
      <c r="C19" s="33" t="s">
        <v>78</v>
      </c>
      <c r="D19" s="33"/>
      <c r="E19" s="33"/>
    </row>
    <row r="20" spans="1:42">
      <c r="A20" s="18" t="s">
        <v>93</v>
      </c>
      <c r="C20" s="19"/>
      <c r="AA20" s="24">
        <f>100-AA21</f>
        <v>100</v>
      </c>
      <c r="AB20" s="24">
        <f t="shared" ref="AB20:AE20" si="0">100-AB21</f>
        <v>93.495999999999995</v>
      </c>
      <c r="AC20" s="24">
        <f t="shared" si="0"/>
        <v>87.593999999999994</v>
      </c>
      <c r="AD20" s="24">
        <f t="shared" si="0"/>
        <v>82.561000000000007</v>
      </c>
      <c r="AE20" s="24">
        <f t="shared" si="0"/>
        <v>78.036000000000001</v>
      </c>
    </row>
    <row r="21" spans="1:42" s="27" customFormat="1">
      <c r="A21" s="26" t="s">
        <v>94</v>
      </c>
      <c r="B21" s="26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AA21" s="53">
        <f>ExpData160515!AL11</f>
        <v>0</v>
      </c>
      <c r="AB21" s="53">
        <f>ExpData160515!AM11</f>
        <v>6.5039999999999996</v>
      </c>
      <c r="AC21" s="53">
        <f>ExpData160515!AN11</f>
        <v>12.406000000000001</v>
      </c>
      <c r="AD21" s="53">
        <f>ExpData160515!AO11</f>
        <v>17.439</v>
      </c>
      <c r="AE21" s="53">
        <f>ExpData160515!AP11</f>
        <v>21.963999999999999</v>
      </c>
    </row>
    <row r="22" spans="1:42" s="27" customFormat="1">
      <c r="A22" s="28" t="s">
        <v>125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AA22" s="26"/>
      <c r="AB22" s="26"/>
      <c r="AC22" s="26"/>
      <c r="AD22" s="26"/>
      <c r="AE22" s="26"/>
    </row>
    <row r="23" spans="1:42" s="27" customFormat="1">
      <c r="A23" s="26" t="s">
        <v>96</v>
      </c>
      <c r="B23" s="26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50</v>
      </c>
      <c r="N23" s="20">
        <v>75</v>
      </c>
      <c r="O23" s="20">
        <v>100</v>
      </c>
      <c r="P23" s="20">
        <v>125</v>
      </c>
      <c r="Q23" s="20">
        <v>150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  <c r="AA23" s="20">
        <v>100</v>
      </c>
      <c r="AB23" s="20">
        <v>100</v>
      </c>
      <c r="AC23" s="20">
        <v>100</v>
      </c>
      <c r="AD23" s="20">
        <v>100</v>
      </c>
      <c r="AE23" s="20">
        <v>100</v>
      </c>
      <c r="AG23" s="72">
        <f>ExpData161130!U4</f>
        <v>98</v>
      </c>
      <c r="AH23" s="72">
        <f>ExpData161130!V4</f>
        <v>98</v>
      </c>
      <c r="AI23" s="72">
        <f>ExpData161130!W4</f>
        <v>98</v>
      </c>
      <c r="AJ23" s="72">
        <f>ExpData161130!X4</f>
        <v>98</v>
      </c>
      <c r="AK23" s="72">
        <f>ExpData161130!Y4</f>
        <v>98</v>
      </c>
      <c r="AM23" s="72">
        <f>ExpData161130!AA4</f>
        <v>98</v>
      </c>
      <c r="AN23" s="72">
        <f>ExpData161130!AB4</f>
        <v>98</v>
      </c>
      <c r="AO23" s="72">
        <f>ExpData161130!AC4</f>
        <v>98</v>
      </c>
      <c r="AP23" s="72">
        <f>ExpData161130!AD4</f>
        <v>98</v>
      </c>
    </row>
    <row r="24" spans="1:42" s="27" customFormat="1">
      <c r="A24" s="29" t="s">
        <v>98</v>
      </c>
      <c r="B24" s="26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50</v>
      </c>
      <c r="S24" s="20">
        <v>75</v>
      </c>
      <c r="T24" s="20">
        <v>100</v>
      </c>
      <c r="U24" s="20">
        <v>125</v>
      </c>
      <c r="V24" s="20">
        <v>150</v>
      </c>
      <c r="W24" s="20">
        <v>100</v>
      </c>
      <c r="X24" s="20">
        <v>100</v>
      </c>
      <c r="Y24" s="20">
        <v>100</v>
      </c>
      <c r="AA24" s="20">
        <v>100</v>
      </c>
      <c r="AB24" s="20">
        <v>100</v>
      </c>
      <c r="AC24" s="20">
        <v>100</v>
      </c>
      <c r="AD24" s="20">
        <v>100</v>
      </c>
      <c r="AE24" s="20">
        <v>100</v>
      </c>
      <c r="AG24" s="72">
        <f>ExpData161130!U5</f>
        <v>94</v>
      </c>
      <c r="AH24" s="72">
        <f>ExpData161130!V5</f>
        <v>94</v>
      </c>
      <c r="AI24" s="72">
        <f>ExpData161130!W5</f>
        <v>94</v>
      </c>
      <c r="AJ24" s="72">
        <f>ExpData161130!X5</f>
        <v>94</v>
      </c>
      <c r="AK24" s="72">
        <f>ExpData161130!Y5</f>
        <v>94</v>
      </c>
      <c r="AM24" s="72">
        <f>ExpData161130!AA5</f>
        <v>94</v>
      </c>
      <c r="AN24" s="72">
        <f>ExpData161130!AB5</f>
        <v>94</v>
      </c>
      <c r="AO24" s="72">
        <f>ExpData161130!AC5</f>
        <v>94</v>
      </c>
      <c r="AP24" s="72">
        <f>ExpData161130!AD5</f>
        <v>94</v>
      </c>
    </row>
    <row r="25" spans="1:42" s="27" customFormat="1">
      <c r="A25" s="28" t="s">
        <v>126</v>
      </c>
      <c r="B25" s="26"/>
      <c r="C25" s="26"/>
      <c r="D25" s="29"/>
      <c r="E25" s="29"/>
      <c r="F25" s="29"/>
      <c r="G25" s="29"/>
      <c r="H25" s="26"/>
      <c r="I25" s="29"/>
      <c r="J25" s="29"/>
      <c r="K25" s="29"/>
      <c r="L25" s="29"/>
      <c r="M25" s="26"/>
      <c r="N25" s="29"/>
      <c r="O25" s="29"/>
      <c r="P25" s="29"/>
      <c r="Q25" s="29"/>
      <c r="R25" s="26"/>
      <c r="S25" s="29"/>
      <c r="T25" s="29"/>
      <c r="U25" s="29"/>
      <c r="V25" s="29"/>
      <c r="W25" s="26"/>
      <c r="X25" s="29"/>
      <c r="Y25" s="29"/>
    </row>
    <row r="26" spans="1:42" s="27" customFormat="1">
      <c r="A26" s="26" t="s">
        <v>96</v>
      </c>
      <c r="B26" s="26" t="s">
        <v>62</v>
      </c>
      <c r="C26" s="24">
        <f>-22.11+2.12*C23</f>
        <v>189.89</v>
      </c>
      <c r="D26" s="24">
        <f t="shared" ref="D26:G26" si="1">-22.11+2.12*D23</f>
        <v>189.89</v>
      </c>
      <c r="E26" s="24">
        <f t="shared" si="1"/>
        <v>189.89</v>
      </c>
      <c r="F26" s="24">
        <f t="shared" si="1"/>
        <v>189.89</v>
      </c>
      <c r="G26" s="24">
        <f t="shared" si="1"/>
        <v>189.89</v>
      </c>
      <c r="H26" s="24">
        <f>-22.11+2.12*H23</f>
        <v>189.89</v>
      </c>
      <c r="I26" s="24">
        <f t="shared" ref="I26:L26" si="2">-22.11+2.12*I23</f>
        <v>189.89</v>
      </c>
      <c r="J26" s="24">
        <f t="shared" si="2"/>
        <v>189.89</v>
      </c>
      <c r="K26" s="24">
        <f t="shared" si="2"/>
        <v>189.89</v>
      </c>
      <c r="L26" s="24">
        <f t="shared" si="2"/>
        <v>189.89</v>
      </c>
      <c r="M26" s="24">
        <f>-22.11+2.12*M23</f>
        <v>83.89</v>
      </c>
      <c r="N26" s="24">
        <f t="shared" ref="N26:Q26" si="3">-22.11+2.12*N23</f>
        <v>136.88999999999999</v>
      </c>
      <c r="O26" s="24">
        <f t="shared" si="3"/>
        <v>189.89</v>
      </c>
      <c r="P26" s="24">
        <f t="shared" si="3"/>
        <v>242.89</v>
      </c>
      <c r="Q26" s="24">
        <f t="shared" si="3"/>
        <v>295.89</v>
      </c>
      <c r="R26" s="24">
        <f>-22.11+2.12*R23</f>
        <v>189.89</v>
      </c>
      <c r="S26" s="24">
        <f t="shared" ref="S26:V26" si="4">-22.11+2.12*S23</f>
        <v>189.89</v>
      </c>
      <c r="T26" s="24">
        <f t="shared" si="4"/>
        <v>189.89</v>
      </c>
      <c r="U26" s="24">
        <f t="shared" si="4"/>
        <v>189.89</v>
      </c>
      <c r="V26" s="24">
        <f t="shared" si="4"/>
        <v>189.89</v>
      </c>
      <c r="W26" s="24">
        <f>-22.11+2.12*W23</f>
        <v>189.89</v>
      </c>
      <c r="X26" s="24">
        <f t="shared" ref="X26:Y26" si="5">-22.11+2.12*X23</f>
        <v>189.89</v>
      </c>
      <c r="Y26" s="24">
        <f t="shared" si="5"/>
        <v>189.89</v>
      </c>
      <c r="AA26" s="24">
        <f t="shared" ref="AA26:AB26" si="6">-22.11+2.12*AA23</f>
        <v>189.89</v>
      </c>
      <c r="AB26" s="24">
        <f t="shared" si="6"/>
        <v>189.89</v>
      </c>
      <c r="AC26" s="24">
        <f>-22.11+2.12*AC23</f>
        <v>189.89</v>
      </c>
      <c r="AD26" s="24">
        <f t="shared" ref="AD26:AE26" si="7">-22.11+2.12*AD23</f>
        <v>189.89</v>
      </c>
      <c r="AE26" s="24">
        <f t="shared" si="7"/>
        <v>189.89</v>
      </c>
      <c r="AG26" s="24">
        <f t="shared" ref="AG26:AH26" si="8">-22.11+2.12*AG23</f>
        <v>185.65000000000003</v>
      </c>
      <c r="AH26" s="24">
        <f t="shared" si="8"/>
        <v>185.65000000000003</v>
      </c>
      <c r="AI26" s="24">
        <f>-22.11+2.12*AI23</f>
        <v>185.65000000000003</v>
      </c>
      <c r="AJ26" s="24">
        <f t="shared" ref="AJ26:AK26" si="9">-22.11+2.12*AJ23</f>
        <v>185.65000000000003</v>
      </c>
      <c r="AK26" s="24">
        <f t="shared" si="9"/>
        <v>185.65000000000003</v>
      </c>
      <c r="AM26" s="24">
        <f t="shared" ref="AM26:AN26" si="10">-22.11+2.12*AM23</f>
        <v>185.65000000000003</v>
      </c>
      <c r="AN26" s="24">
        <f t="shared" si="10"/>
        <v>185.65000000000003</v>
      </c>
      <c r="AO26" s="24">
        <f>-22.11+2.12*AO23</f>
        <v>185.65000000000003</v>
      </c>
      <c r="AP26" s="24">
        <f t="shared" ref="AP26" si="11">-22.11+2.12*AP23</f>
        <v>185.65000000000003</v>
      </c>
    </row>
    <row r="27" spans="1:42" s="27" customFormat="1">
      <c r="A27" s="29" t="s">
        <v>98</v>
      </c>
      <c r="B27" s="26" t="s">
        <v>62</v>
      </c>
      <c r="C27" s="24">
        <f>-7.24+2.04*C24</f>
        <v>196.76</v>
      </c>
      <c r="D27" s="24">
        <f t="shared" ref="D27:G27" si="12">-7.24+2.04*D24</f>
        <v>196.76</v>
      </c>
      <c r="E27" s="24">
        <f t="shared" si="12"/>
        <v>196.76</v>
      </c>
      <c r="F27" s="24">
        <f t="shared" si="12"/>
        <v>196.76</v>
      </c>
      <c r="G27" s="24">
        <f t="shared" si="12"/>
        <v>196.76</v>
      </c>
      <c r="H27" s="24">
        <f>-7.24+2.04*H24</f>
        <v>196.76</v>
      </c>
      <c r="I27" s="24">
        <f t="shared" ref="I27:L27" si="13">-7.24+2.04*I24</f>
        <v>196.76</v>
      </c>
      <c r="J27" s="24">
        <f t="shared" si="13"/>
        <v>196.76</v>
      </c>
      <c r="K27" s="24">
        <f t="shared" si="13"/>
        <v>196.76</v>
      </c>
      <c r="L27" s="24">
        <f t="shared" si="13"/>
        <v>196.76</v>
      </c>
      <c r="M27" s="24">
        <f>-7.24+2.04*M24</f>
        <v>196.76</v>
      </c>
      <c r="N27" s="24">
        <f t="shared" ref="N27:Q27" si="14">-7.24+2.04*N24</f>
        <v>196.76</v>
      </c>
      <c r="O27" s="24">
        <f t="shared" si="14"/>
        <v>196.76</v>
      </c>
      <c r="P27" s="24">
        <f t="shared" si="14"/>
        <v>196.76</v>
      </c>
      <c r="Q27" s="24">
        <f t="shared" si="14"/>
        <v>196.76</v>
      </c>
      <c r="R27" s="24">
        <f>-7.24+2.04*R24</f>
        <v>94.76</v>
      </c>
      <c r="S27" s="24">
        <f t="shared" ref="S27:V27" si="15">-7.24+2.04*S24</f>
        <v>145.76</v>
      </c>
      <c r="T27" s="24">
        <f t="shared" si="15"/>
        <v>196.76</v>
      </c>
      <c r="U27" s="24">
        <f t="shared" si="15"/>
        <v>247.76</v>
      </c>
      <c r="V27" s="24">
        <f t="shared" si="15"/>
        <v>298.76</v>
      </c>
      <c r="W27" s="24">
        <f>-7.24+2.04*W24</f>
        <v>196.76</v>
      </c>
      <c r="X27" s="24">
        <f t="shared" ref="X27:Y27" si="16">-7.24+2.04*X24</f>
        <v>196.76</v>
      </c>
      <c r="Y27" s="24">
        <f t="shared" si="16"/>
        <v>196.76</v>
      </c>
      <c r="AA27" s="24">
        <f t="shared" ref="AA27:AB27" si="17">-7.24+2.04*AA24</f>
        <v>196.76</v>
      </c>
      <c r="AB27" s="24">
        <f t="shared" si="17"/>
        <v>196.76</v>
      </c>
      <c r="AC27" s="24">
        <f>-7.24+2.04*AC24</f>
        <v>196.76</v>
      </c>
      <c r="AD27" s="24">
        <f t="shared" ref="AD27:AE27" si="18">-7.24+2.04*AD24</f>
        <v>196.76</v>
      </c>
      <c r="AE27" s="24">
        <f t="shared" si="18"/>
        <v>196.76</v>
      </c>
      <c r="AG27" s="24">
        <f t="shared" ref="AG27:AH27" si="19">-7.24+2.04*AG24</f>
        <v>184.51999999999998</v>
      </c>
      <c r="AH27" s="24">
        <f t="shared" si="19"/>
        <v>184.51999999999998</v>
      </c>
      <c r="AI27" s="24">
        <f>-7.24+2.04*AI24</f>
        <v>184.51999999999998</v>
      </c>
      <c r="AJ27" s="24">
        <f t="shared" ref="AJ27:AK27" si="20">-7.24+2.04*AJ24</f>
        <v>184.51999999999998</v>
      </c>
      <c r="AK27" s="24">
        <f t="shared" si="20"/>
        <v>184.51999999999998</v>
      </c>
      <c r="AM27" s="24">
        <f t="shared" ref="AM27:AN27" si="21">-7.24+2.04*AM24</f>
        <v>184.51999999999998</v>
      </c>
      <c r="AN27" s="24">
        <f t="shared" si="21"/>
        <v>184.51999999999998</v>
      </c>
      <c r="AO27" s="24">
        <f>-7.24+2.04*AO24</f>
        <v>184.51999999999998</v>
      </c>
      <c r="AP27" s="24">
        <f t="shared" ref="AP27" si="22">-7.24+2.04*AP24</f>
        <v>184.51999999999998</v>
      </c>
    </row>
    <row r="28" spans="1:42" s="27" customFormat="1">
      <c r="A28" s="28" t="s">
        <v>96</v>
      </c>
      <c r="B28" s="26"/>
      <c r="C28" s="26"/>
      <c r="D28" s="26"/>
      <c r="E28" s="26"/>
      <c r="F28" s="26"/>
      <c r="G28" s="26"/>
      <c r="H28" s="26"/>
      <c r="I28" s="26"/>
      <c r="J28" s="26"/>
      <c r="M28" s="26"/>
      <c r="N28" s="26"/>
      <c r="O28" s="26"/>
      <c r="R28" s="26"/>
      <c r="S28" s="26"/>
      <c r="T28" s="26"/>
      <c r="W28" s="26"/>
      <c r="X28" s="26"/>
      <c r="Y28" s="26"/>
    </row>
    <row r="29" spans="1:42" s="27" customFormat="1">
      <c r="A29" s="26" t="s">
        <v>85</v>
      </c>
      <c r="B29" s="26" t="s">
        <v>86</v>
      </c>
      <c r="C29" s="40">
        <f>ExpData160515!N15</f>
        <v>1.0570055555555555E-2</v>
      </c>
      <c r="D29" s="40">
        <f>ExpData160515!O15</f>
        <v>1.0570055555555555E-2</v>
      </c>
      <c r="E29" s="40">
        <f>ExpData160515!P15</f>
        <v>1.0570055555555555E-2</v>
      </c>
      <c r="F29" s="40">
        <f>ExpData160515!Q15</f>
        <v>1.0570055555555555E-2</v>
      </c>
      <c r="G29" s="40">
        <f>ExpData160515!R15</f>
        <v>1.0570055555555555E-2</v>
      </c>
      <c r="H29" s="40">
        <f>ExpData160515!S15</f>
        <v>1.0570055555555555E-2</v>
      </c>
      <c r="I29" s="40">
        <f>ExpData160515!T15</f>
        <v>1.0570055555555555E-2</v>
      </c>
      <c r="J29" s="40">
        <f>ExpData160515!U15</f>
        <v>1.0570055555555555E-2</v>
      </c>
      <c r="K29" s="40">
        <f>ExpData160515!V15</f>
        <v>1.0570055555555555E-2</v>
      </c>
      <c r="L29" s="40">
        <f>ExpData160515!W15</f>
        <v>1.0570055555555555E-2</v>
      </c>
      <c r="M29" s="40">
        <f>ExpData160515!X15</f>
        <v>5.2783888888888889E-3</v>
      </c>
      <c r="N29" s="40">
        <f>ExpData160515!Y15</f>
        <v>7.9242222222222214E-3</v>
      </c>
      <c r="O29" s="40">
        <f>ExpData160515!Z15</f>
        <v>1.0570055555555555E-2</v>
      </c>
      <c r="P29" s="40">
        <f>ExpData160515!AA15</f>
        <v>1.321588888888889E-2</v>
      </c>
      <c r="Q29" s="40">
        <f>ExpData160515!AB15</f>
        <v>1.5861722222222222E-2</v>
      </c>
      <c r="R29" s="40">
        <f>ExpData160515!AC15</f>
        <v>1.0570055555555555E-2</v>
      </c>
      <c r="S29" s="40">
        <f>ExpData160515!AD15</f>
        <v>1.0570055555555555E-2</v>
      </c>
      <c r="T29" s="40">
        <f>ExpData160515!AE15</f>
        <v>1.0570055555555555E-2</v>
      </c>
      <c r="U29" s="40">
        <f>ExpData160515!AF15</f>
        <v>1.0570055555555555E-2</v>
      </c>
      <c r="V29" s="40">
        <f>ExpData160515!AG15</f>
        <v>1.0570055555555555E-2</v>
      </c>
      <c r="W29" s="40">
        <f>ExpData160515!AH15</f>
        <v>1.0575562188444444E-2</v>
      </c>
      <c r="X29" s="40">
        <f>ExpData160515!AI15</f>
        <v>1.0575562188444444E-2</v>
      </c>
      <c r="Y29" s="40">
        <f>ExpData160515!AJ15</f>
        <v>1.0575562188444444E-2</v>
      </c>
      <c r="AA29" s="58">
        <f>ExpData160515!AL15</f>
        <v>1.0575562188444444E-2</v>
      </c>
      <c r="AB29" s="58">
        <f>ExpData160515!AM15</f>
        <v>1.0575562188444444E-2</v>
      </c>
      <c r="AC29" s="58">
        <f>ExpData160515!AN15</f>
        <v>1.0575562188444444E-2</v>
      </c>
      <c r="AD29" s="58">
        <f>ExpData160515!AO15</f>
        <v>1.0575562188444444E-2</v>
      </c>
      <c r="AE29" s="58">
        <f>ExpData160515!AP15</f>
        <v>1.0575562188444444E-2</v>
      </c>
      <c r="AG29" s="75">
        <f>AG26/60/1000000/(MOD1W/100*MOD1H/100)</f>
        <v>8.2511111111111101E-3</v>
      </c>
      <c r="AH29" s="75">
        <f>AH26/60/1000000/(MOD1W/100*MOD1H/100)</f>
        <v>8.2511111111111101E-3</v>
      </c>
      <c r="AI29" s="75">
        <f>AI26/60/1000000/(MOD1W/100*MOD1H/100)</f>
        <v>8.2511111111111101E-3</v>
      </c>
      <c r="AJ29" s="75">
        <f>AJ26/60/1000000/(MOD1W/100*MOD1H/100)</f>
        <v>8.2511111111111101E-3</v>
      </c>
      <c r="AK29" s="75">
        <f>AK26/60/1000000/(MOD1W/100*MOD1H/100)</f>
        <v>8.2511111111111101E-3</v>
      </c>
      <c r="AM29" s="75">
        <f>AM26/60/1000000/(MOD1W/100*MOD1H/100)</f>
        <v>8.2511111111111101E-3</v>
      </c>
      <c r="AN29" s="75">
        <f>AN26/60/1000000/(MOD1W/100*MOD1H/100)</f>
        <v>8.2511111111111101E-3</v>
      </c>
      <c r="AO29" s="75">
        <f>AO26/60/1000000/(MOD1W/100*MOD1H/100)</f>
        <v>8.2511111111111101E-3</v>
      </c>
      <c r="AP29" s="75">
        <f>AP26/60/1000000/(MOD1W/100*MOD1H/100)</f>
        <v>8.2511111111111101E-3</v>
      </c>
    </row>
    <row r="30" spans="1:42" s="27" customFormat="1">
      <c r="A30" s="26" t="s">
        <v>97</v>
      </c>
      <c r="B30" s="26" t="s">
        <v>74</v>
      </c>
      <c r="C30" s="40">
        <f>ExpData160515!N16</f>
        <v>32.804908589380183</v>
      </c>
      <c r="D30" s="40">
        <f>ExpData160515!O16</f>
        <v>37.545921167879214</v>
      </c>
      <c r="E30" s="40">
        <f>ExpData160515!P16</f>
        <v>40.462794041113561</v>
      </c>
      <c r="F30" s="40">
        <f>ExpData160515!Q16</f>
        <v>46.813272232415727</v>
      </c>
      <c r="G30" s="40">
        <f>ExpData160515!R16</f>
        <v>52.28803056208195</v>
      </c>
      <c r="H30" s="40">
        <f>ExpData160515!S16</f>
        <v>46.813272232415727</v>
      </c>
      <c r="I30" s="40">
        <f>ExpData160515!T16</f>
        <v>46.735559551037205</v>
      </c>
      <c r="J30" s="40">
        <f>ExpData160515!U16</f>
        <v>46.756376974131932</v>
      </c>
      <c r="K30" s="40">
        <f>ExpData160515!V16</f>
        <v>46.759715513146396</v>
      </c>
      <c r="L30" s="40">
        <f>ExpData160515!W16</f>
        <v>46.795754117384256</v>
      </c>
      <c r="M30" s="40">
        <f>ExpData160515!X16</f>
        <v>46.765960784537164</v>
      </c>
      <c r="N30" s="40">
        <f>ExpData160515!Y16</f>
        <v>46.747797849449768</v>
      </c>
      <c r="O30" s="40">
        <f>ExpData160515!Z16</f>
        <v>46.813272232415727</v>
      </c>
      <c r="P30" s="40">
        <f>ExpData160515!AA16</f>
        <v>46.780135265158755</v>
      </c>
      <c r="Q30" s="40">
        <f>ExpData160515!AB16</f>
        <v>46.785915070345858</v>
      </c>
      <c r="R30" s="40">
        <f>ExpData160515!AC16</f>
        <v>46.831304444044484</v>
      </c>
      <c r="S30" s="40">
        <f>ExpData160515!AD16</f>
        <v>46.835636390276221</v>
      </c>
      <c r="T30" s="40">
        <f>ExpData160515!AE16</f>
        <v>46.813272232415727</v>
      </c>
      <c r="U30" s="40">
        <f>ExpData160515!AF16</f>
        <v>46.773248419935193</v>
      </c>
      <c r="V30" s="40">
        <f>ExpData160515!AG16</f>
        <v>46.772998389800364</v>
      </c>
      <c r="W30" s="40">
        <f>ExpData160515!AH16</f>
        <v>46.813272232415727</v>
      </c>
      <c r="X30" s="40">
        <f>ExpData160515!AI16</f>
        <v>46.83837113278085</v>
      </c>
      <c r="Y30" s="40">
        <f>ExpData160515!AJ16</f>
        <v>46.843521688179884</v>
      </c>
      <c r="AA30" s="58">
        <f>ExpData160515!AL16</f>
        <v>46.813272232415727</v>
      </c>
      <c r="AB30" s="58">
        <f>ExpData160515!AM16</f>
        <v>46.848783530878762</v>
      </c>
      <c r="AC30" s="58">
        <f>ExpData160515!AN16</f>
        <v>46.810284463894057</v>
      </c>
      <c r="AD30" s="58">
        <f>ExpData160515!AO16</f>
        <v>46.866582914572703</v>
      </c>
      <c r="AE30" s="58">
        <f>ExpData160515!AP16</f>
        <v>47.081704781703998</v>
      </c>
      <c r="AG30" s="74">
        <f>ExpData161130!U11</f>
        <v>46.787444999999998</v>
      </c>
      <c r="AH30" s="74">
        <f>ExpData161130!V11</f>
        <v>46.972490000000001</v>
      </c>
      <c r="AI30" s="74">
        <f>ExpData161130!W11</f>
        <v>46.850017999999999</v>
      </c>
      <c r="AJ30" s="74">
        <f>ExpData161130!X11</f>
        <v>46.907367000000001</v>
      </c>
      <c r="AK30" s="74">
        <f>ExpData161130!Y11</f>
        <v>46.941147000000001</v>
      </c>
      <c r="AM30" s="74">
        <f>ExpData161130!AA11</f>
        <v>46.908647666666667</v>
      </c>
      <c r="AN30" s="74">
        <f>ExpData161130!AB11</f>
        <v>46.87154833333333</v>
      </c>
      <c r="AO30" s="74">
        <f>ExpData161130!AC11</f>
        <v>46.776664000000004</v>
      </c>
      <c r="AP30" s="74">
        <f>ExpData161130!AD11</f>
        <v>47.191884333333327</v>
      </c>
    </row>
    <row r="31" spans="1:42" s="27" customFormat="1">
      <c r="A31" s="28" t="s">
        <v>98</v>
      </c>
      <c r="B31" s="2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42" s="27" customFormat="1">
      <c r="A32" s="26" t="s">
        <v>85</v>
      </c>
      <c r="B32" s="26" t="s">
        <v>86</v>
      </c>
      <c r="C32" s="40">
        <f>ExpData160515!N18</f>
        <v>1.0024555555555557E-2</v>
      </c>
      <c r="D32" s="40">
        <f>ExpData160515!O18</f>
        <v>1.0024555555555557E-2</v>
      </c>
      <c r="E32" s="40">
        <f>ExpData160515!P18</f>
        <v>1.0024555555555557E-2</v>
      </c>
      <c r="F32" s="40">
        <f>ExpData160515!Q18</f>
        <v>1.0024555555555557E-2</v>
      </c>
      <c r="G32" s="40">
        <f>ExpData160515!R18</f>
        <v>1.0024555555555557E-2</v>
      </c>
      <c r="H32" s="40">
        <f>ExpData160515!S18</f>
        <v>1.0024555555555557E-2</v>
      </c>
      <c r="I32" s="40">
        <f>ExpData160515!T18</f>
        <v>1.0024555555555557E-2</v>
      </c>
      <c r="J32" s="40">
        <f>ExpData160515!U18</f>
        <v>1.0024555555555557E-2</v>
      </c>
      <c r="K32" s="40">
        <f>ExpData160515!V18</f>
        <v>1.0024555555555557E-2</v>
      </c>
      <c r="L32" s="40">
        <f>ExpData160515!W18</f>
        <v>1.0024555555555557E-2</v>
      </c>
      <c r="M32" s="40">
        <f>ExpData160515!X18</f>
        <v>1.0024555555555557E-2</v>
      </c>
      <c r="N32" s="40">
        <f>ExpData160515!Y18</f>
        <v>1.0024555555555557E-2</v>
      </c>
      <c r="O32" s="40">
        <f>ExpData160515!Z18</f>
        <v>1.0024555555555557E-2</v>
      </c>
      <c r="P32" s="40">
        <f>ExpData160515!AA18</f>
        <v>1.0024555555555557E-2</v>
      </c>
      <c r="Q32" s="40">
        <f>ExpData160515!AB18</f>
        <v>1.0024555555555571E-2</v>
      </c>
      <c r="R32" s="40">
        <f>ExpData160515!AC18</f>
        <v>4.9995555555555557E-3</v>
      </c>
      <c r="S32" s="40">
        <f>ExpData160515!AD18</f>
        <v>7.5120555555555539E-3</v>
      </c>
      <c r="T32" s="40">
        <f>ExpData160515!AE18</f>
        <v>1.0024555555555557E-2</v>
      </c>
      <c r="U32" s="40">
        <f>ExpData160515!AF18</f>
        <v>1.2537055555555556E-2</v>
      </c>
      <c r="V32" s="40">
        <f>ExpData160515!AG18</f>
        <v>1.5049555555555552E-2</v>
      </c>
      <c r="W32" s="40">
        <f>ExpData160515!AH18</f>
        <v>1.0878928809055555E-2</v>
      </c>
      <c r="X32" s="40">
        <f>ExpData160515!AI18</f>
        <v>1.0878928809055555E-2</v>
      </c>
      <c r="Y32" s="40">
        <f>ExpData160515!AJ18</f>
        <v>1.0878928809055555E-2</v>
      </c>
      <c r="AA32" s="58">
        <f>ExpData160515!AL18</f>
        <v>1.0878928809055555E-2</v>
      </c>
      <c r="AB32" s="58">
        <f>ExpData160515!AM18</f>
        <v>1.0878928809055555E-2</v>
      </c>
      <c r="AC32" s="58">
        <f>ExpData160515!AN18</f>
        <v>1.0878928809055555E-2</v>
      </c>
      <c r="AD32" s="58">
        <f>ExpData160515!AO18</f>
        <v>1.0878928809055555E-2</v>
      </c>
      <c r="AE32" s="58">
        <f>ExpData160515!AP18</f>
        <v>1.0878928809055555E-2</v>
      </c>
      <c r="AG32" s="75">
        <f>AG27/60/1000000/(MOD1W/100*MOD1H/100)</f>
        <v>8.200888888888886E-3</v>
      </c>
      <c r="AH32" s="75">
        <f>AH27/60/1000000/(MOD1W/100*MOD1H/100)</f>
        <v>8.200888888888886E-3</v>
      </c>
      <c r="AI32" s="75">
        <f>AI27/60/1000000/(MOD1W/100*MOD1H/100)</f>
        <v>8.200888888888886E-3</v>
      </c>
      <c r="AJ32" s="75">
        <f>AJ27/60/1000000/(MOD1W/100*MOD1H/100)</f>
        <v>8.200888888888886E-3</v>
      </c>
      <c r="AK32" s="75">
        <f>AK27/60/1000000/(MOD1W/100*MOD1H/100)</f>
        <v>8.200888888888886E-3</v>
      </c>
      <c r="AM32" s="75">
        <f>AM27/60/1000000/(MOD1W/100*MOD1H/100)</f>
        <v>8.200888888888886E-3</v>
      </c>
      <c r="AN32" s="75">
        <f>AN27/60/1000000/(MOD1W/100*MOD1H/100)</f>
        <v>8.200888888888886E-3</v>
      </c>
      <c r="AO32" s="75">
        <f>AO27/60/1000000/(MOD1W/100*MOD1H/100)</f>
        <v>8.200888888888886E-3</v>
      </c>
      <c r="AP32" s="75">
        <f>AP27/60/1000000/(MOD1W/100*MOD1H/100)</f>
        <v>8.200888888888886E-3</v>
      </c>
    </row>
    <row r="33" spans="1:42" s="27" customFormat="1">
      <c r="A33" s="26" t="s">
        <v>97</v>
      </c>
      <c r="B33" s="26" t="s">
        <v>74</v>
      </c>
      <c r="C33" s="40">
        <f>ExpData160515!N19</f>
        <v>20.020584823493895</v>
      </c>
      <c r="D33" s="40">
        <f>ExpData160515!O19</f>
        <v>20.013996907080195</v>
      </c>
      <c r="E33" s="40">
        <f>ExpData160515!P19</f>
        <v>20.040555205268429</v>
      </c>
      <c r="F33" s="40">
        <f>ExpData160515!Q19</f>
        <v>19.965192717598594</v>
      </c>
      <c r="G33" s="40">
        <f>ExpData160515!R19</f>
        <v>20.531591054442632</v>
      </c>
      <c r="H33" s="40">
        <f>ExpData160515!S19</f>
        <v>19.965192717598594</v>
      </c>
      <c r="I33" s="40">
        <f>ExpData160515!T19</f>
        <v>25.020477816258023</v>
      </c>
      <c r="J33" s="40">
        <f>ExpData160515!U19</f>
        <v>29.996660937349375</v>
      </c>
      <c r="K33" s="40">
        <f>ExpData160515!V19</f>
        <v>34.981044802983121</v>
      </c>
      <c r="L33" s="40">
        <f>ExpData160515!W19</f>
        <v>39.995611966534248</v>
      </c>
      <c r="M33" s="40">
        <f>ExpData160515!X19</f>
        <v>19.95147626262694</v>
      </c>
      <c r="N33" s="40">
        <f>ExpData160515!Y19</f>
        <v>19.98472615642196</v>
      </c>
      <c r="O33" s="40">
        <f>ExpData160515!Z19</f>
        <v>19.965192717598594</v>
      </c>
      <c r="P33" s="40">
        <f>ExpData160515!AA19</f>
        <v>19.98426554012838</v>
      </c>
      <c r="Q33" s="40">
        <f>ExpData160515!AB19</f>
        <v>20.033552339221512</v>
      </c>
      <c r="R33" s="40">
        <f>ExpData160515!AC19</f>
        <v>19.99611427063822</v>
      </c>
      <c r="S33" s="40">
        <f>ExpData160515!AD19</f>
        <v>19.985256383306695</v>
      </c>
      <c r="T33" s="40">
        <f>ExpData160515!AE19</f>
        <v>19.965192717598594</v>
      </c>
      <c r="U33" s="40">
        <f>ExpData160515!AF19</f>
        <v>19.978884732789933</v>
      </c>
      <c r="V33" s="40">
        <f>ExpData160515!AG19</f>
        <v>19.940144584158414</v>
      </c>
      <c r="W33" s="40">
        <f>ExpData160515!AH19</f>
        <v>19.965192717598594</v>
      </c>
      <c r="X33" s="40">
        <f>ExpData160515!AI19</f>
        <v>19.962840387781814</v>
      </c>
      <c r="Y33" s="40">
        <f>ExpData160515!AJ19</f>
        <v>19.94308391529044</v>
      </c>
      <c r="AA33" s="58">
        <f>ExpData160515!AL19</f>
        <v>19.965192717598594</v>
      </c>
      <c r="AB33" s="58">
        <f>ExpData160515!AM19</f>
        <v>19.989925140361731</v>
      </c>
      <c r="AC33" s="58">
        <f>ExpData160515!AN19</f>
        <v>19.900375117224076</v>
      </c>
      <c r="AD33" s="58">
        <f>ExpData160515!AO19</f>
        <v>19.998618090452187</v>
      </c>
      <c r="AE33" s="58">
        <f>ExpData160515!AP19</f>
        <v>19.971794871794781</v>
      </c>
      <c r="AG33" s="74">
        <f>ExpData161130!U14</f>
        <v>19.99835666666667</v>
      </c>
      <c r="AH33" s="74">
        <f>ExpData161130!V14</f>
        <v>20.020875999999998</v>
      </c>
      <c r="AI33" s="74">
        <f>ExpData161130!W14</f>
        <v>19.863140666666666</v>
      </c>
      <c r="AJ33" s="74">
        <f>ExpData161130!X14</f>
        <v>20.115232666666667</v>
      </c>
      <c r="AK33" s="74">
        <f>ExpData161130!Y14</f>
        <v>19.889080666666665</v>
      </c>
      <c r="AM33" s="74">
        <f>ExpData161130!AA14</f>
        <v>19.948305666666666</v>
      </c>
      <c r="AN33" s="74">
        <f>ExpData161130!AB14</f>
        <v>19.895390333333335</v>
      </c>
      <c r="AO33" s="74">
        <f>ExpData161130!AC14</f>
        <v>19.898199000000002</v>
      </c>
      <c r="AP33" s="74">
        <f>ExpData161130!AD14</f>
        <v>20.074282999999998</v>
      </c>
    </row>
    <row r="34" spans="1:42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42" s="25" customFormat="1">
      <c r="A35" s="25" t="s">
        <v>73</v>
      </c>
      <c r="B35" s="25" t="s">
        <v>74</v>
      </c>
      <c r="C35" s="40">
        <f>ExpData160515!N21</f>
        <v>32.209159619805561</v>
      </c>
      <c r="D35" s="40">
        <f>ExpData160515!O21</f>
        <v>36.641882535934052</v>
      </c>
      <c r="E35" s="40">
        <f>ExpData160515!P21</f>
        <v>39.206231593240013</v>
      </c>
      <c r="F35" s="40">
        <f>ExpData160515!Q21</f>
        <v>45.115007004655496</v>
      </c>
      <c r="G35" s="40">
        <f>ExpData160515!R21</f>
        <v>50.488628590359532</v>
      </c>
      <c r="H35" s="40">
        <f>ExpData160515!S21</f>
        <v>45.115007004655496</v>
      </c>
      <c r="I35" s="40">
        <f>ExpData160515!T21</f>
        <v>45.152704364084947</v>
      </c>
      <c r="J35" s="40">
        <f>ExpData160515!U21</f>
        <v>45.332937279628425</v>
      </c>
      <c r="K35" s="40">
        <f>ExpData160515!V21</f>
        <v>45.65301197436299</v>
      </c>
      <c r="L35" s="40">
        <f>ExpData160515!W21</f>
        <v>45.862899949634645</v>
      </c>
      <c r="M35" s="40">
        <f>ExpData160515!X21</f>
        <v>46.414726050719302</v>
      </c>
      <c r="N35" s="40">
        <f>ExpData160515!Y21</f>
        <v>45.253056164715588</v>
      </c>
      <c r="O35" s="40">
        <f>ExpData160515!Z21</f>
        <v>45.115007004655496</v>
      </c>
      <c r="P35" s="40">
        <f>ExpData160515!AA21</f>
        <v>45.554121695468943</v>
      </c>
      <c r="Q35" s="40">
        <f>ExpData160515!AB21</f>
        <v>45.667769594471679</v>
      </c>
      <c r="R35" s="40">
        <f>ExpData160515!AC21</f>
        <v>45.410532556242877</v>
      </c>
      <c r="S35" s="40">
        <f>ExpData160515!AD21</f>
        <v>45.366644909743457</v>
      </c>
      <c r="T35" s="40">
        <f>ExpData160515!AE21</f>
        <v>45.115007004655496</v>
      </c>
      <c r="U35" s="40">
        <f>ExpData160515!AF21</f>
        <v>45.184878246406505</v>
      </c>
      <c r="V35" s="40">
        <f>ExpData160515!AG21</f>
        <v>45.148270505308638</v>
      </c>
      <c r="W35" s="40">
        <f>ExpData160515!AH21</f>
        <v>45.115007004655496</v>
      </c>
      <c r="X35" s="40">
        <f>ExpData160515!AI21</f>
        <v>45.243818979301523</v>
      </c>
      <c r="Y35" s="40">
        <f>ExpData160515!AJ21</f>
        <v>44.928683240302114</v>
      </c>
      <c r="AA35" s="58">
        <f>ExpData160515!AL21</f>
        <v>45.115007004655496</v>
      </c>
      <c r="AB35" s="58">
        <f>ExpData160515!AM21</f>
        <v>45.433250155957296</v>
      </c>
      <c r="AC35" s="58">
        <f>ExpData160515!AN21</f>
        <v>46.127227258519227</v>
      </c>
      <c r="AD35" s="58">
        <f>ExpData160515!AO21</f>
        <v>45.261652010050049</v>
      </c>
      <c r="AE35" s="58">
        <f>ExpData160515!AP21</f>
        <v>45.950311850311486</v>
      </c>
      <c r="AG35" s="74">
        <f>ExpData161130!U16</f>
        <v>45.745317333333332</v>
      </c>
      <c r="AH35" s="74">
        <f>ExpData161130!V16</f>
        <v>45.949279999999995</v>
      </c>
      <c r="AI35" s="74">
        <f>ExpData161130!W16</f>
        <v>45.720077333333336</v>
      </c>
      <c r="AJ35" s="74">
        <f>ExpData161130!X16</f>
        <v>45.758546666666668</v>
      </c>
      <c r="AK35" s="74">
        <f>ExpData161130!Y16</f>
        <v>45.631227333333328</v>
      </c>
      <c r="AM35" s="74">
        <f>ExpData161130!AA16</f>
        <v>21.060659666666666</v>
      </c>
      <c r="AN35" s="74">
        <f>ExpData161130!AB16</f>
        <v>20.886816333333332</v>
      </c>
      <c r="AO35" s="74">
        <f>ExpData161130!AC16</f>
        <v>20.737005333333332</v>
      </c>
      <c r="AP35" s="74">
        <f>ExpData161130!AD16</f>
        <v>20.766840666666663</v>
      </c>
    </row>
    <row r="36" spans="1:42" s="25" customFormat="1">
      <c r="A36" s="25" t="s">
        <v>75</v>
      </c>
      <c r="B36" s="25" t="s">
        <v>74</v>
      </c>
      <c r="C36" s="40">
        <f>ExpData160515!N22</f>
        <v>21.1468268936618</v>
      </c>
      <c r="D36" s="40">
        <f>ExpData160515!O22</f>
        <v>21.066646083396979</v>
      </c>
      <c r="E36" s="40">
        <f>ExpData160515!P22</f>
        <v>21.202254882336835</v>
      </c>
      <c r="F36" s="40">
        <f>ExpData160515!Q22</f>
        <v>21.428861307302665</v>
      </c>
      <c r="G36" s="40">
        <f>ExpData160515!R22</f>
        <v>21.993250061846652</v>
      </c>
      <c r="H36" s="40">
        <f>ExpData160515!S22</f>
        <v>21.428861307302665</v>
      </c>
      <c r="I36" s="40">
        <f>ExpData160515!T22</f>
        <v>26.071689439399325</v>
      </c>
      <c r="J36" s="40">
        <f>ExpData160515!U22</f>
        <v>30.76148736331346</v>
      </c>
      <c r="K36" s="40">
        <f>ExpData160515!V22</f>
        <v>35.502290509265826</v>
      </c>
      <c r="L36" s="40">
        <f>ExpData160515!W22</f>
        <v>40.423454833974333</v>
      </c>
      <c r="M36" s="40">
        <f>ExpData160515!X22</f>
        <v>21.494944118539394</v>
      </c>
      <c r="N36" s="40">
        <f>ExpData160515!Y22</f>
        <v>21.517883020301912</v>
      </c>
      <c r="O36" s="40">
        <f>ExpData160515!Z22</f>
        <v>21.428861307302665</v>
      </c>
      <c r="P36" s="40">
        <f>ExpData160515!AA22</f>
        <v>21.595394953178555</v>
      </c>
      <c r="Q36" s="40">
        <f>ExpData160515!AB22</f>
        <v>21.805176462942171</v>
      </c>
      <c r="R36" s="40">
        <f>ExpData160515!AC22</f>
        <v>21.733402276973759</v>
      </c>
      <c r="S36" s="40">
        <f>ExpData160515!AD22</f>
        <v>21.854517375313929</v>
      </c>
      <c r="T36" s="40">
        <f>ExpData160515!AE22</f>
        <v>21.428861307302665</v>
      </c>
      <c r="U36" s="40">
        <f>ExpData160515!AF22</f>
        <v>21.479081058045157</v>
      </c>
      <c r="V36" s="40">
        <f>ExpData160515!AG22</f>
        <v>21.310467600503262</v>
      </c>
      <c r="W36" s="40">
        <f>ExpData160515!AH22</f>
        <v>21.428861307302665</v>
      </c>
      <c r="X36" s="40">
        <f>ExpData160515!AI22</f>
        <v>21.478318390552261</v>
      </c>
      <c r="Y36" s="40">
        <f>ExpData160515!AJ22</f>
        <v>21.306892948428231</v>
      </c>
      <c r="AA36" s="58">
        <f>ExpData160515!AL22</f>
        <v>21.428861307302665</v>
      </c>
      <c r="AB36" s="58">
        <f>ExpData160515!AM22</f>
        <v>21.583000623829477</v>
      </c>
      <c r="AC36" s="58">
        <f>ExpData160515!AN22</f>
        <v>21.569084088778226</v>
      </c>
      <c r="AD36" s="58">
        <f>ExpData160515!AO22</f>
        <v>21.251664572864392</v>
      </c>
      <c r="AE36" s="58">
        <f>ExpData160515!AP22</f>
        <v>21.224081774082016</v>
      </c>
      <c r="AG36" s="74">
        <f>ExpData161130!U17</f>
        <v>20.394694666666666</v>
      </c>
      <c r="AH36" s="74">
        <f>ExpData161130!V17</f>
        <v>20.706840999999997</v>
      </c>
      <c r="AI36" s="74">
        <f>ExpData161130!W17</f>
        <v>20.617133666666664</v>
      </c>
      <c r="AJ36" s="74">
        <f>ExpData161130!X17</f>
        <v>20.743951333333332</v>
      </c>
      <c r="AK36" s="74">
        <f>ExpData161130!Y17</f>
        <v>20.753770333333332</v>
      </c>
      <c r="AM36" s="74">
        <f>ExpData161130!AA17</f>
        <v>45.504165</v>
      </c>
      <c r="AN36" s="74">
        <f>ExpData161130!AB17</f>
        <v>45.49707033333334</v>
      </c>
      <c r="AO36" s="74">
        <f>ExpData161130!AC17</f>
        <v>45.505756999999996</v>
      </c>
      <c r="AP36" s="74">
        <f>ExpData161130!AD17</f>
        <v>45.912472999999999</v>
      </c>
    </row>
    <row r="37" spans="1:42" s="25" customFormat="1">
      <c r="A37" s="25" t="s">
        <v>71</v>
      </c>
      <c r="B37" s="25" t="s">
        <v>72</v>
      </c>
      <c r="C37" s="40">
        <f>ExpData160515!N23</f>
        <v>3.8848588799999995</v>
      </c>
      <c r="D37" s="40">
        <f>ExpData160515!O23</f>
        <v>5.667941375999999</v>
      </c>
      <c r="E37" s="40">
        <f>ExpData160515!P23</f>
        <v>7.0075795200000002</v>
      </c>
      <c r="F37" s="40">
        <f>ExpData160515!Q23</f>
        <v>10.728884735999999</v>
      </c>
      <c r="G37" s="40">
        <f>ExpData160515!R23</f>
        <v>14.106180095999997</v>
      </c>
      <c r="H37" s="40">
        <f>ExpData160515!S23</f>
        <v>10.728884735999999</v>
      </c>
      <c r="I37" s="40">
        <f>ExpData160515!T23</f>
        <v>9.2522250239999995</v>
      </c>
      <c r="J37" s="40">
        <f>ExpData160515!U23</f>
        <v>7.6446888960000008</v>
      </c>
      <c r="K37" s="40">
        <f>ExpData160515!V23</f>
        <v>5.6193918719999987</v>
      </c>
      <c r="L37" s="40">
        <f>ExpData160515!W23</f>
        <v>3.5767384319999995</v>
      </c>
      <c r="M37" s="40">
        <f>ExpData160515!X23</f>
        <v>10.576399104</v>
      </c>
      <c r="N37" s="40">
        <f>ExpData160515!Y23</f>
        <v>10.284390143999998</v>
      </c>
      <c r="O37" s="40">
        <f>ExpData160515!Z23</f>
        <v>10.728884735999999</v>
      </c>
      <c r="P37" s="40">
        <f>ExpData160515!AA23</f>
        <v>10.960891391999999</v>
      </c>
      <c r="Q37" s="40">
        <f>ExpData160515!AB23</f>
        <v>11.167119743999999</v>
      </c>
      <c r="R37" s="40">
        <f>ExpData160515!AC23</f>
        <v>9.8861740800000018</v>
      </c>
      <c r="S37" s="40">
        <f>ExpData160515!AD23</f>
        <v>10.167006336</v>
      </c>
      <c r="T37" s="40">
        <f>ExpData160515!AE23</f>
        <v>10.728884735999999</v>
      </c>
      <c r="U37" s="40">
        <f>ExpData160515!AF23</f>
        <v>11.559156864</v>
      </c>
      <c r="V37" s="40">
        <f>ExpData160515!AG23</f>
        <v>11.892979584000001</v>
      </c>
      <c r="W37" s="40">
        <f>ExpData160515!AH23</f>
        <v>10.728884735999999</v>
      </c>
      <c r="X37" s="40">
        <f>ExpData160515!AI23</f>
        <v>3.5032684799999991</v>
      </c>
      <c r="Y37" s="40">
        <f>ExpData160515!AJ23</f>
        <v>4.8133098240000001</v>
      </c>
      <c r="AA37" s="58">
        <f>ExpData160515!AL23</f>
        <v>10.728884735999999</v>
      </c>
      <c r="AB37" s="58">
        <f>ExpData160515!AM23</f>
        <v>6.7713711627906985</v>
      </c>
      <c r="AC37" s="58">
        <f>ExpData160515!AN23</f>
        <v>5.5270333439999995</v>
      </c>
      <c r="AD37" s="58">
        <f>ExpData160515!AO23</f>
        <v>3.0934241280000001</v>
      </c>
      <c r="AE37" s="58">
        <f>ExpData160515!AP23</f>
        <v>0.32185294698240002</v>
      </c>
      <c r="AG37" s="73">
        <f>ExpData161130!U18</f>
        <v>5.0019625728000001</v>
      </c>
      <c r="AH37" s="73">
        <f>ExpData161130!V18</f>
        <v>4.4134104959999991</v>
      </c>
      <c r="AI37" s="73">
        <f>ExpData161130!W18</f>
        <v>3.462614592</v>
      </c>
      <c r="AJ37" s="73">
        <f>ExpData161130!X18</f>
        <v>3.0054249984000001</v>
      </c>
      <c r="AK37" s="73">
        <f>ExpData161130!Y18</f>
        <v>5.1545233151999996</v>
      </c>
      <c r="AM37" s="73">
        <f>ExpData161130!AA18</f>
        <v>4.2218308607999999</v>
      </c>
      <c r="AN37" s="73">
        <f>ExpData161130!AB18</f>
        <v>2.8030695167999999</v>
      </c>
      <c r="AO37" s="73">
        <f>ExpData161130!AC18</f>
        <v>1.5553173503999997</v>
      </c>
      <c r="AP37" s="73">
        <f>ExpData161130!AD18</f>
        <v>0.24622156800000003</v>
      </c>
    </row>
    <row r="38" spans="1:42">
      <c r="A38" s="18" t="s">
        <v>68</v>
      </c>
      <c r="C38" s="53" t="str">
        <f>ExpData160515!N24</f>
        <v/>
      </c>
      <c r="D38" s="53" t="str">
        <f>ExpData160515!O24</f>
        <v/>
      </c>
      <c r="E38" s="53" t="str">
        <f>ExpData160515!P24</f>
        <v/>
      </c>
      <c r="F38" s="53" t="str">
        <f>ExpData160515!Q24</f>
        <v/>
      </c>
      <c r="G38" s="53" t="str">
        <f>ExpData160515!R24</f>
        <v/>
      </c>
      <c r="H38" s="53" t="str">
        <f>ExpData160515!S24</f>
        <v>duplicate</v>
      </c>
      <c r="I38" s="53" t="str">
        <f>ExpData160515!T24</f>
        <v/>
      </c>
      <c r="J38" s="53" t="str">
        <f>ExpData160515!U24</f>
        <v/>
      </c>
      <c r="K38" s="53" t="str">
        <f>ExpData160515!V24</f>
        <v/>
      </c>
      <c r="L38" s="53" t="str">
        <f>ExpData160515!W24</f>
        <v/>
      </c>
      <c r="M38" s="53" t="str">
        <f>ExpData160515!X24</f>
        <v/>
      </c>
      <c r="N38" s="53" t="str">
        <f>ExpData160515!Y24</f>
        <v/>
      </c>
      <c r="O38" s="53" t="str">
        <f>ExpData160515!Z24</f>
        <v>duplicate</v>
      </c>
      <c r="P38" s="53" t="str">
        <f>ExpData160515!AA24</f>
        <v/>
      </c>
      <c r="Q38" s="53" t="str">
        <f>ExpData160515!AB24</f>
        <v/>
      </c>
      <c r="R38" s="53" t="str">
        <f>ExpData160515!AC24</f>
        <v/>
      </c>
      <c r="S38" s="53" t="str">
        <f>ExpData160515!AD24</f>
        <v/>
      </c>
      <c r="T38" s="53" t="str">
        <f>ExpData160515!AE24</f>
        <v>duplicate</v>
      </c>
      <c r="U38" s="53" t="str">
        <f>ExpData160515!AF24</f>
        <v/>
      </c>
      <c r="V38" s="53" t="str">
        <f>ExpData160515!AG24</f>
        <v/>
      </c>
      <c r="W38" s="53" t="str">
        <f>ExpData160515!AH24</f>
        <v>duplicate</v>
      </c>
      <c r="X38" s="53" t="str">
        <f>ExpData160515!AI24</f>
        <v/>
      </c>
      <c r="Y38" s="53" t="str">
        <f>ExpData160515!AJ24</f>
        <v/>
      </c>
      <c r="AA38" s="53" t="str">
        <f>ExpData160515!AL24</f>
        <v>duplicate</v>
      </c>
      <c r="AB38" s="53"/>
      <c r="AC38" s="53"/>
      <c r="AD38" s="53"/>
      <c r="AE38" s="53"/>
    </row>
    <row r="39" spans="1:42">
      <c r="A39" s="18" t="s">
        <v>99</v>
      </c>
    </row>
    <row r="40" spans="1:42">
      <c r="A40" s="18" t="s">
        <v>100</v>
      </c>
      <c r="H40"/>
      <c r="I40"/>
      <c r="J40"/>
      <c r="K40"/>
      <c r="L4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42" s="56" customFormat="1">
      <c r="A41" s="56" t="s">
        <v>87</v>
      </c>
      <c r="B41" s="56" t="s">
        <v>86</v>
      </c>
      <c r="C41" s="57">
        <f t="shared" ref="C41:Y41" si="23">C26/1000000/60/(MOD1W*MOD1H/10000)</f>
        <v>8.4395555555555543E-3</v>
      </c>
      <c r="D41" s="57">
        <f t="shared" si="23"/>
        <v>8.4395555555555543E-3</v>
      </c>
      <c r="E41" s="57">
        <f t="shared" si="23"/>
        <v>8.4395555555555543E-3</v>
      </c>
      <c r="F41" s="57">
        <f t="shared" si="23"/>
        <v>8.4395555555555543E-3</v>
      </c>
      <c r="G41" s="57">
        <f t="shared" si="23"/>
        <v>8.4395555555555543E-3</v>
      </c>
      <c r="H41" s="57">
        <f t="shared" si="23"/>
        <v>8.4395555555555543E-3</v>
      </c>
      <c r="I41" s="57">
        <f t="shared" si="23"/>
        <v>8.4395555555555543E-3</v>
      </c>
      <c r="J41" s="57">
        <f t="shared" si="23"/>
        <v>8.4395555555555543E-3</v>
      </c>
      <c r="K41" s="57">
        <f t="shared" si="23"/>
        <v>8.4395555555555543E-3</v>
      </c>
      <c r="L41" s="57">
        <f t="shared" si="23"/>
        <v>8.4395555555555543E-3</v>
      </c>
      <c r="M41" s="57">
        <f t="shared" si="23"/>
        <v>3.7284444444444444E-3</v>
      </c>
      <c r="N41" s="57">
        <f t="shared" si="23"/>
        <v>6.084E-3</v>
      </c>
      <c r="O41" s="57">
        <f t="shared" si="23"/>
        <v>8.4395555555555543E-3</v>
      </c>
      <c r="P41" s="59">
        <f t="shared" si="23"/>
        <v>1.0795111111111109E-2</v>
      </c>
      <c r="Q41" s="59">
        <f t="shared" si="23"/>
        <v>1.3150666666666666E-2</v>
      </c>
      <c r="R41" s="59">
        <f t="shared" si="23"/>
        <v>8.4395555555555543E-3</v>
      </c>
      <c r="S41" s="59">
        <f t="shared" si="23"/>
        <v>8.4395555555555543E-3</v>
      </c>
      <c r="T41" s="59">
        <f t="shared" si="23"/>
        <v>8.4395555555555543E-3</v>
      </c>
      <c r="U41" s="59">
        <f t="shared" si="23"/>
        <v>8.4395555555555543E-3</v>
      </c>
      <c r="V41" s="59">
        <f t="shared" si="23"/>
        <v>8.4395555555555543E-3</v>
      </c>
      <c r="W41" s="59">
        <f t="shared" si="23"/>
        <v>8.4395555555555543E-3</v>
      </c>
      <c r="X41" s="59">
        <f t="shared" si="23"/>
        <v>8.4395555555555543E-3</v>
      </c>
      <c r="Y41" s="59">
        <f t="shared" si="23"/>
        <v>8.4395555555555543E-3</v>
      </c>
      <c r="AA41" s="57">
        <f t="shared" ref="AA41:AE41" si="24">AA26/1000000/60/(MOD1W*MOD1H/10000)</f>
        <v>8.4395555555555543E-3</v>
      </c>
      <c r="AB41" s="57">
        <f t="shared" si="24"/>
        <v>8.4395555555555543E-3</v>
      </c>
      <c r="AC41" s="57">
        <f t="shared" si="24"/>
        <v>8.4395555555555543E-3</v>
      </c>
      <c r="AD41" s="57">
        <f t="shared" si="24"/>
        <v>8.4395555555555543E-3</v>
      </c>
      <c r="AE41" s="57">
        <f t="shared" si="24"/>
        <v>8.4395555555555543E-3</v>
      </c>
    </row>
    <row r="42" spans="1:42" s="56" customFormat="1">
      <c r="A42" s="56" t="s">
        <v>102</v>
      </c>
      <c r="B42" s="56" t="s">
        <v>90</v>
      </c>
      <c r="C42" s="57">
        <f t="shared" ref="C42:Y42" si="25">C30+273.15</f>
        <v>305.95490858938018</v>
      </c>
      <c r="D42" s="57">
        <f t="shared" si="25"/>
        <v>310.69592116787919</v>
      </c>
      <c r="E42" s="57">
        <f t="shared" si="25"/>
        <v>313.61279404111355</v>
      </c>
      <c r="F42" s="57">
        <f t="shared" si="25"/>
        <v>319.9632722324157</v>
      </c>
      <c r="G42" s="57">
        <f t="shared" si="25"/>
        <v>325.43803056208191</v>
      </c>
      <c r="H42" s="57">
        <f t="shared" si="25"/>
        <v>319.9632722324157</v>
      </c>
      <c r="I42" s="57">
        <f t="shared" si="25"/>
        <v>319.8855595510372</v>
      </c>
      <c r="J42" s="57">
        <f t="shared" si="25"/>
        <v>319.90637697413189</v>
      </c>
      <c r="K42" s="57">
        <f t="shared" si="25"/>
        <v>319.90971551314635</v>
      </c>
      <c r="L42" s="57">
        <f t="shared" si="25"/>
        <v>319.94575411738424</v>
      </c>
      <c r="M42" s="57">
        <f t="shared" si="25"/>
        <v>319.91596078453716</v>
      </c>
      <c r="N42" s="57">
        <f t="shared" si="25"/>
        <v>319.89779784944972</v>
      </c>
      <c r="O42" s="57">
        <f t="shared" si="25"/>
        <v>319.9632722324157</v>
      </c>
      <c r="P42" s="57">
        <f t="shared" si="25"/>
        <v>319.93013526515875</v>
      </c>
      <c r="Q42" s="57">
        <f t="shared" si="25"/>
        <v>319.93591507034586</v>
      </c>
      <c r="R42" s="57">
        <f t="shared" si="25"/>
        <v>319.98130444404444</v>
      </c>
      <c r="S42" s="57">
        <f t="shared" si="25"/>
        <v>319.98563639027623</v>
      </c>
      <c r="T42" s="57">
        <f t="shared" si="25"/>
        <v>319.9632722324157</v>
      </c>
      <c r="U42" s="57">
        <f t="shared" si="25"/>
        <v>319.92324841993519</v>
      </c>
      <c r="V42" s="57">
        <f t="shared" si="25"/>
        <v>319.92299838980034</v>
      </c>
      <c r="W42" s="57">
        <f t="shared" si="25"/>
        <v>319.9632722324157</v>
      </c>
      <c r="X42" s="57">
        <f t="shared" si="25"/>
        <v>319.9883711327808</v>
      </c>
      <c r="Y42" s="57">
        <f t="shared" si="25"/>
        <v>319.99352168817984</v>
      </c>
      <c r="AA42" s="57">
        <f t="shared" ref="AA42" si="26">AA30+273.15</f>
        <v>319.9632722324157</v>
      </c>
      <c r="AB42" s="57">
        <f t="shared" ref="AB42:AE42" si="27">AB30+273.15</f>
        <v>319.99878353087877</v>
      </c>
      <c r="AC42" s="57">
        <f t="shared" si="27"/>
        <v>319.96028446389403</v>
      </c>
      <c r="AD42" s="57">
        <f t="shared" si="27"/>
        <v>320.01658291457267</v>
      </c>
      <c r="AE42" s="57">
        <f t="shared" si="27"/>
        <v>320.23170478170397</v>
      </c>
    </row>
    <row r="43" spans="1:42" s="56" customFormat="1">
      <c r="A43" s="56" t="s">
        <v>101</v>
      </c>
      <c r="B43" s="56" t="s">
        <v>90</v>
      </c>
      <c r="C43" s="57">
        <f t="shared" ref="C43:Y43" si="28">C35+273.15</f>
        <v>305.35915961980555</v>
      </c>
      <c r="D43" s="57">
        <f t="shared" si="28"/>
        <v>309.79188253593401</v>
      </c>
      <c r="E43" s="57">
        <f t="shared" si="28"/>
        <v>312.35623159324001</v>
      </c>
      <c r="F43" s="57">
        <f t="shared" si="28"/>
        <v>318.26500700465544</v>
      </c>
      <c r="G43" s="57">
        <f t="shared" si="28"/>
        <v>323.63862859035953</v>
      </c>
      <c r="H43" s="57">
        <f t="shared" si="28"/>
        <v>318.26500700465544</v>
      </c>
      <c r="I43" s="57">
        <f t="shared" si="28"/>
        <v>318.30270436408495</v>
      </c>
      <c r="J43" s="57">
        <f t="shared" si="28"/>
        <v>318.4829372796284</v>
      </c>
      <c r="K43" s="57">
        <f t="shared" si="28"/>
        <v>318.80301197436296</v>
      </c>
      <c r="L43" s="57">
        <f t="shared" si="28"/>
        <v>319.01289994963463</v>
      </c>
      <c r="M43" s="57">
        <f t="shared" si="28"/>
        <v>319.56472605071929</v>
      </c>
      <c r="N43" s="57">
        <f t="shared" si="28"/>
        <v>318.40305616471557</v>
      </c>
      <c r="O43" s="57">
        <f t="shared" si="28"/>
        <v>318.26500700465544</v>
      </c>
      <c r="P43" s="57">
        <f t="shared" si="28"/>
        <v>318.70412169546893</v>
      </c>
      <c r="Q43" s="57">
        <f t="shared" si="28"/>
        <v>318.81776959447166</v>
      </c>
      <c r="R43" s="57">
        <f t="shared" si="28"/>
        <v>318.56053255624283</v>
      </c>
      <c r="S43" s="57">
        <f t="shared" si="28"/>
        <v>318.51664490974343</v>
      </c>
      <c r="T43" s="57">
        <f t="shared" si="28"/>
        <v>318.26500700465544</v>
      </c>
      <c r="U43" s="57">
        <f t="shared" si="28"/>
        <v>318.3348782464065</v>
      </c>
      <c r="V43" s="57">
        <f t="shared" si="28"/>
        <v>318.29827050530861</v>
      </c>
      <c r="W43" s="57">
        <f t="shared" si="28"/>
        <v>318.26500700465544</v>
      </c>
      <c r="X43" s="57">
        <f t="shared" si="28"/>
        <v>318.3938189793015</v>
      </c>
      <c r="Y43" s="57">
        <f t="shared" si="28"/>
        <v>318.0786832403021</v>
      </c>
      <c r="AA43" s="57">
        <f t="shared" ref="AA43" si="29">AA35+273.15</f>
        <v>318.26500700465544</v>
      </c>
      <c r="AB43" s="57">
        <f t="shared" ref="AB43:AE43" si="30">AB35+273.15</f>
        <v>318.58325015595727</v>
      </c>
      <c r="AC43" s="57">
        <f t="shared" si="30"/>
        <v>319.27722725851919</v>
      </c>
      <c r="AD43" s="57">
        <f t="shared" si="30"/>
        <v>318.41165201005003</v>
      </c>
      <c r="AE43" s="57">
        <f t="shared" si="30"/>
        <v>319.10031185031147</v>
      </c>
    </row>
    <row r="44" spans="1:42" s="56" customFormat="1">
      <c r="A44" s="32" t="s">
        <v>103</v>
      </c>
    </row>
    <row r="45" spans="1:42" s="56" customFormat="1">
      <c r="A45" s="56" t="s">
        <v>87</v>
      </c>
      <c r="B45" s="56" t="s">
        <v>86</v>
      </c>
      <c r="C45" s="57">
        <f t="shared" ref="C45:Y45" si="31">C27/1000000/60/(MOD1H*MOD1W/10000)</f>
        <v>8.7448888888888889E-3</v>
      </c>
      <c r="D45" s="57">
        <f t="shared" si="31"/>
        <v>8.7448888888888889E-3</v>
      </c>
      <c r="E45" s="57">
        <f t="shared" si="31"/>
        <v>8.7448888888888889E-3</v>
      </c>
      <c r="F45" s="57">
        <f t="shared" si="31"/>
        <v>8.7448888888888889E-3</v>
      </c>
      <c r="G45" s="57">
        <f t="shared" si="31"/>
        <v>8.7448888888888889E-3</v>
      </c>
      <c r="H45" s="57">
        <f t="shared" si="31"/>
        <v>8.7448888888888889E-3</v>
      </c>
      <c r="I45" s="57">
        <f t="shared" si="31"/>
        <v>8.7448888888888889E-3</v>
      </c>
      <c r="J45" s="57">
        <f t="shared" si="31"/>
        <v>8.7448888888888889E-3</v>
      </c>
      <c r="K45" s="57">
        <f t="shared" si="31"/>
        <v>8.7448888888888889E-3</v>
      </c>
      <c r="L45" s="57">
        <f t="shared" si="31"/>
        <v>8.7448888888888889E-3</v>
      </c>
      <c r="M45" s="57">
        <f t="shared" si="31"/>
        <v>8.7448888888888889E-3</v>
      </c>
      <c r="N45" s="57">
        <f t="shared" si="31"/>
        <v>8.7448888888888889E-3</v>
      </c>
      <c r="O45" s="57">
        <f t="shared" si="31"/>
        <v>8.7448888888888889E-3</v>
      </c>
      <c r="P45" s="59">
        <f t="shared" si="31"/>
        <v>8.7448888888888889E-3</v>
      </c>
      <c r="Q45" s="59">
        <f t="shared" si="31"/>
        <v>8.7448888888888889E-3</v>
      </c>
      <c r="R45" s="59">
        <f t="shared" si="31"/>
        <v>4.2115555555555561E-3</v>
      </c>
      <c r="S45" s="59">
        <f t="shared" si="31"/>
        <v>6.478222222222222E-3</v>
      </c>
      <c r="T45" s="59">
        <f t="shared" si="31"/>
        <v>8.7448888888888889E-3</v>
      </c>
      <c r="U45" s="59">
        <f t="shared" si="31"/>
        <v>1.1011555555555554E-2</v>
      </c>
      <c r="V45" s="59">
        <f t="shared" si="31"/>
        <v>1.3278222222222219E-2</v>
      </c>
      <c r="W45" s="59">
        <f t="shared" si="31"/>
        <v>8.7448888888888889E-3</v>
      </c>
      <c r="X45" s="59">
        <f t="shared" si="31"/>
        <v>8.7448888888888889E-3</v>
      </c>
      <c r="Y45" s="59">
        <f t="shared" si="31"/>
        <v>8.7448888888888889E-3</v>
      </c>
      <c r="AA45" s="57">
        <f t="shared" ref="AA45:AE45" si="32">AA27/1000000/60/(MOD1H*MOD1W/10000)</f>
        <v>8.7448888888888889E-3</v>
      </c>
      <c r="AB45" s="57">
        <f t="shared" si="32"/>
        <v>8.7448888888888889E-3</v>
      </c>
      <c r="AC45" s="57">
        <f t="shared" si="32"/>
        <v>8.7448888888888889E-3</v>
      </c>
      <c r="AD45" s="57">
        <f t="shared" si="32"/>
        <v>8.7448888888888889E-3</v>
      </c>
      <c r="AE45" s="57">
        <f t="shared" si="32"/>
        <v>8.7448888888888889E-3</v>
      </c>
    </row>
    <row r="46" spans="1:42" s="56" customFormat="1">
      <c r="A46" s="56" t="s">
        <v>102</v>
      </c>
      <c r="B46" s="56" t="s">
        <v>90</v>
      </c>
      <c r="C46" s="57">
        <f t="shared" ref="C46:Y46" si="33">C33+273.15</f>
        <v>293.17058482349387</v>
      </c>
      <c r="D46" s="57">
        <f t="shared" si="33"/>
        <v>293.16399690708016</v>
      </c>
      <c r="E46" s="57">
        <f t="shared" si="33"/>
        <v>293.19055520526842</v>
      </c>
      <c r="F46" s="57">
        <f t="shared" si="33"/>
        <v>293.11519271759857</v>
      </c>
      <c r="G46" s="57">
        <f t="shared" si="33"/>
        <v>293.68159105444261</v>
      </c>
      <c r="H46" s="57">
        <f t="shared" si="33"/>
        <v>293.11519271759857</v>
      </c>
      <c r="I46" s="57">
        <f t="shared" si="33"/>
        <v>298.17047781625797</v>
      </c>
      <c r="J46" s="57">
        <f t="shared" si="33"/>
        <v>303.14666093734934</v>
      </c>
      <c r="K46" s="57">
        <f t="shared" si="33"/>
        <v>308.13104480298307</v>
      </c>
      <c r="L46" s="57">
        <f t="shared" si="33"/>
        <v>313.1456119665342</v>
      </c>
      <c r="M46" s="57">
        <f t="shared" si="33"/>
        <v>293.10147626262693</v>
      </c>
      <c r="N46" s="57">
        <f t="shared" si="33"/>
        <v>293.13472615642195</v>
      </c>
      <c r="O46" s="57">
        <f t="shared" si="33"/>
        <v>293.11519271759857</v>
      </c>
      <c r="P46" s="57">
        <f t="shared" si="33"/>
        <v>293.13426554012835</v>
      </c>
      <c r="Q46" s="57">
        <f t="shared" si="33"/>
        <v>293.18355233922148</v>
      </c>
      <c r="R46" s="57">
        <f t="shared" si="33"/>
        <v>293.14611427063818</v>
      </c>
      <c r="S46" s="57">
        <f t="shared" si="33"/>
        <v>293.13525638330668</v>
      </c>
      <c r="T46" s="57">
        <f t="shared" si="33"/>
        <v>293.11519271759857</v>
      </c>
      <c r="U46" s="57">
        <f t="shared" si="33"/>
        <v>293.12888473278991</v>
      </c>
      <c r="V46" s="57">
        <f t="shared" si="33"/>
        <v>293.09014458415839</v>
      </c>
      <c r="W46" s="57">
        <f t="shared" si="33"/>
        <v>293.11519271759857</v>
      </c>
      <c r="X46" s="57">
        <f t="shared" si="33"/>
        <v>293.11284038778177</v>
      </c>
      <c r="Y46" s="57">
        <f t="shared" si="33"/>
        <v>293.09308391529044</v>
      </c>
      <c r="AA46" s="57">
        <f t="shared" ref="AA46" si="34">AA33+273.15</f>
        <v>293.11519271759857</v>
      </c>
      <c r="AB46" s="57">
        <f t="shared" ref="AB46:AE46" si="35">AB33+273.15</f>
        <v>293.1399251403617</v>
      </c>
      <c r="AC46" s="57">
        <f t="shared" si="35"/>
        <v>293.05037511722406</v>
      </c>
      <c r="AD46" s="57">
        <f t="shared" si="35"/>
        <v>293.14861809045215</v>
      </c>
      <c r="AE46" s="57">
        <f t="shared" si="35"/>
        <v>293.12179487179475</v>
      </c>
    </row>
    <row r="47" spans="1:42" s="56" customFormat="1">
      <c r="A47" s="56" t="s">
        <v>101</v>
      </c>
      <c r="B47" s="56" t="s">
        <v>90</v>
      </c>
      <c r="C47" s="57">
        <f t="shared" ref="C47:Y47" si="36">C36+273.15</f>
        <v>294.29682689366177</v>
      </c>
      <c r="D47" s="57">
        <f t="shared" si="36"/>
        <v>294.21664608339694</v>
      </c>
      <c r="E47" s="57">
        <f t="shared" si="36"/>
        <v>294.35225488233681</v>
      </c>
      <c r="F47" s="57">
        <f t="shared" si="36"/>
        <v>294.57886130730265</v>
      </c>
      <c r="G47" s="57">
        <f t="shared" si="36"/>
        <v>295.14325006184663</v>
      </c>
      <c r="H47" s="57">
        <f t="shared" si="36"/>
        <v>294.57886130730265</v>
      </c>
      <c r="I47" s="57">
        <f t="shared" si="36"/>
        <v>299.22168943939931</v>
      </c>
      <c r="J47" s="57">
        <f t="shared" si="36"/>
        <v>303.91148736331343</v>
      </c>
      <c r="K47" s="57">
        <f t="shared" si="36"/>
        <v>308.65229050926581</v>
      </c>
      <c r="L47" s="57">
        <f t="shared" si="36"/>
        <v>313.57345483397432</v>
      </c>
      <c r="M47" s="57">
        <f t="shared" si="36"/>
        <v>294.64494411853934</v>
      </c>
      <c r="N47" s="57">
        <f t="shared" si="36"/>
        <v>294.66788302030187</v>
      </c>
      <c r="O47" s="57">
        <f t="shared" si="36"/>
        <v>294.57886130730265</v>
      </c>
      <c r="P47" s="57">
        <f t="shared" si="36"/>
        <v>294.74539495317856</v>
      </c>
      <c r="Q47" s="57">
        <f t="shared" si="36"/>
        <v>294.95517646294218</v>
      </c>
      <c r="R47" s="57">
        <f t="shared" si="36"/>
        <v>294.88340227697375</v>
      </c>
      <c r="S47" s="57">
        <f t="shared" si="36"/>
        <v>295.00451737531392</v>
      </c>
      <c r="T47" s="57">
        <f t="shared" si="36"/>
        <v>294.57886130730265</v>
      </c>
      <c r="U47" s="57">
        <f t="shared" si="36"/>
        <v>294.62908105804513</v>
      </c>
      <c r="V47" s="57">
        <f t="shared" si="36"/>
        <v>294.46046760050325</v>
      </c>
      <c r="W47" s="57">
        <f t="shared" si="36"/>
        <v>294.57886130730265</v>
      </c>
      <c r="X47" s="57">
        <f t="shared" si="36"/>
        <v>294.62831839055224</v>
      </c>
      <c r="Y47" s="57">
        <f t="shared" si="36"/>
        <v>294.45689294842822</v>
      </c>
      <c r="AA47" s="57">
        <f t="shared" ref="AA47" si="37">AA36+273.15</f>
        <v>294.57886130730265</v>
      </c>
      <c r="AB47" s="57">
        <f t="shared" ref="AB47:AE47" si="38">AB36+273.15</f>
        <v>294.73300062382947</v>
      </c>
      <c r="AC47" s="57">
        <f t="shared" si="38"/>
        <v>294.71908408877823</v>
      </c>
      <c r="AD47" s="57">
        <f t="shared" si="38"/>
        <v>294.40166457286438</v>
      </c>
      <c r="AE47" s="57">
        <f t="shared" si="38"/>
        <v>294.37408177408201</v>
      </c>
    </row>
    <row r="48" spans="1:42" s="56" customFormat="1">
      <c r="A48" s="32" t="s">
        <v>71</v>
      </c>
      <c r="B48" s="56" t="s">
        <v>89</v>
      </c>
      <c r="C48" s="57">
        <f t="shared" ref="C48:Y48" si="39">C37/3600</f>
        <v>1.0791274666666665E-3</v>
      </c>
      <c r="D48" s="57">
        <f t="shared" si="39"/>
        <v>1.5744281599999997E-3</v>
      </c>
      <c r="E48" s="57">
        <f t="shared" si="39"/>
        <v>1.9465498666666667E-3</v>
      </c>
      <c r="F48" s="57">
        <f t="shared" si="39"/>
        <v>2.9802457599999999E-3</v>
      </c>
      <c r="G48" s="57">
        <f t="shared" si="39"/>
        <v>3.9183833599999995E-3</v>
      </c>
      <c r="H48" s="57">
        <f t="shared" si="39"/>
        <v>2.9802457599999999E-3</v>
      </c>
      <c r="I48" s="57">
        <f t="shared" si="39"/>
        <v>2.5700625066666666E-3</v>
      </c>
      <c r="J48" s="57">
        <f t="shared" si="39"/>
        <v>2.1235246933333334E-3</v>
      </c>
      <c r="K48" s="57">
        <f t="shared" si="39"/>
        <v>1.5609421866666663E-3</v>
      </c>
      <c r="L48" s="57">
        <f t="shared" si="39"/>
        <v>9.935384533333333E-4</v>
      </c>
      <c r="M48" s="57">
        <f t="shared" si="39"/>
        <v>2.9378886400000001E-3</v>
      </c>
      <c r="N48" s="57">
        <f t="shared" si="39"/>
        <v>2.8567750399999996E-3</v>
      </c>
      <c r="O48" s="57">
        <f t="shared" si="39"/>
        <v>2.9802457599999999E-3</v>
      </c>
      <c r="P48" s="57">
        <f t="shared" si="39"/>
        <v>3.0446920533333329E-3</v>
      </c>
      <c r="Q48" s="57">
        <f t="shared" si="39"/>
        <v>3.1019777066666663E-3</v>
      </c>
      <c r="R48" s="57">
        <f t="shared" si="39"/>
        <v>2.7461594666666673E-3</v>
      </c>
      <c r="S48" s="57">
        <f t="shared" si="39"/>
        <v>2.8241684266666666E-3</v>
      </c>
      <c r="T48" s="57">
        <f t="shared" si="39"/>
        <v>2.9802457599999999E-3</v>
      </c>
      <c r="U48" s="57">
        <f t="shared" si="39"/>
        <v>3.2108769066666668E-3</v>
      </c>
      <c r="V48" s="57">
        <f t="shared" si="39"/>
        <v>3.3036054400000002E-3</v>
      </c>
      <c r="W48" s="57">
        <f t="shared" si="39"/>
        <v>2.9802457599999999E-3</v>
      </c>
      <c r="X48" s="57">
        <f t="shared" si="39"/>
        <v>9.7313013333333309E-4</v>
      </c>
      <c r="Y48" s="57">
        <f t="shared" si="39"/>
        <v>1.3370305066666666E-3</v>
      </c>
      <c r="AA48" s="57">
        <f t="shared" ref="AA48" si="40">AA37/3600</f>
        <v>2.9802457599999999E-3</v>
      </c>
      <c r="AB48" s="57">
        <f t="shared" ref="AB48:AE48" si="41">AB37/3600</f>
        <v>1.8809364341085273E-3</v>
      </c>
      <c r="AC48" s="57">
        <f t="shared" si="41"/>
        <v>1.5352870399999998E-3</v>
      </c>
      <c r="AD48" s="57">
        <f t="shared" si="41"/>
        <v>8.5928448000000001E-4</v>
      </c>
      <c r="AE48" s="57">
        <f t="shared" si="41"/>
        <v>8.9403596384000003E-5</v>
      </c>
    </row>
    <row r="49" spans="1:31" customFormat="1">
      <c r="A49" s="18" t="s">
        <v>88</v>
      </c>
      <c r="H49" s="35"/>
      <c r="I49" s="35"/>
      <c r="J49" s="35"/>
      <c r="K49" s="35"/>
      <c r="L49" s="35"/>
    </row>
    <row r="50" spans="1:31" s="35" customFormat="1" hidden="1">
      <c r="A50" s="36" t="s">
        <v>136</v>
      </c>
      <c r="B50" s="35" t="s">
        <v>106</v>
      </c>
      <c r="C50" s="35">
        <v>1</v>
      </c>
      <c r="D50" s="35">
        <v>2</v>
      </c>
      <c r="E50" s="35">
        <v>3</v>
      </c>
      <c r="F50" s="35">
        <v>4</v>
      </c>
    </row>
    <row r="51" spans="1:31" s="35" customFormat="1" hidden="1">
      <c r="A51" s="36" t="s">
        <v>104</v>
      </c>
      <c r="B51" s="35" t="s">
        <v>90</v>
      </c>
      <c r="C51" s="35">
        <v>304.49</v>
      </c>
      <c r="D51" s="35">
        <v>308.7</v>
      </c>
      <c r="E51" s="35">
        <v>311.29000000000002</v>
      </c>
      <c r="F51" s="35">
        <v>317.02</v>
      </c>
    </row>
    <row r="52" spans="1:31" s="35" customFormat="1" hidden="1">
      <c r="A52" s="36" t="s">
        <v>105</v>
      </c>
      <c r="B52" s="35" t="s">
        <v>90</v>
      </c>
      <c r="C52" s="35">
        <v>294.58999999999997</v>
      </c>
      <c r="D52" s="35">
        <v>295.12</v>
      </c>
      <c r="E52" s="35">
        <v>295.47000000000003</v>
      </c>
      <c r="F52" s="35">
        <v>296.02</v>
      </c>
    </row>
    <row r="53" spans="1:31" s="35" customFormat="1" hidden="1">
      <c r="A53" s="35" t="s">
        <v>71</v>
      </c>
      <c r="B53" s="35" t="s">
        <v>89</v>
      </c>
      <c r="C53" s="37">
        <v>9.6889999999999997E-4</v>
      </c>
      <c r="D53" s="37">
        <v>1.387E-3</v>
      </c>
      <c r="E53" s="37">
        <v>1.7049999999999999E-3</v>
      </c>
      <c r="F53" s="37">
        <v>2.3249999999999998E-3</v>
      </c>
      <c r="G53" s="37"/>
      <c r="H53" s="27"/>
      <c r="I53" s="27"/>
      <c r="J53" s="27"/>
      <c r="K53" s="27"/>
      <c r="L53" s="27"/>
    </row>
    <row r="54" spans="1:31" s="27" customFormat="1" hidden="1">
      <c r="E54" s="38"/>
      <c r="H54" s="39"/>
      <c r="I54" s="39"/>
      <c r="J54" s="39"/>
      <c r="K54" s="39"/>
      <c r="L54" s="39"/>
    </row>
    <row r="55" spans="1:31" s="39" customFormat="1">
      <c r="A55" s="39" t="s">
        <v>136</v>
      </c>
      <c r="B55" s="39" t="s">
        <v>107</v>
      </c>
      <c r="C55" s="39">
        <v>1</v>
      </c>
      <c r="D55" s="39">
        <v>2</v>
      </c>
      <c r="E55" s="39">
        <v>3</v>
      </c>
      <c r="F55" s="39">
        <v>4</v>
      </c>
      <c r="G55" s="39">
        <v>5</v>
      </c>
      <c r="I55" s="39">
        <v>6</v>
      </c>
      <c r="J55" s="39">
        <v>7</v>
      </c>
      <c r="K55" s="39">
        <v>8</v>
      </c>
      <c r="L55" s="39">
        <v>9</v>
      </c>
      <c r="M55" s="39">
        <v>10</v>
      </c>
      <c r="N55" s="39">
        <v>11</v>
      </c>
      <c r="P55" s="39">
        <v>12</v>
      </c>
      <c r="Q55" s="39">
        <v>13</v>
      </c>
      <c r="R55" s="39">
        <v>14</v>
      </c>
      <c r="S55" s="39">
        <v>15</v>
      </c>
      <c r="U55" s="39">
        <v>16</v>
      </c>
      <c r="V55" s="39">
        <v>17</v>
      </c>
      <c r="X55" s="39" t="s">
        <v>156</v>
      </c>
      <c r="Y55" s="39" t="s">
        <v>157</v>
      </c>
      <c r="Z55" s="39" t="s">
        <v>148</v>
      </c>
      <c r="AA55" s="39">
        <v>20</v>
      </c>
      <c r="AB55" s="39">
        <v>21</v>
      </c>
      <c r="AC55" s="39">
        <v>22</v>
      </c>
      <c r="AD55" s="39">
        <v>23</v>
      </c>
      <c r="AE55" s="39">
        <v>24</v>
      </c>
    </row>
    <row r="56" spans="1:31" s="39" customFormat="1">
      <c r="A56" s="39" t="s">
        <v>108</v>
      </c>
      <c r="B56" s="39" t="s">
        <v>90</v>
      </c>
      <c r="C56" s="39">
        <v>305.07</v>
      </c>
      <c r="D56" s="39">
        <v>309.42</v>
      </c>
      <c r="E56" s="39">
        <v>312.06</v>
      </c>
      <c r="F56" s="39">
        <v>317.77999999999997</v>
      </c>
      <c r="G56" s="39">
        <f>SimRecords!$B$5</f>
        <v>322.74</v>
      </c>
      <c r="I56" s="39">
        <v>318.13</v>
      </c>
      <c r="J56" s="39">
        <v>318.58</v>
      </c>
      <c r="K56" s="39">
        <v>319.00351000000001</v>
      </c>
      <c r="L56" s="39">
        <v>319.28005999999999</v>
      </c>
      <c r="M56" s="39">
        <v>317.73446999999999</v>
      </c>
      <c r="N56" s="39">
        <v>317.72046</v>
      </c>
      <c r="P56" s="39">
        <v>318.26294000000001</v>
      </c>
      <c r="Q56" s="39">
        <v>318.48025999999999</v>
      </c>
      <c r="R56" s="39">
        <v>318.41379000000001</v>
      </c>
      <c r="S56" s="39">
        <v>318.17993000000001</v>
      </c>
      <c r="U56" s="39">
        <v>317.89227</v>
      </c>
      <c r="V56" s="39">
        <v>317.83413999999999</v>
      </c>
      <c r="X56" s="42">
        <v>318.14089999999999</v>
      </c>
      <c r="Y56" s="21">
        <v>317.99880000000002</v>
      </c>
      <c r="AA56" s="39">
        <v>317.47500000000002</v>
      </c>
      <c r="AB56" s="39">
        <v>317.59199999999998</v>
      </c>
      <c r="AC56" s="39">
        <v>317.73099999999999</v>
      </c>
      <c r="AD56" s="39">
        <v>317.86700000000002</v>
      </c>
      <c r="AE56" s="39">
        <v>317.99400000000003</v>
      </c>
    </row>
    <row r="57" spans="1:31" s="39" customFormat="1">
      <c r="A57" s="39" t="s">
        <v>109</v>
      </c>
      <c r="B57" s="39" t="s">
        <v>90</v>
      </c>
      <c r="C57" s="39">
        <v>294.04000000000002</v>
      </c>
      <c r="D57" s="39">
        <v>294.45</v>
      </c>
      <c r="E57" s="39">
        <v>294.75</v>
      </c>
      <c r="F57" s="39">
        <v>295.33999999999997</v>
      </c>
      <c r="G57" s="39">
        <f>SimRecords!$B$6</f>
        <v>296.47000000000003</v>
      </c>
      <c r="I57" s="39">
        <v>299.95</v>
      </c>
      <c r="J57" s="39">
        <v>304.49</v>
      </c>
      <c r="K57" s="39">
        <v>309.03847999999999</v>
      </c>
      <c r="L57" s="39">
        <v>313.75484999999998</v>
      </c>
      <c r="M57" s="39">
        <v>295.32715000000002</v>
      </c>
      <c r="N57" s="39">
        <v>295.35687000000001</v>
      </c>
      <c r="P57" s="39">
        <v>295.41543999999999</v>
      </c>
      <c r="Q57" s="39">
        <v>295.55029000000002</v>
      </c>
      <c r="R57" s="39">
        <v>296.52123999999998</v>
      </c>
      <c r="S57" s="39">
        <v>295.77208999999999</v>
      </c>
      <c r="U57" s="39">
        <v>294.94614000000001</v>
      </c>
      <c r="V57" s="39">
        <v>294.66298999999998</v>
      </c>
      <c r="X57" s="42">
        <v>294.798</v>
      </c>
      <c r="Y57" s="21">
        <v>294.93329999999997</v>
      </c>
      <c r="AA57" s="39">
        <v>295.42500000000001</v>
      </c>
      <c r="AB57" s="39">
        <v>295.40800000000002</v>
      </c>
      <c r="AC57" s="39">
        <v>295.36700000000002</v>
      </c>
      <c r="AD57" s="39">
        <v>295.315</v>
      </c>
      <c r="AE57" s="39">
        <v>295.26</v>
      </c>
    </row>
    <row r="58" spans="1:31" s="39" customFormat="1">
      <c r="A58" s="39" t="s">
        <v>117</v>
      </c>
      <c r="B58" s="39" t="s">
        <v>119</v>
      </c>
      <c r="C58" s="39">
        <v>2.1501100000000002</v>
      </c>
      <c r="D58" s="39">
        <v>3.1509200000000002</v>
      </c>
      <c r="E58" s="39">
        <v>3.8756499999999998</v>
      </c>
      <c r="F58" s="39">
        <v>5.7749699999999997</v>
      </c>
      <c r="G58" s="39">
        <f>SimRecords!$B$7</f>
        <v>7.6959</v>
      </c>
      <c r="I58" s="39">
        <v>5.0377000000000001</v>
      </c>
      <c r="J58" s="39">
        <v>4.1998899999999999</v>
      </c>
      <c r="K58" s="39">
        <v>2.9781647000000002</v>
      </c>
      <c r="L58" s="39">
        <v>2.1364105000000002</v>
      </c>
      <c r="M58" s="39">
        <v>5.7612939000000001</v>
      </c>
      <c r="N58" s="39">
        <v>5.7513417999999996</v>
      </c>
      <c r="P58" s="39">
        <v>6.4879875</v>
      </c>
      <c r="Q58" s="39">
        <v>6.7495941999999998</v>
      </c>
      <c r="R58" s="39">
        <v>5.7365398000000001</v>
      </c>
      <c r="S58" s="39">
        <v>6.0016074000000001</v>
      </c>
      <c r="U58" s="39">
        <v>6.2727956999999996</v>
      </c>
      <c r="V58" s="39">
        <v>6.3664417000000002</v>
      </c>
      <c r="X58" s="42">
        <v>1.9314100000000001</v>
      </c>
      <c r="Y58" s="21">
        <v>2.67977</v>
      </c>
      <c r="AA58" s="39">
        <v>6.1228699999999998</v>
      </c>
      <c r="AB58" s="39">
        <v>5.88544</v>
      </c>
      <c r="AC58" s="39">
        <v>5.5725600000000002</v>
      </c>
      <c r="AD58" s="39">
        <v>5.2153600000000004</v>
      </c>
      <c r="AE58" s="39">
        <v>4.8068</v>
      </c>
    </row>
    <row r="59" spans="1:31" s="39" customFormat="1">
      <c r="A59" s="39" t="s">
        <v>71</v>
      </c>
      <c r="B59" s="39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 t="shared" ref="I59:N59" si="42">I58*0.0005</f>
        <v>2.51885E-3</v>
      </c>
      <c r="J59" s="24">
        <f t="shared" si="42"/>
        <v>2.0999450000000002E-3</v>
      </c>
      <c r="K59" s="24">
        <f t="shared" si="42"/>
        <v>1.4890823500000002E-3</v>
      </c>
      <c r="L59" s="24">
        <f t="shared" si="42"/>
        <v>1.0682052500000001E-3</v>
      </c>
      <c r="M59" s="24">
        <f t="shared" si="42"/>
        <v>2.8806469500000003E-3</v>
      </c>
      <c r="N59" s="24">
        <f t="shared" si="42"/>
        <v>2.8756708999999997E-3</v>
      </c>
      <c r="O59" s="24"/>
      <c r="P59" s="24">
        <f t="shared" ref="P59:Q59" si="43">P58*0.0005</f>
        <v>3.2439937500000002E-3</v>
      </c>
      <c r="Q59" s="24">
        <f t="shared" si="43"/>
        <v>3.3747971000000002E-3</v>
      </c>
      <c r="R59" s="24">
        <f t="shared" ref="R59:S59" si="44">R58*0.0005</f>
        <v>2.8682699E-3</v>
      </c>
      <c r="S59" s="24">
        <f t="shared" si="44"/>
        <v>3.0008037E-3</v>
      </c>
      <c r="T59" s="24"/>
      <c r="U59" s="24">
        <f t="shared" ref="U59" si="45">U58*0.0005</f>
        <v>3.13639785E-3</v>
      </c>
      <c r="V59" s="24">
        <f t="shared" ref="V59" si="46">V58*0.0005</f>
        <v>3.1832208500000001E-3</v>
      </c>
      <c r="W59" s="24"/>
      <c r="X59" s="24">
        <f t="shared" ref="X59:AA59" si="47">X58*0.0005</f>
        <v>9.6570500000000008E-4</v>
      </c>
      <c r="Y59" s="24">
        <f t="shared" si="47"/>
        <v>1.3398850000000001E-3</v>
      </c>
      <c r="AA59" s="24">
        <f t="shared" si="47"/>
        <v>3.0614349999999999E-3</v>
      </c>
      <c r="AB59" s="24">
        <f t="shared" ref="AB59:AD59" si="48">AB58*0.0005</f>
        <v>2.9427200000000002E-3</v>
      </c>
      <c r="AC59" s="24">
        <f t="shared" si="48"/>
        <v>2.7862800000000004E-3</v>
      </c>
      <c r="AD59" s="24">
        <f t="shared" si="48"/>
        <v>2.6076800000000002E-3</v>
      </c>
      <c r="AE59" s="24">
        <f t="shared" ref="AE59" si="49">AE58*0.0005</f>
        <v>2.4034E-3</v>
      </c>
    </row>
    <row r="60" spans="1:31">
      <c r="A60" s="39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50">(E43-E56)/E43</f>
        <v>9.4837740783661011E-4</v>
      </c>
      <c r="F60" s="24">
        <f t="shared" si="50"/>
        <v>1.5239093019371039E-3</v>
      </c>
      <c r="G60" s="24">
        <f t="shared" si="50"/>
        <v>2.7766419425072604E-3</v>
      </c>
      <c r="I60" s="24">
        <f t="shared" ref="I60:J60" si="51">(I43-I56)/I43</f>
        <v>5.4257900331065141E-4</v>
      </c>
      <c r="J60" s="24">
        <f t="shared" si="51"/>
        <v>-3.047658414628378E-4</v>
      </c>
      <c r="K60" s="24">
        <f t="shared" ref="K60:L60" si="52">(K43-K56)/K43</f>
        <v>-6.289088186317677E-4</v>
      </c>
      <c r="L60" s="24">
        <f t="shared" si="52"/>
        <v>-8.3745845515194241E-4</v>
      </c>
      <c r="M60" s="24">
        <f t="shared" ref="M60:N60" si="53">(M43-M56)/M43</f>
        <v>5.727340665342434E-3</v>
      </c>
      <c r="N60" s="24">
        <f t="shared" si="53"/>
        <v>2.1438115982229866E-3</v>
      </c>
      <c r="O60" s="24"/>
      <c r="P60" s="24">
        <f t="shared" ref="P60" si="54">(P43-P56)/P43</f>
        <v>1.3842986815541562E-3</v>
      </c>
      <c r="Q60" s="24">
        <f t="shared" ref="Q60:R60" si="55">(Q43-Q56)/Q43</f>
        <v>1.0586285541768043E-3</v>
      </c>
      <c r="R60" s="24">
        <f t="shared" si="55"/>
        <v>4.606426134000754E-4</v>
      </c>
      <c r="S60" s="24">
        <f t="shared" ref="S60:U60" si="56">(S43-S56)/S43</f>
        <v>1.0571344233480612E-3</v>
      </c>
      <c r="T60" s="24"/>
      <c r="U60" s="24">
        <f t="shared" si="56"/>
        <v>1.3903856493660976E-3</v>
      </c>
      <c r="V60" s="24">
        <f t="shared" ref="V60:X60" si="57">(V43-V56)/V43</f>
        <v>1.458162196645917E-3</v>
      </c>
      <c r="W60" s="24"/>
      <c r="X60" s="24">
        <f t="shared" si="57"/>
        <v>7.9435894865143128E-4</v>
      </c>
      <c r="Y60" s="24">
        <f t="shared" ref="Y60:AA60" si="58">(Y43-Y56)/Y43</f>
        <v>2.511430174707145E-4</v>
      </c>
      <c r="AA60" s="24">
        <f t="shared" si="58"/>
        <v>2.4822301769539686E-3</v>
      </c>
      <c r="AB60" s="24">
        <f t="shared" ref="AB60:AD60" si="59">(AB43-AB56)/AB43</f>
        <v>3.1114321153796953E-3</v>
      </c>
      <c r="AC60" s="24">
        <f t="shared" si="59"/>
        <v>4.8428986677061473E-3</v>
      </c>
      <c r="AD60" s="24">
        <f t="shared" si="59"/>
        <v>1.7105278861868545E-3</v>
      </c>
      <c r="AE60" s="24">
        <f t="shared" ref="AE60" si="60">(AE43-AE56)/AE43</f>
        <v>3.4669720123319979E-3</v>
      </c>
    </row>
    <row r="61" spans="1:31">
      <c r="A61" s="39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61">(E47-E57)/E47</f>
        <v>-1.3512555486357143E-3</v>
      </c>
      <c r="F61" s="24">
        <f t="shared" si="61"/>
        <v>-2.5838197938558632E-3</v>
      </c>
      <c r="G61" s="24">
        <f t="shared" si="61"/>
        <v>-4.4952745416857081E-3</v>
      </c>
      <c r="I61" s="24">
        <f t="shared" ref="I61:J61" si="62">(I47-I57)/I47</f>
        <v>-2.4340166047628E-3</v>
      </c>
      <c r="J61" s="24">
        <f t="shared" si="62"/>
        <v>-1.9035563338051613E-3</v>
      </c>
      <c r="K61" s="24">
        <f t="shared" ref="K61:L61" si="63">(K47-K57)/K47</f>
        <v>-1.2512121329052266E-3</v>
      </c>
      <c r="L61" s="24">
        <f t="shared" si="63"/>
        <v>-5.7847742922529646E-4</v>
      </c>
      <c r="M61" s="24">
        <f t="shared" ref="M61:N61" si="64">(M47-M57)/M47</f>
        <v>-2.3153490160897345E-3</v>
      </c>
      <c r="N61" s="24">
        <f t="shared" si="64"/>
        <v>-2.3381814558007786E-3</v>
      </c>
      <c r="O61" s="24"/>
      <c r="P61" s="24">
        <f t="shared" ref="P61" si="65">(P47-P57)/P47</f>
        <v>-2.2733011551473695E-3</v>
      </c>
      <c r="Q61" s="24">
        <f t="shared" ref="Q61:R61" si="66">(Q47-Q57)/Q47</f>
        <v>-2.0176405926973472E-3</v>
      </c>
      <c r="R61" s="24">
        <f t="shared" si="66"/>
        <v>-5.5541875547402255E-3</v>
      </c>
      <c r="S61" s="24">
        <f t="shared" ref="S61:U61" si="67">(S47-S57)/S47</f>
        <v>-2.601901257361215E-3</v>
      </c>
      <c r="T61" s="24"/>
      <c r="U61" s="24">
        <f t="shared" si="67"/>
        <v>-1.076129147931664E-3</v>
      </c>
      <c r="V61" s="24">
        <f t="shared" ref="V61:X61" si="68">(V47-V57)/V47</f>
        <v>-6.877744953237417E-4</v>
      </c>
      <c r="W61" s="24"/>
      <c r="X61" s="24">
        <f t="shared" si="68"/>
        <v>-5.7591751660082495E-4</v>
      </c>
      <c r="Y61" s="24">
        <f t="shared" ref="Y61:AA61" si="69">(Y47-Y57)/Y47</f>
        <v>-1.6179178106562233E-3</v>
      </c>
      <c r="AA61" s="24">
        <f t="shared" si="69"/>
        <v>-2.8723673142815225E-3</v>
      </c>
      <c r="AB61" s="24">
        <f t="shared" ref="AB61:AD61" si="70">(AB47-AB57)/AB47</f>
        <v>-2.290206304492027E-3</v>
      </c>
      <c r="AC61" s="24">
        <f t="shared" si="70"/>
        <v>-2.198418582987369E-3</v>
      </c>
      <c r="AD61" s="24">
        <f t="shared" si="70"/>
        <v>-3.1023446435357051E-3</v>
      </c>
      <c r="AE61" s="24">
        <f t="shared" ref="AE61" si="71">(AE47-AE57)/AE47</f>
        <v>-3.0094980528818289E-3</v>
      </c>
    </row>
    <row r="62" spans="1:31">
      <c r="A62" s="39" t="s">
        <v>123</v>
      </c>
      <c r="C62" s="55">
        <f>(C48-C59)/C48</f>
        <v>3.7738513683150884E-3</v>
      </c>
      <c r="D62" s="55">
        <f>(D48-D59)/D48</f>
        <v>-6.5537445671729399E-4</v>
      </c>
      <c r="E62" s="55">
        <f t="shared" ref="E62:G62" si="72">(E48-E59)/E48</f>
        <v>4.4822209880538222E-3</v>
      </c>
      <c r="F62" s="55">
        <f t="shared" si="72"/>
        <v>3.1125204922697346E-2</v>
      </c>
      <c r="G62" s="55">
        <f t="shared" si="72"/>
        <v>1.7975106958396075E-2</v>
      </c>
      <c r="H62" s="19"/>
      <c r="I62" s="55">
        <f t="shared" ref="I62:J62" si="73">(I48-I59)/I48</f>
        <v>1.9926560748551023E-2</v>
      </c>
      <c r="J62" s="55">
        <f t="shared" si="73"/>
        <v>1.1104035383887956E-2</v>
      </c>
      <c r="K62" s="55">
        <f t="shared" ref="K62" si="74">(K48-K59)/K48</f>
        <v>4.6036193576214461E-2</v>
      </c>
      <c r="L62" s="55">
        <f>(L48-L59)/L48</f>
        <v>-7.5152397389511016E-2</v>
      </c>
      <c r="M62" s="55">
        <f>(M48-M59)/M48</f>
        <v>1.9483954980676128E-2</v>
      </c>
      <c r="N62" s="55">
        <f>(N48-N59)/N48</f>
        <v>-6.6144025117217996E-3</v>
      </c>
      <c r="O62" s="55"/>
      <c r="P62" s="55">
        <f t="shared" ref="P62" si="75">(P48-P59)/P48</f>
        <v>-6.545873709903488E-2</v>
      </c>
      <c r="Q62" s="55">
        <f t="shared" ref="Q62:R62" si="76">(Q48-Q59)/Q48</f>
        <v>-8.7950146368556942E-2</v>
      </c>
      <c r="R62" s="55">
        <f t="shared" si="76"/>
        <v>-4.446589311929227E-2</v>
      </c>
      <c r="S62" s="55">
        <f t="shared" ref="S62:U62" si="77">(S48-S59)/S48</f>
        <v>-6.2544171114402705E-2</v>
      </c>
      <c r="T62" s="55"/>
      <c r="U62" s="55">
        <f t="shared" si="77"/>
        <v>2.3195861701215525E-2</v>
      </c>
      <c r="V62" s="55">
        <f t="shared" ref="V62:X62" si="78">(V48-V59)/V48</f>
        <v>3.6440365590389663E-2</v>
      </c>
      <c r="W62" s="55"/>
      <c r="X62" s="55">
        <f t="shared" si="78"/>
        <v>7.6301545692549523E-3</v>
      </c>
      <c r="Y62" s="55">
        <f t="shared" ref="Y62:AA62" si="79">(Y48-Y59)/Y48</f>
        <v>-2.1349500397339002E-3</v>
      </c>
      <c r="AA62" s="55">
        <f t="shared" si="79"/>
        <v>-2.7242464728814877E-2</v>
      </c>
      <c r="AB62" s="55">
        <f t="shared" ref="AB62:AD62" si="80">(AB48-AB59)/AB48</f>
        <v>-0.5644973145489135</v>
      </c>
      <c r="AC62" s="55">
        <f t="shared" si="80"/>
        <v>-0.81482675708641472</v>
      </c>
      <c r="AD62" s="55">
        <f t="shared" si="80"/>
        <v>-2.0347109260020622</v>
      </c>
      <c r="AE62" s="55">
        <f t="shared" ref="AE62" si="81">(AE48-AE59)/AE48</f>
        <v>-25.882587470833794</v>
      </c>
    </row>
    <row r="63" spans="1:31">
      <c r="A63" s="39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82">SQRT(E60^2+E61^2+E62^2)</f>
        <v>4.7765695065772754E-3</v>
      </c>
      <c r="F63" s="24">
        <f t="shared" si="82"/>
        <v>3.1269422856323316E-2</v>
      </c>
      <c r="G63" s="24">
        <f t="shared" si="82"/>
        <v>1.8735573219087726E-2</v>
      </c>
      <c r="I63" s="24">
        <f t="shared" ref="I63:J63" si="83">SQRT(I60^2+I61^2+I62^2)</f>
        <v>2.0081998209162077E-2</v>
      </c>
      <c r="J63" s="24">
        <f t="shared" si="83"/>
        <v>1.1270138008947718E-2</v>
      </c>
      <c r="K63" s="24">
        <f t="shared" ref="K63:L63" si="84">SQRT(K60^2+K61^2+K62^2)</f>
        <v>4.6057487741846835E-2</v>
      </c>
      <c r="L63" s="24">
        <f t="shared" si="84"/>
        <v>7.5159289553528977E-2</v>
      </c>
      <c r="M63" s="24">
        <f t="shared" ref="M63:N63" si="85">SQRT(M60^2+M61^2+M62^2)</f>
        <v>2.0439857481210747E-2</v>
      </c>
      <c r="N63" s="24">
        <f t="shared" si="85"/>
        <v>7.3357577165551E-3</v>
      </c>
      <c r="O63" s="24"/>
      <c r="P63" s="24">
        <f t="shared" ref="P63" si="86">SQRT(P60^2+P61^2+P62^2)</f>
        <v>6.5512826557723128E-2</v>
      </c>
      <c r="Q63" s="24">
        <f t="shared" ref="Q63:R63" si="87">SQRT(Q60^2+Q61^2+Q62^2)</f>
        <v>8.7979655683729563E-2</v>
      </c>
      <c r="R63" s="24">
        <f t="shared" si="87"/>
        <v>4.481380191310301E-2</v>
      </c>
      <c r="S63" s="24">
        <f t="shared" ref="S63:U63" si="88">SQRT(S60^2+S61^2+S62^2)</f>
        <v>6.2607194185091627E-2</v>
      </c>
      <c r="T63" s="24"/>
      <c r="U63" s="24">
        <f t="shared" si="88"/>
        <v>2.3262399408893929E-2</v>
      </c>
      <c r="V63" s="24">
        <f t="shared" ref="V63:X63" si="89">SQRT(V60^2+V61^2+V62^2)</f>
        <v>3.647601287297448E-2</v>
      </c>
      <c r="W63" s="24"/>
      <c r="X63" s="24">
        <f t="shared" si="89"/>
        <v>7.692980298684802E-3</v>
      </c>
      <c r="Y63" s="24">
        <f t="shared" ref="Y63:AA63" si="90">SQRT(Y60^2+Y61^2+Y62^2)</f>
        <v>2.6904911316379962E-3</v>
      </c>
      <c r="AA63" s="24">
        <f t="shared" si="90"/>
        <v>2.7505705683371524E-2</v>
      </c>
      <c r="AB63" s="24">
        <f t="shared" ref="AB63:AD63" si="91">SQRT(AB60^2+AB61^2+AB62^2)</f>
        <v>0.56451053505462656</v>
      </c>
      <c r="AC63" s="24">
        <f t="shared" si="91"/>
        <v>0.81484411440209514</v>
      </c>
      <c r="AD63" s="24">
        <f t="shared" si="91"/>
        <v>2.0347140100859646</v>
      </c>
      <c r="AE63" s="24">
        <f t="shared" ref="AE63" si="92">SQRT(AE60^2+AE61^2+AE62^2)</f>
        <v>25.882587877998905</v>
      </c>
    </row>
    <row r="64" spans="1:31">
      <c r="L64" s="54"/>
    </row>
  </sheetData>
  <phoneticPr fontId="6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topLeftCell="A7" workbookViewId="0">
      <selection activeCell="H2" sqref="H2"/>
    </sheetView>
  </sheetViews>
  <sheetFormatPr defaultRowHeight="15"/>
  <cols>
    <col min="4" max="4" width="12.28515625" customWidth="1"/>
    <col min="5" max="5" width="14.28515625" customWidth="1"/>
    <col min="7" max="7" width="11.85546875" customWidth="1"/>
    <col min="8" max="8" width="11.42578125" customWidth="1"/>
    <col min="13" max="13" width="29.85546875" customWidth="1"/>
  </cols>
  <sheetData>
    <row r="1" spans="1:42" ht="16.5">
      <c r="A1" s="1" t="s">
        <v>129</v>
      </c>
      <c r="M1" s="1" t="s">
        <v>132</v>
      </c>
    </row>
    <row r="2" spans="1:42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  <c r="AL2" t="str">
        <f t="array" ref="AL2:AP11">TRANSPOSE(A36:J40)</f>
        <v>ePTFE</v>
      </c>
      <c r="AM2" t="str">
        <v>ePTFE</v>
      </c>
      <c r="AN2" t="str">
        <v>ePTFE</v>
      </c>
      <c r="AO2" t="str">
        <v>ePTFE</v>
      </c>
      <c r="AP2" t="str">
        <v>ePTFE</v>
      </c>
    </row>
    <row r="3" spans="1:42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  <c r="AL3">
        <v>46.813272232415727</v>
      </c>
      <c r="AM3">
        <v>46.848783530878762</v>
      </c>
      <c r="AN3">
        <v>46.810284463894057</v>
      </c>
      <c r="AO3">
        <v>46.866582914572703</v>
      </c>
      <c r="AP3">
        <v>47.081704781703998</v>
      </c>
    </row>
    <row r="4" spans="1:42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  <c r="AL4">
        <v>45.115007004655496</v>
      </c>
      <c r="AM4">
        <v>45.433250155957296</v>
      </c>
      <c r="AN4">
        <v>46.127227258519227</v>
      </c>
      <c r="AO4">
        <v>45.261652010050049</v>
      </c>
      <c r="AP4">
        <v>45.950311850311486</v>
      </c>
    </row>
    <row r="5" spans="1:42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  <c r="AL5">
        <v>19.965192717598594</v>
      </c>
      <c r="AM5">
        <v>19.989925140361731</v>
      </c>
      <c r="AN5">
        <v>19.900375117224076</v>
      </c>
      <c r="AO5">
        <v>19.998618090452187</v>
      </c>
      <c r="AP5">
        <v>19.971794871794781</v>
      </c>
    </row>
    <row r="6" spans="1:42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  <c r="AL6">
        <v>21.428861307302665</v>
      </c>
      <c r="AM6">
        <v>21.583000623829477</v>
      </c>
      <c r="AN6">
        <v>21.569084088778226</v>
      </c>
      <c r="AO6">
        <v>21.251664572864392</v>
      </c>
      <c r="AP6">
        <v>21.224081774082016</v>
      </c>
    </row>
    <row r="7" spans="1:42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  <c r="AL7">
        <v>25.234077623592736</v>
      </c>
      <c r="AM7">
        <v>25.324775484892648</v>
      </c>
      <c r="AN7">
        <v>25.716106122382811</v>
      </c>
      <c r="AO7">
        <v>25.412196622905832</v>
      </c>
      <c r="AP7">
        <v>25.899790799170869</v>
      </c>
    </row>
    <row r="8" spans="1:42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  <c r="AL8">
        <v>1.0575562188444444E-2</v>
      </c>
      <c r="AM8">
        <v>1.0575562188444444E-2</v>
      </c>
      <c r="AN8">
        <v>1.0575562188444444E-2</v>
      </c>
      <c r="AO8">
        <v>1.0575562188444444E-2</v>
      </c>
      <c r="AP8">
        <v>1.0575562188444444E-2</v>
      </c>
    </row>
    <row r="9" spans="1:42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  <c r="AL9">
        <v>1.0878928809055555E-2</v>
      </c>
      <c r="AM9">
        <v>1.0878928809055555E-2</v>
      </c>
      <c r="AN9">
        <v>1.0878928809055555E-2</v>
      </c>
      <c r="AO9">
        <v>1.0878928809055555E-2</v>
      </c>
      <c r="AP9">
        <v>1.0878928809055555E-2</v>
      </c>
    </row>
    <row r="10" spans="1:42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  <c r="AL10">
        <v>10.728884735999999</v>
      </c>
      <c r="AM10">
        <v>6.7713711627906985</v>
      </c>
      <c r="AN10">
        <v>5.5270333439999995</v>
      </c>
      <c r="AO10">
        <v>3.0934241280000001</v>
      </c>
      <c r="AP10">
        <v>0.32185294698240002</v>
      </c>
    </row>
    <row r="11" spans="1:42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  <c r="AK11" s="42" t="s">
        <v>146</v>
      </c>
      <c r="AL11">
        <v>0</v>
      </c>
      <c r="AM11">
        <v>6.5039999999999996</v>
      </c>
      <c r="AN11">
        <v>12.406000000000001</v>
      </c>
      <c r="AO11">
        <v>17.439</v>
      </c>
      <c r="AP11">
        <v>21.963999999999999</v>
      </c>
    </row>
    <row r="12" spans="1:42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42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42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42">
      <c r="M15" t="str">
        <f t="shared" ref="M15" si="0">M8</f>
        <v>料液侧流速（m/s)</v>
      </c>
      <c r="N15" s="45">
        <f t="shared" ref="N15:R15" si="1">N8</f>
        <v>1.0570055555555555E-2</v>
      </c>
      <c r="O15" s="46">
        <f t="shared" si="1"/>
        <v>1.0570055555555555E-2</v>
      </c>
      <c r="P15" s="46">
        <f t="shared" si="1"/>
        <v>1.0570055555555555E-2</v>
      </c>
      <c r="Q15" s="46">
        <f t="shared" si="1"/>
        <v>1.0570055555555555E-2</v>
      </c>
      <c r="R15" s="47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  <c r="AL15" s="43">
        <f t="shared" ref="AL15:AP15" si="6">AL8</f>
        <v>1.0575562188444444E-2</v>
      </c>
      <c r="AM15" s="43">
        <f t="shared" si="6"/>
        <v>1.0575562188444444E-2</v>
      </c>
      <c r="AN15" s="43">
        <f t="shared" si="6"/>
        <v>1.0575562188444444E-2</v>
      </c>
      <c r="AO15" s="43">
        <f t="shared" si="6"/>
        <v>1.0575562188444444E-2</v>
      </c>
      <c r="AP15" s="43">
        <f t="shared" si="6"/>
        <v>1.0575562188444444E-2</v>
      </c>
    </row>
    <row r="16" spans="1:42" ht="16.5">
      <c r="A16" s="1" t="s">
        <v>130</v>
      </c>
      <c r="M16" t="str">
        <f t="shared" ref="M16" si="7">M3</f>
        <v>料液侧入口温度（℃）</v>
      </c>
      <c r="N16" s="48">
        <f t="shared" ref="N16:R16" si="8">N3</f>
        <v>32.804908589380183</v>
      </c>
      <c r="O16" s="43">
        <f t="shared" si="8"/>
        <v>37.545921167879214</v>
      </c>
      <c r="P16" s="43">
        <f t="shared" si="8"/>
        <v>40.462794041113561</v>
      </c>
      <c r="Q16" s="43">
        <f t="shared" si="8"/>
        <v>46.813272232415727</v>
      </c>
      <c r="R16" s="49">
        <f t="shared" si="8"/>
        <v>52.28803056208195</v>
      </c>
      <c r="S16">
        <f t="shared" ref="S16:W16" si="9">S3</f>
        <v>46.813272232415727</v>
      </c>
      <c r="T16">
        <f t="shared" si="9"/>
        <v>46.735559551037205</v>
      </c>
      <c r="U16">
        <f t="shared" si="9"/>
        <v>46.756376974131932</v>
      </c>
      <c r="V16">
        <f t="shared" si="9"/>
        <v>46.759715513146396</v>
      </c>
      <c r="W16">
        <f t="shared" si="9"/>
        <v>46.795754117384256</v>
      </c>
      <c r="X16">
        <f t="shared" ref="X16:AB16" si="10">X3</f>
        <v>46.765960784537164</v>
      </c>
      <c r="Y16">
        <f t="shared" si="10"/>
        <v>46.747797849449768</v>
      </c>
      <c r="Z16">
        <f t="shared" si="10"/>
        <v>46.813272232415727</v>
      </c>
      <c r="AA16">
        <f t="shared" si="10"/>
        <v>46.780135265158755</v>
      </c>
      <c r="AB16">
        <f t="shared" si="10"/>
        <v>46.785915070345858</v>
      </c>
      <c r="AC16">
        <f t="shared" ref="AC16:AG16" si="11">AC3</f>
        <v>46.831304444044484</v>
      </c>
      <c r="AD16">
        <f t="shared" si="11"/>
        <v>46.835636390276221</v>
      </c>
      <c r="AE16">
        <f t="shared" si="11"/>
        <v>46.813272232415727</v>
      </c>
      <c r="AF16">
        <f t="shared" si="11"/>
        <v>46.773248419935193</v>
      </c>
      <c r="AG16">
        <f t="shared" si="11"/>
        <v>46.772998389800364</v>
      </c>
      <c r="AH16">
        <f t="shared" ref="AH16:AJ16" si="12">AH3</f>
        <v>46.813272232415727</v>
      </c>
      <c r="AI16">
        <f t="shared" si="12"/>
        <v>46.83837113278085</v>
      </c>
      <c r="AJ16">
        <f t="shared" si="12"/>
        <v>46.843521688179884</v>
      </c>
      <c r="AL16" s="43">
        <f t="shared" ref="AL16:AP16" si="13">AL3</f>
        <v>46.813272232415727</v>
      </c>
      <c r="AM16" s="43">
        <f t="shared" si="13"/>
        <v>46.848783530878762</v>
      </c>
      <c r="AN16" s="43">
        <f t="shared" si="13"/>
        <v>46.810284463894057</v>
      </c>
      <c r="AO16" s="43">
        <f t="shared" si="13"/>
        <v>46.866582914572703</v>
      </c>
      <c r="AP16" s="43">
        <f t="shared" si="13"/>
        <v>47.081704781703998</v>
      </c>
    </row>
    <row r="17" spans="1:42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8"/>
      <c r="O17" s="43"/>
      <c r="P17" s="43"/>
      <c r="Q17" s="43"/>
      <c r="R17" s="49"/>
      <c r="AL17" s="43"/>
      <c r="AM17" s="43"/>
      <c r="AN17" s="43"/>
      <c r="AO17" s="43"/>
      <c r="AP17" s="43"/>
    </row>
    <row r="18" spans="1:42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4">M9</f>
        <v>渗透侧流速（m/s)</v>
      </c>
      <c r="N18" s="48">
        <f t="shared" ref="N18:R18" si="15">N9</f>
        <v>1.0024555555555557E-2</v>
      </c>
      <c r="O18" s="43">
        <f t="shared" si="15"/>
        <v>1.0024555555555557E-2</v>
      </c>
      <c r="P18" s="43">
        <f t="shared" si="15"/>
        <v>1.0024555555555557E-2</v>
      </c>
      <c r="Q18" s="43">
        <f t="shared" si="15"/>
        <v>1.0024555555555557E-2</v>
      </c>
      <c r="R18" s="49">
        <f t="shared" si="15"/>
        <v>1.0024555555555557E-2</v>
      </c>
      <c r="S18">
        <f t="shared" ref="S18:W18" si="16">S9</f>
        <v>1.0024555555555557E-2</v>
      </c>
      <c r="T18">
        <f t="shared" si="16"/>
        <v>1.0024555555555557E-2</v>
      </c>
      <c r="U18">
        <f t="shared" si="16"/>
        <v>1.0024555555555557E-2</v>
      </c>
      <c r="V18">
        <f t="shared" si="16"/>
        <v>1.0024555555555557E-2</v>
      </c>
      <c r="W18">
        <f t="shared" si="16"/>
        <v>1.0024555555555557E-2</v>
      </c>
      <c r="X18">
        <f t="shared" ref="X18:AB18" si="17">X9</f>
        <v>1.0024555555555557E-2</v>
      </c>
      <c r="Y18">
        <f t="shared" si="17"/>
        <v>1.0024555555555557E-2</v>
      </c>
      <c r="Z18">
        <f t="shared" si="17"/>
        <v>1.0024555555555557E-2</v>
      </c>
      <c r="AA18">
        <f t="shared" si="17"/>
        <v>1.0024555555555557E-2</v>
      </c>
      <c r="AB18">
        <f t="shared" si="17"/>
        <v>1.0024555555555571E-2</v>
      </c>
      <c r="AC18">
        <f t="shared" ref="AC18:AG18" si="18">AC9</f>
        <v>4.9995555555555557E-3</v>
      </c>
      <c r="AD18">
        <f t="shared" si="18"/>
        <v>7.5120555555555539E-3</v>
      </c>
      <c r="AE18">
        <f t="shared" si="18"/>
        <v>1.0024555555555557E-2</v>
      </c>
      <c r="AF18">
        <f t="shared" si="18"/>
        <v>1.2537055555555556E-2</v>
      </c>
      <c r="AG18">
        <f t="shared" si="18"/>
        <v>1.5049555555555552E-2</v>
      </c>
      <c r="AH18">
        <f t="shared" ref="AH18:AJ18" si="19">AH9</f>
        <v>1.0878928809055555E-2</v>
      </c>
      <c r="AI18">
        <f t="shared" si="19"/>
        <v>1.0878928809055555E-2</v>
      </c>
      <c r="AJ18">
        <f t="shared" si="19"/>
        <v>1.0878928809055555E-2</v>
      </c>
      <c r="AL18" s="43">
        <f t="shared" ref="AL18:AP18" si="20">AL9</f>
        <v>1.0878928809055555E-2</v>
      </c>
      <c r="AM18" s="43">
        <f t="shared" si="20"/>
        <v>1.0878928809055555E-2</v>
      </c>
      <c r="AN18" s="43">
        <f t="shared" si="20"/>
        <v>1.0878928809055555E-2</v>
      </c>
      <c r="AO18" s="43">
        <f t="shared" si="20"/>
        <v>1.0878928809055555E-2</v>
      </c>
      <c r="AP18" s="43">
        <f t="shared" si="20"/>
        <v>1.0878928809055555E-2</v>
      </c>
    </row>
    <row r="19" spans="1:42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21">M5</f>
        <v>渗透侧入口温度（℃）</v>
      </c>
      <c r="N19" s="48">
        <f t="shared" ref="N19:R19" si="22">N5</f>
        <v>20.020584823493895</v>
      </c>
      <c r="O19" s="43">
        <f t="shared" si="22"/>
        <v>20.013996907080195</v>
      </c>
      <c r="P19" s="43">
        <f t="shared" si="22"/>
        <v>20.040555205268429</v>
      </c>
      <c r="Q19" s="43">
        <f t="shared" si="22"/>
        <v>19.965192717598594</v>
      </c>
      <c r="R19" s="49">
        <f t="shared" si="22"/>
        <v>20.531591054442632</v>
      </c>
      <c r="S19">
        <f t="shared" ref="S19:W19" si="23">S5</f>
        <v>19.965192717598594</v>
      </c>
      <c r="T19">
        <f t="shared" si="23"/>
        <v>25.020477816258023</v>
      </c>
      <c r="U19">
        <f t="shared" si="23"/>
        <v>29.996660937349375</v>
      </c>
      <c r="V19">
        <f t="shared" si="23"/>
        <v>34.981044802983121</v>
      </c>
      <c r="W19">
        <f t="shared" si="23"/>
        <v>39.995611966534248</v>
      </c>
      <c r="X19">
        <f t="shared" ref="X19:AB19" si="24">X5</f>
        <v>19.95147626262694</v>
      </c>
      <c r="Y19">
        <f t="shared" si="24"/>
        <v>19.98472615642196</v>
      </c>
      <c r="Z19">
        <f t="shared" si="24"/>
        <v>19.965192717598594</v>
      </c>
      <c r="AA19">
        <f t="shared" si="24"/>
        <v>19.98426554012838</v>
      </c>
      <c r="AB19">
        <f t="shared" si="24"/>
        <v>20.033552339221512</v>
      </c>
      <c r="AC19">
        <f t="shared" ref="AC19:AG19" si="25">AC5</f>
        <v>19.99611427063822</v>
      </c>
      <c r="AD19">
        <f t="shared" si="25"/>
        <v>19.985256383306695</v>
      </c>
      <c r="AE19">
        <f t="shared" si="25"/>
        <v>19.965192717598594</v>
      </c>
      <c r="AF19">
        <f t="shared" si="25"/>
        <v>19.978884732789933</v>
      </c>
      <c r="AG19">
        <f t="shared" si="25"/>
        <v>19.940144584158414</v>
      </c>
      <c r="AH19">
        <f t="shared" ref="AH19:AJ19" si="26">AH5</f>
        <v>19.965192717598594</v>
      </c>
      <c r="AI19">
        <f t="shared" si="26"/>
        <v>19.962840387781814</v>
      </c>
      <c r="AJ19">
        <f t="shared" si="26"/>
        <v>19.94308391529044</v>
      </c>
      <c r="AL19" s="43">
        <f t="shared" ref="AL19:AP19" si="27">AL5</f>
        <v>19.965192717598594</v>
      </c>
      <c r="AM19" s="43">
        <f t="shared" si="27"/>
        <v>19.989925140361731</v>
      </c>
      <c r="AN19" s="43">
        <f t="shared" si="27"/>
        <v>19.900375117224076</v>
      </c>
      <c r="AO19" s="43">
        <f t="shared" si="27"/>
        <v>19.998618090452187</v>
      </c>
      <c r="AP19" s="43">
        <f t="shared" si="27"/>
        <v>19.971794871794781</v>
      </c>
    </row>
    <row r="20" spans="1:42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8"/>
      <c r="O20" s="43"/>
      <c r="P20" s="43"/>
      <c r="Q20" s="43"/>
      <c r="R20" s="49"/>
      <c r="AL20" s="43"/>
      <c r="AM20" s="43"/>
      <c r="AN20" s="43"/>
      <c r="AO20" s="43"/>
      <c r="AP20" s="43"/>
    </row>
    <row r="21" spans="1:42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8">M4</f>
        <v>料液侧出口温度（℃）</v>
      </c>
      <c r="N21" s="48">
        <f t="shared" ref="N21:R21" si="29">N4</f>
        <v>32.209159619805561</v>
      </c>
      <c r="O21" s="43">
        <f t="shared" si="29"/>
        <v>36.641882535934052</v>
      </c>
      <c r="P21" s="43">
        <f t="shared" si="29"/>
        <v>39.206231593240013</v>
      </c>
      <c r="Q21" s="43">
        <f t="shared" si="29"/>
        <v>45.115007004655496</v>
      </c>
      <c r="R21" s="49">
        <f t="shared" si="29"/>
        <v>50.488628590359532</v>
      </c>
      <c r="S21">
        <f t="shared" ref="S21:W21" si="30">S4</f>
        <v>45.115007004655496</v>
      </c>
      <c r="T21">
        <f t="shared" si="30"/>
        <v>45.152704364084947</v>
      </c>
      <c r="U21">
        <f t="shared" si="30"/>
        <v>45.332937279628425</v>
      </c>
      <c r="V21">
        <f t="shared" si="30"/>
        <v>45.65301197436299</v>
      </c>
      <c r="W21">
        <f t="shared" si="30"/>
        <v>45.862899949634645</v>
      </c>
      <c r="X21">
        <f t="shared" ref="X21:AB21" si="31">X4</f>
        <v>46.414726050719302</v>
      </c>
      <c r="Y21">
        <f t="shared" si="31"/>
        <v>45.253056164715588</v>
      </c>
      <c r="Z21">
        <f t="shared" si="31"/>
        <v>45.115007004655496</v>
      </c>
      <c r="AA21">
        <f t="shared" si="31"/>
        <v>45.554121695468943</v>
      </c>
      <c r="AB21">
        <f t="shared" si="31"/>
        <v>45.667769594471679</v>
      </c>
      <c r="AC21">
        <f t="shared" ref="AC21:AG21" si="32">AC4</f>
        <v>45.410532556242877</v>
      </c>
      <c r="AD21">
        <f t="shared" si="32"/>
        <v>45.366644909743457</v>
      </c>
      <c r="AE21">
        <f t="shared" si="32"/>
        <v>45.115007004655496</v>
      </c>
      <c r="AF21">
        <f t="shared" si="32"/>
        <v>45.184878246406505</v>
      </c>
      <c r="AG21">
        <f t="shared" si="32"/>
        <v>45.148270505308638</v>
      </c>
      <c r="AH21">
        <f t="shared" ref="AH21:AJ21" si="33">AH4</f>
        <v>45.115007004655496</v>
      </c>
      <c r="AI21">
        <f t="shared" si="33"/>
        <v>45.243818979301523</v>
      </c>
      <c r="AJ21">
        <f t="shared" si="33"/>
        <v>44.928683240302114</v>
      </c>
      <c r="AL21" s="43">
        <f t="shared" ref="AL21:AP21" si="34">AL4</f>
        <v>45.115007004655496</v>
      </c>
      <c r="AM21" s="43">
        <f t="shared" si="34"/>
        <v>45.433250155957296</v>
      </c>
      <c r="AN21" s="43">
        <f t="shared" si="34"/>
        <v>46.127227258519227</v>
      </c>
      <c r="AO21" s="43">
        <f t="shared" si="34"/>
        <v>45.261652010050049</v>
      </c>
      <c r="AP21" s="43">
        <f t="shared" si="34"/>
        <v>45.950311850311486</v>
      </c>
    </row>
    <row r="22" spans="1:42">
      <c r="M22" t="str">
        <f t="shared" ref="M22" si="35">M6</f>
        <v>渗透侧出口温度（℃）</v>
      </c>
      <c r="N22" s="48">
        <f t="shared" ref="N22:R22" si="36">N6</f>
        <v>21.1468268936618</v>
      </c>
      <c r="O22" s="43">
        <f t="shared" si="36"/>
        <v>21.066646083396979</v>
      </c>
      <c r="P22" s="43">
        <f t="shared" si="36"/>
        <v>21.202254882336835</v>
      </c>
      <c r="Q22" s="43">
        <f t="shared" si="36"/>
        <v>21.428861307302665</v>
      </c>
      <c r="R22" s="49">
        <f t="shared" si="36"/>
        <v>21.993250061846652</v>
      </c>
      <c r="S22">
        <f t="shared" ref="S22:W22" si="37">S6</f>
        <v>21.428861307302665</v>
      </c>
      <c r="T22">
        <f t="shared" si="37"/>
        <v>26.071689439399325</v>
      </c>
      <c r="U22">
        <f t="shared" si="37"/>
        <v>30.76148736331346</v>
      </c>
      <c r="V22">
        <f t="shared" si="37"/>
        <v>35.502290509265826</v>
      </c>
      <c r="W22">
        <f t="shared" si="37"/>
        <v>40.423454833974333</v>
      </c>
      <c r="X22">
        <f t="shared" ref="X22:AB22" si="38">X6</f>
        <v>21.494944118539394</v>
      </c>
      <c r="Y22">
        <f t="shared" si="38"/>
        <v>21.517883020301912</v>
      </c>
      <c r="Z22">
        <f t="shared" si="38"/>
        <v>21.428861307302665</v>
      </c>
      <c r="AA22">
        <f t="shared" si="38"/>
        <v>21.595394953178555</v>
      </c>
      <c r="AB22">
        <f t="shared" si="38"/>
        <v>21.805176462942171</v>
      </c>
      <c r="AC22">
        <f t="shared" ref="AC22:AG22" si="39">AC6</f>
        <v>21.733402276973759</v>
      </c>
      <c r="AD22">
        <f t="shared" si="39"/>
        <v>21.854517375313929</v>
      </c>
      <c r="AE22">
        <f t="shared" si="39"/>
        <v>21.428861307302665</v>
      </c>
      <c r="AF22">
        <f t="shared" si="39"/>
        <v>21.479081058045157</v>
      </c>
      <c r="AG22">
        <f t="shared" si="39"/>
        <v>21.310467600503262</v>
      </c>
      <c r="AH22">
        <f t="shared" ref="AH22:AJ22" si="40">AH6</f>
        <v>21.428861307302665</v>
      </c>
      <c r="AI22">
        <f t="shared" si="40"/>
        <v>21.478318390552261</v>
      </c>
      <c r="AJ22">
        <f t="shared" si="40"/>
        <v>21.306892948428231</v>
      </c>
      <c r="AL22" s="43">
        <f t="shared" ref="AL22:AP22" si="41">AL6</f>
        <v>21.428861307302665</v>
      </c>
      <c r="AM22" s="43">
        <f t="shared" si="41"/>
        <v>21.583000623829477</v>
      </c>
      <c r="AN22" s="43">
        <f t="shared" si="41"/>
        <v>21.569084088778226</v>
      </c>
      <c r="AO22" s="43">
        <f t="shared" si="41"/>
        <v>21.251664572864392</v>
      </c>
      <c r="AP22" s="43">
        <f t="shared" si="41"/>
        <v>21.224081774082016</v>
      </c>
    </row>
    <row r="23" spans="1:42" ht="16.5">
      <c r="A23" s="1" t="s">
        <v>127</v>
      </c>
      <c r="M23" t="str">
        <f t="shared" ref="M23:R23" si="42">M10</f>
        <v>平均膜渗透通量（kg·m-2·h-1）</v>
      </c>
      <c r="N23" s="50">
        <f t="shared" si="42"/>
        <v>3.8848588799999995</v>
      </c>
      <c r="O23" s="44">
        <f t="shared" si="42"/>
        <v>5.667941375999999</v>
      </c>
      <c r="P23" s="44">
        <f t="shared" si="42"/>
        <v>7.0075795200000002</v>
      </c>
      <c r="Q23" s="44">
        <f t="shared" si="42"/>
        <v>10.728884735999999</v>
      </c>
      <c r="R23" s="51">
        <f t="shared" si="42"/>
        <v>14.106180095999997</v>
      </c>
      <c r="S23">
        <f t="shared" ref="S23:AJ23" si="43">S10</f>
        <v>10.728884735999999</v>
      </c>
      <c r="T23">
        <f t="shared" si="43"/>
        <v>9.2522250239999995</v>
      </c>
      <c r="U23">
        <f t="shared" si="43"/>
        <v>7.6446888960000008</v>
      </c>
      <c r="V23">
        <f t="shared" si="43"/>
        <v>5.6193918719999987</v>
      </c>
      <c r="W23">
        <f t="shared" si="43"/>
        <v>3.5767384319999995</v>
      </c>
      <c r="X23">
        <f t="shared" si="43"/>
        <v>10.576399104</v>
      </c>
      <c r="Y23">
        <f t="shared" si="43"/>
        <v>10.284390143999998</v>
      </c>
      <c r="Z23">
        <f t="shared" si="43"/>
        <v>10.728884735999999</v>
      </c>
      <c r="AA23">
        <f t="shared" si="43"/>
        <v>10.960891391999999</v>
      </c>
      <c r="AB23">
        <f t="shared" si="43"/>
        <v>11.167119743999999</v>
      </c>
      <c r="AC23">
        <f t="shared" si="43"/>
        <v>9.8861740800000018</v>
      </c>
      <c r="AD23">
        <f t="shared" si="43"/>
        <v>10.167006336</v>
      </c>
      <c r="AE23">
        <f t="shared" si="43"/>
        <v>10.728884735999999</v>
      </c>
      <c r="AF23">
        <f t="shared" si="43"/>
        <v>11.559156864</v>
      </c>
      <c r="AG23">
        <f t="shared" si="43"/>
        <v>11.892979584000001</v>
      </c>
      <c r="AH23">
        <f t="shared" si="43"/>
        <v>10.728884735999999</v>
      </c>
      <c r="AI23">
        <f t="shared" si="43"/>
        <v>3.5032684799999991</v>
      </c>
      <c r="AJ23">
        <f t="shared" si="43"/>
        <v>4.8133098240000001</v>
      </c>
      <c r="AL23" s="43">
        <f t="shared" ref="AL23:AP23" si="44">AL10</f>
        <v>10.728884735999999</v>
      </c>
      <c r="AM23" s="43">
        <f t="shared" si="44"/>
        <v>6.7713711627906985</v>
      </c>
      <c r="AN23" s="43">
        <f t="shared" si="44"/>
        <v>5.5270333439999995</v>
      </c>
      <c r="AO23" s="43">
        <f t="shared" si="44"/>
        <v>3.0934241280000001</v>
      </c>
      <c r="AP23" s="43">
        <f t="shared" si="44"/>
        <v>0.32185294698240002</v>
      </c>
    </row>
    <row r="24" spans="1:42" s="42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2" t="s">
        <v>143</v>
      </c>
      <c r="N24" s="43" t="str">
        <f>IF(N26=1, "duplicate","")</f>
        <v/>
      </c>
      <c r="O24" s="43" t="str">
        <f t="shared" ref="O24:AJ24" si="45">IF(O26=1, "duplicate","")</f>
        <v/>
      </c>
      <c r="P24" s="43" t="str">
        <f t="shared" si="45"/>
        <v/>
      </c>
      <c r="Q24" s="43" t="str">
        <f t="shared" si="45"/>
        <v/>
      </c>
      <c r="R24" s="43" t="str">
        <f t="shared" si="45"/>
        <v/>
      </c>
      <c r="S24" s="43" t="str">
        <f t="shared" si="45"/>
        <v>duplicate</v>
      </c>
      <c r="T24" s="43" t="str">
        <f t="shared" si="45"/>
        <v/>
      </c>
      <c r="U24" s="43" t="str">
        <f t="shared" si="45"/>
        <v/>
      </c>
      <c r="V24" s="43" t="str">
        <f t="shared" si="45"/>
        <v/>
      </c>
      <c r="W24" s="43" t="str">
        <f t="shared" si="45"/>
        <v/>
      </c>
      <c r="X24" s="43" t="str">
        <f t="shared" si="45"/>
        <v/>
      </c>
      <c r="Y24" s="43" t="str">
        <f t="shared" si="45"/>
        <v/>
      </c>
      <c r="Z24" s="43" t="str">
        <f t="shared" si="45"/>
        <v>duplicate</v>
      </c>
      <c r="AA24" s="43" t="str">
        <f t="shared" si="45"/>
        <v/>
      </c>
      <c r="AB24" s="43" t="str">
        <f t="shared" si="45"/>
        <v/>
      </c>
      <c r="AC24" s="43" t="str">
        <f t="shared" si="45"/>
        <v/>
      </c>
      <c r="AD24" s="43" t="str">
        <f t="shared" si="45"/>
        <v/>
      </c>
      <c r="AE24" s="43" t="str">
        <f t="shared" si="45"/>
        <v>duplicate</v>
      </c>
      <c r="AF24" s="43" t="str">
        <f t="shared" si="45"/>
        <v/>
      </c>
      <c r="AG24" s="43" t="str">
        <f t="shared" si="45"/>
        <v/>
      </c>
      <c r="AH24" s="43" t="str">
        <f t="shared" si="45"/>
        <v>duplicate</v>
      </c>
      <c r="AI24" s="43" t="str">
        <f t="shared" si="45"/>
        <v/>
      </c>
      <c r="AJ24" s="43" t="str">
        <f t="shared" si="45"/>
        <v/>
      </c>
      <c r="AL24" s="43" t="s">
        <v>147</v>
      </c>
      <c r="AM24" s="43"/>
      <c r="AN24" s="43"/>
      <c r="AO24" s="43"/>
      <c r="AP24" s="43"/>
    </row>
    <row r="25" spans="1:42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2" t="s">
        <v>141</v>
      </c>
      <c r="N25" s="42">
        <v>1</v>
      </c>
      <c r="O25" s="42">
        <v>2</v>
      </c>
      <c r="P25" s="42">
        <v>3</v>
      </c>
      <c r="Q25" s="42">
        <v>4</v>
      </c>
      <c r="R25" s="42">
        <v>5</v>
      </c>
      <c r="S25" s="42">
        <v>6</v>
      </c>
      <c r="T25" s="42">
        <v>7</v>
      </c>
      <c r="U25" s="42">
        <v>8</v>
      </c>
      <c r="V25" s="42">
        <v>9</v>
      </c>
      <c r="W25" s="42">
        <v>10</v>
      </c>
      <c r="X25" s="42">
        <v>11</v>
      </c>
      <c r="Y25" s="42">
        <v>12</v>
      </c>
      <c r="Z25" s="42">
        <v>13</v>
      </c>
      <c r="AA25" s="42">
        <v>14</v>
      </c>
      <c r="AB25" s="42">
        <v>15</v>
      </c>
      <c r="AC25" s="42">
        <v>16</v>
      </c>
      <c r="AD25" s="42">
        <v>17</v>
      </c>
      <c r="AE25" s="42">
        <v>18</v>
      </c>
      <c r="AF25" s="42">
        <v>19</v>
      </c>
      <c r="AG25" s="42">
        <v>20</v>
      </c>
      <c r="AH25" s="42">
        <v>21</v>
      </c>
      <c r="AI25" s="42">
        <v>22</v>
      </c>
      <c r="AJ25" s="42">
        <v>23</v>
      </c>
    </row>
    <row r="26" spans="1:42" s="42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2">
        <f>HLOOKUP(N25,$N28:$AJ31,4,FALSE)</f>
        <v>0</v>
      </c>
      <c r="O26" s="42">
        <f t="shared" ref="O26:AJ26" si="46">HLOOKUP(O25,$N28:$AJ31,4,FALSE)</f>
        <v>0</v>
      </c>
      <c r="P26" s="42">
        <f t="shared" si="46"/>
        <v>0</v>
      </c>
      <c r="Q26" s="42">
        <f t="shared" si="46"/>
        <v>0</v>
      </c>
      <c r="R26" s="42">
        <f t="shared" si="46"/>
        <v>0</v>
      </c>
      <c r="S26" s="42">
        <f t="shared" si="46"/>
        <v>1</v>
      </c>
      <c r="T26" s="42">
        <f t="shared" si="46"/>
        <v>0</v>
      </c>
      <c r="U26" s="42">
        <f t="shared" si="46"/>
        <v>0</v>
      </c>
      <c r="V26" s="42">
        <f t="shared" si="46"/>
        <v>0</v>
      </c>
      <c r="W26" s="42">
        <f t="shared" si="46"/>
        <v>0</v>
      </c>
      <c r="X26" s="42">
        <f t="shared" si="46"/>
        <v>0</v>
      </c>
      <c r="Y26" s="42">
        <f t="shared" si="46"/>
        <v>0</v>
      </c>
      <c r="Z26" s="42">
        <f t="shared" si="46"/>
        <v>1</v>
      </c>
      <c r="AA26" s="42">
        <f t="shared" si="46"/>
        <v>0</v>
      </c>
      <c r="AB26" s="42">
        <f t="shared" si="46"/>
        <v>0</v>
      </c>
      <c r="AC26" s="42">
        <f t="shared" si="46"/>
        <v>0</v>
      </c>
      <c r="AD26" s="42">
        <f t="shared" si="46"/>
        <v>0</v>
      </c>
      <c r="AE26" s="42">
        <f t="shared" si="46"/>
        <v>1</v>
      </c>
      <c r="AF26" s="42">
        <f t="shared" si="46"/>
        <v>0</v>
      </c>
      <c r="AG26" s="42">
        <f t="shared" si="46"/>
        <v>0</v>
      </c>
      <c r="AH26" s="42">
        <f t="shared" si="46"/>
        <v>1</v>
      </c>
      <c r="AI26" s="42">
        <f t="shared" si="46"/>
        <v>0</v>
      </c>
      <c r="AJ26" s="42">
        <f t="shared" si="46"/>
        <v>0</v>
      </c>
    </row>
    <row r="27" spans="1:42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2"/>
      <c r="P27" s="42"/>
      <c r="Q27" s="42"/>
      <c r="R27" s="42"/>
      <c r="S27" s="42"/>
      <c r="T27" s="42"/>
      <c r="U27" s="42"/>
      <c r="V27" s="42"/>
      <c r="W27" s="42"/>
    </row>
    <row r="28" spans="1:42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2" t="s">
        <v>138</v>
      </c>
      <c r="N28">
        <v>22</v>
      </c>
      <c r="O28">
        <v>10</v>
      </c>
      <c r="P28">
        <v>1</v>
      </c>
      <c r="Q28" s="42">
        <v>23</v>
      </c>
      <c r="R28" s="42">
        <v>9</v>
      </c>
      <c r="S28" s="42">
        <v>2</v>
      </c>
      <c r="T28" s="42">
        <v>3</v>
      </c>
      <c r="U28" s="42">
        <v>8</v>
      </c>
      <c r="V28" s="42">
        <v>7</v>
      </c>
      <c r="W28" s="42">
        <v>16</v>
      </c>
      <c r="X28" s="42">
        <v>17</v>
      </c>
      <c r="Y28" s="42">
        <v>12</v>
      </c>
      <c r="Z28" s="42">
        <v>11</v>
      </c>
      <c r="AA28" s="42">
        <v>4</v>
      </c>
      <c r="AB28" s="42">
        <v>6</v>
      </c>
      <c r="AC28" s="42">
        <v>13</v>
      </c>
      <c r="AD28" s="42">
        <v>18</v>
      </c>
      <c r="AE28" s="42">
        <v>21</v>
      </c>
      <c r="AF28" s="42">
        <v>14</v>
      </c>
      <c r="AG28" s="42">
        <v>15</v>
      </c>
      <c r="AH28" s="42">
        <v>19</v>
      </c>
      <c r="AI28" s="42">
        <v>20</v>
      </c>
      <c r="AJ28" s="42">
        <v>5</v>
      </c>
    </row>
    <row r="29" spans="1:42">
      <c r="M29" s="42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2">
        <v>5.667941375999999</v>
      </c>
      <c r="T29" s="42">
        <v>7.0075795200000002</v>
      </c>
      <c r="U29" s="42">
        <v>7.6446888960000008</v>
      </c>
      <c r="V29" s="42">
        <v>9.2522250239999995</v>
      </c>
      <c r="W29" s="42">
        <v>9.8861740800000018</v>
      </c>
      <c r="X29" s="42">
        <v>10.167006336</v>
      </c>
      <c r="Y29" s="42">
        <v>10.284390143999998</v>
      </c>
      <c r="Z29" s="42">
        <v>10.576399104</v>
      </c>
      <c r="AA29" s="42">
        <v>10.728884735999999</v>
      </c>
      <c r="AB29" s="42">
        <v>10.728884735999999</v>
      </c>
      <c r="AC29" s="42">
        <v>10.728884735999999</v>
      </c>
      <c r="AD29" s="42">
        <v>10.728884735999999</v>
      </c>
      <c r="AE29" s="42">
        <v>10.728884735999999</v>
      </c>
      <c r="AF29" s="42">
        <v>10.960891391999999</v>
      </c>
      <c r="AG29" s="42">
        <v>11.167119743999999</v>
      </c>
      <c r="AH29" s="42">
        <v>11.559156864</v>
      </c>
      <c r="AI29" s="42">
        <v>11.892979584000001</v>
      </c>
      <c r="AJ29" s="42">
        <v>14.106180095999997</v>
      </c>
      <c r="AK29" s="42"/>
      <c r="AL29" s="42"/>
    </row>
    <row r="30" spans="1:42" ht="16.5">
      <c r="A30" s="1" t="s">
        <v>131</v>
      </c>
      <c r="M30" s="52" t="s">
        <v>140</v>
      </c>
      <c r="N30" s="42">
        <v>1</v>
      </c>
      <c r="O30" s="42">
        <v>2</v>
      </c>
      <c r="P30" s="42">
        <v>3</v>
      </c>
      <c r="Q30" s="42">
        <v>4</v>
      </c>
      <c r="R30" s="42">
        <v>5</v>
      </c>
      <c r="S30" s="42">
        <v>6</v>
      </c>
      <c r="T30" s="42">
        <v>7</v>
      </c>
      <c r="U30" s="42">
        <v>8</v>
      </c>
      <c r="V30" s="42">
        <v>9</v>
      </c>
      <c r="W30" s="42">
        <v>10</v>
      </c>
      <c r="X30" s="42">
        <v>11</v>
      </c>
      <c r="Y30" s="42">
        <v>12</v>
      </c>
      <c r="Z30" s="42">
        <v>13</v>
      </c>
      <c r="AA30" s="42">
        <v>14</v>
      </c>
      <c r="AB30" s="42">
        <v>15</v>
      </c>
      <c r="AC30" s="42">
        <v>16</v>
      </c>
      <c r="AD30" s="42">
        <v>17</v>
      </c>
      <c r="AE30" s="42">
        <v>18</v>
      </c>
      <c r="AF30" s="42">
        <v>19</v>
      </c>
      <c r="AG30" s="42">
        <v>20</v>
      </c>
      <c r="AH30" s="42">
        <v>21</v>
      </c>
      <c r="AI30" s="42">
        <v>22</v>
      </c>
      <c r="AJ30" s="42">
        <v>23</v>
      </c>
    </row>
    <row r="31" spans="1:42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2" t="s">
        <v>142</v>
      </c>
      <c r="N31">
        <f>IF(MATCH(N29,$N29:$AN29,0)=N30, 0, 1)</f>
        <v>0</v>
      </c>
      <c r="O31" s="42">
        <f t="shared" ref="O31:AJ31" si="47">IF(MATCH(O29,$N29:$AN29,0)=O30, 0, 1)</f>
        <v>0</v>
      </c>
      <c r="P31" s="42">
        <f t="shared" si="47"/>
        <v>0</v>
      </c>
      <c r="Q31" s="42">
        <f t="shared" si="47"/>
        <v>0</v>
      </c>
      <c r="R31" s="42">
        <f t="shared" si="47"/>
        <v>0</v>
      </c>
      <c r="S31" s="42">
        <f t="shared" si="47"/>
        <v>0</v>
      </c>
      <c r="T31" s="42">
        <f t="shared" si="47"/>
        <v>0</v>
      </c>
      <c r="U31" s="42">
        <f t="shared" si="47"/>
        <v>0</v>
      </c>
      <c r="V31" s="42">
        <f t="shared" si="47"/>
        <v>0</v>
      </c>
      <c r="W31" s="42">
        <f t="shared" si="47"/>
        <v>0</v>
      </c>
      <c r="X31" s="42">
        <f t="shared" si="47"/>
        <v>0</v>
      </c>
      <c r="Y31" s="42">
        <f t="shared" si="47"/>
        <v>0</v>
      </c>
      <c r="Z31" s="42">
        <f t="shared" si="47"/>
        <v>0</v>
      </c>
      <c r="AA31" s="42">
        <f t="shared" si="47"/>
        <v>0</v>
      </c>
      <c r="AB31" s="42">
        <f t="shared" si="47"/>
        <v>1</v>
      </c>
      <c r="AC31" s="42">
        <f t="shared" si="47"/>
        <v>1</v>
      </c>
      <c r="AD31" s="42">
        <f t="shared" si="47"/>
        <v>1</v>
      </c>
      <c r="AE31" s="42">
        <f t="shared" si="47"/>
        <v>1</v>
      </c>
      <c r="AF31" s="42">
        <f t="shared" si="47"/>
        <v>0</v>
      </c>
      <c r="AG31" s="42">
        <f t="shared" si="47"/>
        <v>0</v>
      </c>
      <c r="AH31" s="42">
        <f t="shared" si="47"/>
        <v>0</v>
      </c>
      <c r="AI31" s="42">
        <f t="shared" si="47"/>
        <v>0</v>
      </c>
      <c r="AJ31" s="42">
        <f t="shared" si="47"/>
        <v>0</v>
      </c>
    </row>
    <row r="32" spans="1:42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2"/>
    </row>
    <row r="33" spans="1:10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  <row r="35" spans="1:10" ht="16.5">
      <c r="A35" s="1" t="s">
        <v>144</v>
      </c>
      <c r="J35" s="42" t="s">
        <v>145</v>
      </c>
    </row>
    <row r="36" spans="1:10">
      <c r="A36" t="str">
        <f>[1]浓度实验!P15</f>
        <v>ePTFE</v>
      </c>
      <c r="B36">
        <f>[1]浓度实验!Q15</f>
        <v>46.813272232415727</v>
      </c>
      <c r="C36">
        <f>[1]浓度实验!R15</f>
        <v>45.115007004655496</v>
      </c>
      <c r="D36">
        <f>[1]浓度实验!S15</f>
        <v>19.965192717598594</v>
      </c>
      <c r="E36">
        <f>[1]浓度实验!T15</f>
        <v>21.428861307302665</v>
      </c>
      <c r="F36">
        <f>[1]浓度实验!U15</f>
        <v>25.234077623592736</v>
      </c>
      <c r="G36">
        <f>[1]浓度实验!V15</f>
        <v>1.0575562188444444E-2</v>
      </c>
      <c r="H36">
        <f>[1]浓度实验!W15</f>
        <v>1.0878928809055555E-2</v>
      </c>
      <c r="I36">
        <f>[1]浓度实验!X15</f>
        <v>10.728884735999999</v>
      </c>
      <c r="J36">
        <f>[1]浓度实验!Y15</f>
        <v>0</v>
      </c>
    </row>
    <row r="37" spans="1:10">
      <c r="A37" t="str">
        <f>[1]浓度实验!P16</f>
        <v>ePTFE</v>
      </c>
      <c r="B37">
        <f>[1]浓度实验!Q16</f>
        <v>46.848783530878762</v>
      </c>
      <c r="C37">
        <f>[1]浓度实验!R16</f>
        <v>45.433250155957296</v>
      </c>
      <c r="D37">
        <f>[1]浓度实验!S16</f>
        <v>19.989925140361731</v>
      </c>
      <c r="E37">
        <f>[1]浓度实验!T16</f>
        <v>21.583000623829477</v>
      </c>
      <c r="F37">
        <f>[1]浓度实验!U16</f>
        <v>25.324775484892648</v>
      </c>
      <c r="G37">
        <f>[1]浓度实验!V16</f>
        <v>1.0575562188444444E-2</v>
      </c>
      <c r="H37">
        <f>[1]浓度实验!W16</f>
        <v>1.0878928809055555E-2</v>
      </c>
      <c r="I37">
        <f>[1]浓度实验!X16</f>
        <v>6.7713711627906985</v>
      </c>
      <c r="J37">
        <f>[1]浓度实验!Y16</f>
        <v>6.5039999999999996</v>
      </c>
    </row>
    <row r="38" spans="1:10">
      <c r="A38" t="str">
        <f>[1]浓度实验!P17</f>
        <v>ePTFE</v>
      </c>
      <c r="B38">
        <f>[1]浓度实验!Q17</f>
        <v>46.810284463894057</v>
      </c>
      <c r="C38">
        <f>[1]浓度实验!R17</f>
        <v>46.127227258519227</v>
      </c>
      <c r="D38">
        <f>[1]浓度实验!S17</f>
        <v>19.900375117224076</v>
      </c>
      <c r="E38">
        <f>[1]浓度实验!T17</f>
        <v>21.569084088778226</v>
      </c>
      <c r="F38">
        <f>[1]浓度实验!U17</f>
        <v>25.716106122382811</v>
      </c>
      <c r="G38">
        <f>[1]浓度实验!V17</f>
        <v>1.0575562188444444E-2</v>
      </c>
      <c r="H38">
        <f>[1]浓度实验!W17</f>
        <v>1.0878928809055555E-2</v>
      </c>
      <c r="I38">
        <f>[1]浓度实验!X17</f>
        <v>5.5270333439999995</v>
      </c>
      <c r="J38">
        <f>[1]浓度实验!Y17</f>
        <v>12.406000000000001</v>
      </c>
    </row>
    <row r="39" spans="1:10">
      <c r="A39" t="str">
        <f>[1]浓度实验!P18</f>
        <v>ePTFE</v>
      </c>
      <c r="B39">
        <f>[1]浓度实验!Q18</f>
        <v>46.866582914572703</v>
      </c>
      <c r="C39">
        <f>[1]浓度实验!R18</f>
        <v>45.261652010050049</v>
      </c>
      <c r="D39">
        <f>[1]浓度实验!S18</f>
        <v>19.998618090452187</v>
      </c>
      <c r="E39">
        <f>[1]浓度实验!T18</f>
        <v>21.251664572864392</v>
      </c>
      <c r="F39">
        <f>[1]浓度实验!U18</f>
        <v>25.412196622905832</v>
      </c>
      <c r="G39">
        <f>[1]浓度实验!V18</f>
        <v>1.0575562188444444E-2</v>
      </c>
      <c r="H39">
        <f>[1]浓度实验!W18</f>
        <v>1.0878928809055555E-2</v>
      </c>
      <c r="I39">
        <f>[1]浓度实验!X18</f>
        <v>3.0934241280000001</v>
      </c>
      <c r="J39">
        <f>[1]浓度实验!Y18</f>
        <v>17.439</v>
      </c>
    </row>
    <row r="40" spans="1:10">
      <c r="A40" t="str">
        <f>[1]浓度实验!P19</f>
        <v>ePTFE</v>
      </c>
      <c r="B40">
        <f>[1]浓度实验!Q19</f>
        <v>47.081704781703998</v>
      </c>
      <c r="C40">
        <f>[1]浓度实验!R19</f>
        <v>45.950311850311486</v>
      </c>
      <c r="D40">
        <f>[1]浓度实验!S19</f>
        <v>19.971794871794781</v>
      </c>
      <c r="E40">
        <f>[1]浓度实验!T19</f>
        <v>21.224081774082016</v>
      </c>
      <c r="F40">
        <f>[1]浓度实验!U19</f>
        <v>25.899790799170869</v>
      </c>
      <c r="G40">
        <f>[1]浓度实验!V19</f>
        <v>1.0575562188444444E-2</v>
      </c>
      <c r="H40">
        <f>[1]浓度实验!W19</f>
        <v>1.0878928809055555E-2</v>
      </c>
      <c r="I40">
        <f>[1]浓度实验!X19</f>
        <v>0.32185294698240002</v>
      </c>
      <c r="J40">
        <f>[1]浓度实验!Y19</f>
        <v>21.963999999999999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50"/>
  <sheetViews>
    <sheetView tabSelected="1" topLeftCell="J1" workbookViewId="0">
      <selection activeCell="S2" sqref="S2"/>
    </sheetView>
  </sheetViews>
  <sheetFormatPr defaultRowHeight="15"/>
  <cols>
    <col min="1" max="11" width="9.140625" style="62"/>
    <col min="12" max="12" width="8.5703125" style="62" customWidth="1"/>
    <col min="13" max="15" width="9.140625" style="62"/>
    <col min="16" max="16" width="12.5703125" style="62" customWidth="1"/>
    <col min="17" max="18" width="9.140625" style="62"/>
    <col min="19" max="19" width="32.42578125" style="62" customWidth="1"/>
    <col min="20" max="16384" width="9.140625" style="62"/>
  </cols>
  <sheetData>
    <row r="1" spans="1:30">
      <c r="A1" s="60" t="s">
        <v>161</v>
      </c>
      <c r="B1" s="60" t="s">
        <v>162</v>
      </c>
      <c r="C1" s="60" t="s">
        <v>163</v>
      </c>
      <c r="D1" s="60" t="s">
        <v>164</v>
      </c>
      <c r="E1" s="60" t="s">
        <v>165</v>
      </c>
      <c r="F1" s="60" t="s">
        <v>166</v>
      </c>
      <c r="G1" s="60" t="s">
        <v>167</v>
      </c>
      <c r="H1" s="60" t="s">
        <v>168</v>
      </c>
      <c r="I1" s="60" t="s">
        <v>169</v>
      </c>
      <c r="J1" s="60" t="s">
        <v>170</v>
      </c>
      <c r="K1" s="60" t="s">
        <v>171</v>
      </c>
      <c r="L1" s="60" t="s">
        <v>172</v>
      </c>
      <c r="M1" s="60" t="s">
        <v>173</v>
      </c>
      <c r="N1" s="60" t="s">
        <v>174</v>
      </c>
      <c r="O1" s="61" t="s">
        <v>175</v>
      </c>
      <c r="P1" s="61" t="s">
        <v>176</v>
      </c>
      <c r="S1" s="62" t="s">
        <v>208</v>
      </c>
      <c r="U1" s="62">
        <f t="array" ref="U1:Y1">TRANSPOSE(D3:D7)</f>
        <v>69.566000000000003</v>
      </c>
      <c r="V1" s="62">
        <v>141.60266666666666</v>
      </c>
      <c r="W1" s="62">
        <v>211.26733333333334</v>
      </c>
      <c r="X1" s="62">
        <v>281.44509999999997</v>
      </c>
      <c r="Y1" s="62">
        <v>0</v>
      </c>
      <c r="AA1" s="62">
        <v>0</v>
      </c>
      <c r="AB1" s="62">
        <v>69.53543333333333</v>
      </c>
      <c r="AC1" s="62">
        <v>141.39226666666667</v>
      </c>
      <c r="AD1" s="62">
        <v>211.26166666666666</v>
      </c>
    </row>
    <row r="2" spans="1:30">
      <c r="A2" s="63"/>
      <c r="B2" s="63" t="s">
        <v>177</v>
      </c>
      <c r="C2" s="63" t="s">
        <v>178</v>
      </c>
      <c r="D2" s="63" t="s">
        <v>179</v>
      </c>
      <c r="E2" s="63" t="s">
        <v>180</v>
      </c>
      <c r="F2" s="63" t="s">
        <v>180</v>
      </c>
      <c r="G2" s="63" t="s">
        <v>181</v>
      </c>
      <c r="H2" s="63" t="s">
        <v>181</v>
      </c>
      <c r="I2" s="63" t="s">
        <v>181</v>
      </c>
      <c r="J2" s="63" t="s">
        <v>181</v>
      </c>
      <c r="K2" s="63" t="s">
        <v>182</v>
      </c>
      <c r="L2" s="63" t="s">
        <v>182</v>
      </c>
      <c r="M2" s="63" t="s">
        <v>183</v>
      </c>
      <c r="N2" s="63" t="s">
        <v>184</v>
      </c>
      <c r="O2" s="61" t="s">
        <v>185</v>
      </c>
      <c r="P2" s="61"/>
      <c r="S2" s="26" t="s">
        <v>94</v>
      </c>
      <c r="T2" s="26" t="s">
        <v>95</v>
      </c>
    </row>
    <row r="3" spans="1:30">
      <c r="A3" s="64" t="str">
        <f>'[2]Primary result'!C2</f>
        <v>#3PVDF</v>
      </c>
      <c r="B3" s="64">
        <f>AVERAGE('[2]Primary result'!D2:D4)</f>
        <v>31.25</v>
      </c>
      <c r="C3" s="64">
        <f>AVERAGE('[2]Primary result'!E2:E4)</f>
        <v>3</v>
      </c>
      <c r="D3" s="64">
        <f>AVERAGE('[2]Primary result'!F2:F4)</f>
        <v>69.566000000000003</v>
      </c>
      <c r="E3" s="64">
        <f>AVERAGE('[2]Primary result'!I2:I4)</f>
        <v>98</v>
      </c>
      <c r="F3" s="64">
        <f>AVERAGE('[2]Primary result'!J2:J4)</f>
        <v>94</v>
      </c>
      <c r="G3" s="64">
        <f>AVERAGE('[2]Primary result'!K2:K4)</f>
        <v>19.99835666666667</v>
      </c>
      <c r="H3" s="64">
        <f>AVERAGE('[2]Primary result'!L2:L4)</f>
        <v>20.394694666666666</v>
      </c>
      <c r="I3" s="64">
        <f>AVERAGE('[2]Primary result'!M2:M4)</f>
        <v>46.787444999999998</v>
      </c>
      <c r="J3" s="64">
        <f>AVERAGE('[2]Primary result'!N2:N4)</f>
        <v>45.745317333333332</v>
      </c>
      <c r="K3" s="64">
        <f>AVERAGE('[2]Primary result'!O2:O4)</f>
        <v>4.3419814000000001E-3</v>
      </c>
      <c r="L3" s="65">
        <f>STDEV('[2]Primary result'!O2:O4)</f>
        <v>2.1969806244835174E-4</v>
      </c>
      <c r="M3" s="65">
        <f>K3*0.001*3600/(B3*0.0001)</f>
        <v>5.0019625728000001</v>
      </c>
      <c r="N3" s="65">
        <f>L3*0.001*3600/(B3*0.0001)</f>
        <v>0.25309216794050116</v>
      </c>
      <c r="O3" s="65">
        <f>M3/$M$7</f>
        <v>0.97040255071693671</v>
      </c>
      <c r="P3" s="65"/>
      <c r="S3" s="28" t="s">
        <v>125</v>
      </c>
      <c r="T3" s="26"/>
    </row>
    <row r="4" spans="1:30">
      <c r="A4" s="64" t="str">
        <f>'[2]Primary result'!C5</f>
        <v>#3PVDF</v>
      </c>
      <c r="B4" s="64">
        <f>AVERAGE('[2]Primary result'!D5:D7)</f>
        <v>31.25</v>
      </c>
      <c r="C4" s="64">
        <f>AVERAGE('[2]Primary result'!E5:E7)</f>
        <v>3</v>
      </c>
      <c r="D4" s="64">
        <f>AVERAGE('[2]Primary result'!F5:F7)</f>
        <v>141.60266666666666</v>
      </c>
      <c r="E4" s="64">
        <f>AVERAGE('[2]Primary result'!I5:I7)</f>
        <v>98</v>
      </c>
      <c r="F4" s="64">
        <f>AVERAGE('[2]Primary result'!J5:J7)</f>
        <v>94</v>
      </c>
      <c r="G4" s="64">
        <f>AVERAGE('[2]Primary result'!K5:K7)</f>
        <v>20.020875999999998</v>
      </c>
      <c r="H4" s="64">
        <f>AVERAGE('[2]Primary result'!L5:L7)</f>
        <v>20.706840999999997</v>
      </c>
      <c r="I4" s="64">
        <f>AVERAGE('[2]Primary result'!M5:M7)</f>
        <v>46.972490000000001</v>
      </c>
      <c r="J4" s="64">
        <f>AVERAGE('[2]Primary result'!N5:N7)</f>
        <v>45.949279999999995</v>
      </c>
      <c r="K4" s="64">
        <f>AVERAGE('[2]Primary result'!O5:O7)</f>
        <v>3.8310854999999999E-3</v>
      </c>
      <c r="L4" s="65">
        <f>STDEV('[2]Primary result'!O5:O7)</f>
        <v>2.8011125545145457E-4</v>
      </c>
      <c r="M4" s="65">
        <f t="shared" ref="M4:M13" si="0">K4*0.001*3600/(B4*0.0001)</f>
        <v>4.4134104959999991</v>
      </c>
      <c r="N4" s="65">
        <f t="shared" ref="N4:N13" si="1">L4*0.001*3600/(B4*0.0001)</f>
        <v>0.32268816628007568</v>
      </c>
      <c r="O4" s="65">
        <f t="shared" ref="O4:O7" si="2">M4/$M$7</f>
        <v>0.85622088137334484</v>
      </c>
      <c r="P4" s="65"/>
      <c r="S4" s="26" t="s">
        <v>96</v>
      </c>
      <c r="T4" s="26" t="s">
        <v>61</v>
      </c>
      <c r="U4" s="62">
        <f t="array" ref="U4:Y5">TRANSPOSE(E3:F7)</f>
        <v>98</v>
      </c>
      <c r="V4" s="62">
        <v>98</v>
      </c>
      <c r="W4" s="62">
        <v>98</v>
      </c>
      <c r="X4" s="62">
        <v>98</v>
      </c>
      <c r="Y4" s="62">
        <v>98</v>
      </c>
      <c r="AA4" s="62">
        <v>98</v>
      </c>
      <c r="AB4" s="62">
        <v>98</v>
      </c>
      <c r="AC4" s="62">
        <v>98</v>
      </c>
      <c r="AD4" s="62">
        <v>98</v>
      </c>
    </row>
    <row r="5" spans="1:30">
      <c r="A5" s="64" t="str">
        <f>'[2]Primary result'!C8</f>
        <v>#3PVDF</v>
      </c>
      <c r="B5" s="64">
        <f>AVERAGE('[2]Primary result'!D8:D10)</f>
        <v>31.25</v>
      </c>
      <c r="C5" s="64">
        <f>AVERAGE('[2]Primary result'!E8:E10)</f>
        <v>3</v>
      </c>
      <c r="D5" s="64">
        <f>AVERAGE('[2]Primary result'!F8:F10)</f>
        <v>211.26733333333334</v>
      </c>
      <c r="E5" s="64">
        <f>AVERAGE('[2]Primary result'!I8:I10)</f>
        <v>98</v>
      </c>
      <c r="F5" s="64">
        <f>AVERAGE('[2]Primary result'!J8:J10)</f>
        <v>94</v>
      </c>
      <c r="G5" s="64">
        <f>AVERAGE('[2]Primary result'!K8:K10)</f>
        <v>19.863140666666666</v>
      </c>
      <c r="H5" s="64">
        <f>AVERAGE('[2]Primary result'!L8:L10)</f>
        <v>20.617133666666664</v>
      </c>
      <c r="I5" s="64">
        <f>AVERAGE('[2]Primary result'!M8:M10)</f>
        <v>46.850017999999999</v>
      </c>
      <c r="J5" s="64">
        <f>AVERAGE('[2]Primary result'!N8:N10)</f>
        <v>45.720077333333336</v>
      </c>
      <c r="K5" s="64">
        <f>AVERAGE('[2]Primary result'!O8:O10)</f>
        <v>3.0057418333333335E-3</v>
      </c>
      <c r="L5" s="65">
        <f>STDEV('[2]Primary result'!O8:O10)</f>
        <v>1.264932789073133E-4</v>
      </c>
      <c r="M5" s="65">
        <f t="shared" si="0"/>
        <v>3.462614592</v>
      </c>
      <c r="N5" s="65">
        <f t="shared" si="1"/>
        <v>0.14572025730122493</v>
      </c>
      <c r="O5" s="65">
        <f t="shared" si="2"/>
        <v>0.67176232994993212</v>
      </c>
      <c r="P5" s="65"/>
      <c r="S5" s="29" t="s">
        <v>98</v>
      </c>
      <c r="T5" s="26" t="s">
        <v>61</v>
      </c>
      <c r="U5" s="62">
        <v>94</v>
      </c>
      <c r="V5" s="62">
        <v>94</v>
      </c>
      <c r="W5" s="62">
        <v>94</v>
      </c>
      <c r="X5" s="62">
        <v>94</v>
      </c>
      <c r="Y5" s="62">
        <v>94</v>
      </c>
      <c r="AA5" s="62">
        <v>94</v>
      </c>
      <c r="AB5" s="62">
        <v>94</v>
      </c>
      <c r="AC5" s="62">
        <v>94</v>
      </c>
      <c r="AD5" s="62">
        <v>94</v>
      </c>
    </row>
    <row r="6" spans="1:30">
      <c r="A6" s="64" t="str">
        <f>'[2]Primary result'!C11</f>
        <v>#3PVDF</v>
      </c>
      <c r="B6" s="64">
        <f>AVERAGE('[2]Primary result'!D11:D13)</f>
        <v>31.25</v>
      </c>
      <c r="C6" s="64">
        <f>AVERAGE('[2]Primary result'!E11:E13)</f>
        <v>3</v>
      </c>
      <c r="D6" s="64">
        <f>AVERAGE('[2]Primary result'!F11:F13)</f>
        <v>281.44509999999997</v>
      </c>
      <c r="E6" s="64">
        <f>AVERAGE('[2]Primary result'!I11:I13)</f>
        <v>98</v>
      </c>
      <c r="F6" s="64">
        <f>AVERAGE('[2]Primary result'!J11:J13)</f>
        <v>94</v>
      </c>
      <c r="G6" s="64">
        <f>AVERAGE('[2]Primary result'!K11:K13)</f>
        <v>20.115232666666667</v>
      </c>
      <c r="H6" s="64">
        <f>AVERAGE('[2]Primary result'!L11:L13)</f>
        <v>20.743951333333332</v>
      </c>
      <c r="I6" s="64">
        <f>AVERAGE('[2]Primary result'!M11:M13)</f>
        <v>46.907367000000001</v>
      </c>
      <c r="J6" s="64">
        <f>AVERAGE('[2]Primary result'!N11:N13)</f>
        <v>45.758546666666668</v>
      </c>
      <c r="K6" s="64">
        <f>AVERAGE('[2]Primary result'!O11:O13)</f>
        <v>2.6088758666666669E-3</v>
      </c>
      <c r="L6" s="65">
        <f>STDEV('[2]Primary result'!O11:O13)</f>
        <v>4.0453452375332879E-5</v>
      </c>
      <c r="M6" s="65">
        <f t="shared" si="0"/>
        <v>3.0054249984000001</v>
      </c>
      <c r="N6" s="65">
        <f t="shared" si="1"/>
        <v>4.6602377136383481E-2</v>
      </c>
      <c r="O6" s="65">
        <f t="shared" si="2"/>
        <v>0.58306555516732339</v>
      </c>
      <c r="P6" s="65"/>
      <c r="S6" s="28" t="s">
        <v>126</v>
      </c>
      <c r="T6" s="26"/>
    </row>
    <row r="7" spans="1:30">
      <c r="A7" s="64" t="str">
        <f>'[2]Primary result'!C14</f>
        <v>#3PVDF</v>
      </c>
      <c r="B7" s="64">
        <f>AVERAGE('[2]Primary result'!D14:D116)</f>
        <v>31.25</v>
      </c>
      <c r="C7" s="64">
        <f>AVERAGE('[2]Primary result'!E14:E16)</f>
        <v>3</v>
      </c>
      <c r="D7" s="64">
        <f>AVERAGE('[2]Primary result'!F14:F16)</f>
        <v>0</v>
      </c>
      <c r="E7" s="64">
        <f>AVERAGE('[2]Primary result'!I14:I16)</f>
        <v>98</v>
      </c>
      <c r="F7" s="64">
        <f>AVERAGE('[2]Primary result'!J14:J16)</f>
        <v>94</v>
      </c>
      <c r="G7" s="64">
        <f>AVERAGE('[2]Primary result'!K14:K16)</f>
        <v>19.889080666666665</v>
      </c>
      <c r="H7" s="64">
        <f>AVERAGE('[2]Primary result'!L14:L16)</f>
        <v>20.753770333333332</v>
      </c>
      <c r="I7" s="64">
        <f>AVERAGE('[2]Primary result'!M14:M16)</f>
        <v>46.941147000000001</v>
      </c>
      <c r="J7" s="64">
        <f>AVERAGE('[2]Primary result'!N14:N16)</f>
        <v>45.631227333333328</v>
      </c>
      <c r="K7" s="64">
        <f>AVERAGE('[2]Primary result'!O14:O16)</f>
        <v>4.4744125999999999E-3</v>
      </c>
      <c r="L7" s="65">
        <f>STDEV('[2]Primary result'!O14:O16)</f>
        <v>1.6893516620251068E-4</v>
      </c>
      <c r="M7" s="65">
        <f t="shared" si="0"/>
        <v>5.1545233151999996</v>
      </c>
      <c r="N7" s="65">
        <f t="shared" si="1"/>
        <v>0.19461331146529232</v>
      </c>
      <c r="O7" s="65">
        <f t="shared" si="2"/>
        <v>1</v>
      </c>
      <c r="P7" s="65"/>
      <c r="S7" s="26" t="s">
        <v>96</v>
      </c>
      <c r="T7" s="26" t="s">
        <v>62</v>
      </c>
    </row>
    <row r="8" spans="1:30" s="67" customFormat="1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S8" s="29" t="s">
        <v>98</v>
      </c>
      <c r="T8" s="26" t="s">
        <v>62</v>
      </c>
    </row>
    <row r="9" spans="1:30">
      <c r="A9" s="64" t="str">
        <f>'[2]Primary result'!C17</f>
        <v>#1PTFE</v>
      </c>
      <c r="B9" s="64">
        <f>AVERAGE('[2]Primary result'!D17:D19)</f>
        <v>31.25</v>
      </c>
      <c r="C9" s="64">
        <f>AVERAGE('[2]Primary result'!E17:E19)</f>
        <v>3</v>
      </c>
      <c r="D9" s="64">
        <f>AVERAGE('[2]Primary result'!F17:F19)</f>
        <v>0</v>
      </c>
      <c r="E9" s="64">
        <f>AVERAGE('[2]Primary result'!I17:I19)</f>
        <v>98</v>
      </c>
      <c r="F9" s="64">
        <f>AVERAGE('[2]Primary result'!J17:J19)</f>
        <v>94</v>
      </c>
      <c r="G9" s="64">
        <f>AVERAGE('[2]Primary result'!K17:K19)</f>
        <v>19.948305666666666</v>
      </c>
      <c r="H9" s="64">
        <f>AVERAGE('[2]Primary result'!L17:L19)</f>
        <v>21.060659666666666</v>
      </c>
      <c r="I9" s="64">
        <f>AVERAGE('[2]Primary result'!M17:M19)</f>
        <v>46.908647666666667</v>
      </c>
      <c r="J9" s="64">
        <f>AVERAGE('[2]Primary result'!N17:N19)</f>
        <v>45.504165</v>
      </c>
      <c r="K9" s="64">
        <f>AVERAGE('[2]Primary result'!O17:O19)</f>
        <v>3.6647837333333333E-3</v>
      </c>
      <c r="L9" s="65">
        <f>STDEV('[2]Primary result'!O17:O19)</f>
        <v>6.7665665921421586E-4</v>
      </c>
      <c r="M9" s="65">
        <f t="shared" si="0"/>
        <v>4.2218308607999999</v>
      </c>
      <c r="N9" s="65">
        <f t="shared" si="1"/>
        <v>0.77950847141477664</v>
      </c>
      <c r="O9" s="65">
        <f>M9/$M$9</f>
        <v>1</v>
      </c>
      <c r="P9" s="65"/>
      <c r="S9" s="28" t="s">
        <v>96</v>
      </c>
      <c r="T9" s="26"/>
    </row>
    <row r="10" spans="1:30">
      <c r="A10" s="64" t="str">
        <f>'[2]Primary result'!C20</f>
        <v>#1PTFE</v>
      </c>
      <c r="B10" s="64">
        <f>AVERAGE('[2]Primary result'!D20:D22)</f>
        <v>31.25</v>
      </c>
      <c r="C10" s="64">
        <f>AVERAGE('[2]Primary result'!E20:E22)</f>
        <v>3</v>
      </c>
      <c r="D10" s="64">
        <f>AVERAGE('[2]Primary result'!F20:F22)</f>
        <v>69.53543333333333</v>
      </c>
      <c r="E10" s="64">
        <f>AVERAGE('[2]Primary result'!I20:I22)</f>
        <v>98</v>
      </c>
      <c r="F10" s="64">
        <f>AVERAGE('[2]Primary result'!J20:J22)</f>
        <v>94</v>
      </c>
      <c r="G10" s="64">
        <f>AVERAGE('[2]Primary result'!K20:K22)</f>
        <v>19.895390333333335</v>
      </c>
      <c r="H10" s="64">
        <f>AVERAGE('[2]Primary result'!L20:L22)</f>
        <v>20.886816333333332</v>
      </c>
      <c r="I10" s="64">
        <f>AVERAGE('[2]Primary result'!M20:M22)</f>
        <v>46.87154833333333</v>
      </c>
      <c r="J10" s="64">
        <f>AVERAGE('[2]Primary result'!N20:N22)</f>
        <v>45.49707033333334</v>
      </c>
      <c r="K10" s="64">
        <f>AVERAGE('[2]Primary result'!O20:O22)</f>
        <v>2.4332200666666668E-3</v>
      </c>
      <c r="L10" s="65">
        <f>STDEV('[2]Primary result'!O20:O22)</f>
        <v>1.5113969249675374E-4</v>
      </c>
      <c r="M10" s="65">
        <f t="shared" si="0"/>
        <v>2.8030695167999999</v>
      </c>
      <c r="N10" s="65">
        <f t="shared" si="1"/>
        <v>0.17411292575626031</v>
      </c>
      <c r="O10" s="65">
        <f t="shared" ref="O10:O13" si="3">M10/$M$9</f>
        <v>0.66394642732533415</v>
      </c>
      <c r="P10" s="65"/>
      <c r="S10" s="26" t="s">
        <v>85</v>
      </c>
      <c r="T10" s="26" t="s">
        <v>86</v>
      </c>
    </row>
    <row r="11" spans="1:30">
      <c r="A11" s="64" t="str">
        <f>'[2]Primary result'!C23</f>
        <v>#1PTFE</v>
      </c>
      <c r="B11" s="64">
        <f>AVERAGE('[2]Primary result'!D23:D25)</f>
        <v>31.25</v>
      </c>
      <c r="C11" s="64">
        <f>AVERAGE('[2]Primary result'!E23:E25)</f>
        <v>3</v>
      </c>
      <c r="D11" s="64">
        <f>AVERAGE('[2]Primary result'!F23:F25)</f>
        <v>141.39226666666667</v>
      </c>
      <c r="E11" s="64">
        <f>AVERAGE('[2]Primary result'!I23:I25)</f>
        <v>98</v>
      </c>
      <c r="F11" s="64">
        <f>AVERAGE('[2]Primary result'!J23:J25)</f>
        <v>94</v>
      </c>
      <c r="G11" s="64">
        <f>AVERAGE('[2]Primary result'!K23:K25)</f>
        <v>19.898199000000002</v>
      </c>
      <c r="H11" s="64">
        <f>AVERAGE('[2]Primary result'!L23:L25)</f>
        <v>20.737005333333332</v>
      </c>
      <c r="I11" s="64">
        <f>AVERAGE('[2]Primary result'!M23:M25)</f>
        <v>46.776664000000004</v>
      </c>
      <c r="J11" s="64">
        <f>AVERAGE('[2]Primary result'!N23:N25)</f>
        <v>45.505756999999996</v>
      </c>
      <c r="K11" s="64">
        <f>AVERAGE('[2]Primary result'!O23:O25)</f>
        <v>1.3501018666666666E-3</v>
      </c>
      <c r="L11" s="65">
        <f>STDEV('[2]Primary result'!O23:O25)</f>
        <v>1.1978061728461465E-4</v>
      </c>
      <c r="M11" s="65">
        <f t="shared" si="0"/>
        <v>1.5553173503999997</v>
      </c>
      <c r="N11" s="65">
        <f t="shared" si="1"/>
        <v>0.13798727111187606</v>
      </c>
      <c r="O11" s="65">
        <f t="shared" si="3"/>
        <v>0.36839878282221866</v>
      </c>
      <c r="P11" s="65"/>
      <c r="S11" s="26" t="s">
        <v>97</v>
      </c>
      <c r="T11" s="26" t="s">
        <v>74</v>
      </c>
      <c r="U11" s="71">
        <f t="array" ref="U11:Y11">TRANSPOSE(I3:I7)</f>
        <v>46.787444999999998</v>
      </c>
      <c r="V11" s="71">
        <v>46.972490000000001</v>
      </c>
      <c r="W11" s="71">
        <v>46.850017999999999</v>
      </c>
      <c r="X11" s="71">
        <v>46.907367000000001</v>
      </c>
      <c r="Y11" s="71">
        <v>46.941147000000001</v>
      </c>
      <c r="AA11" s="71">
        <v>46.908647666666667</v>
      </c>
      <c r="AB11" s="71">
        <v>46.87154833333333</v>
      </c>
      <c r="AC11" s="71">
        <v>46.776664000000004</v>
      </c>
      <c r="AD11" s="71">
        <v>47.191884333333327</v>
      </c>
    </row>
    <row r="12" spans="1:30">
      <c r="A12" s="64" t="str">
        <f>'[2]Primary result'!C26</f>
        <v>#1PTFE</v>
      </c>
      <c r="B12" s="64">
        <f>AVERAGE('[2]Primary result'!D26:D28)</f>
        <v>31.25</v>
      </c>
      <c r="C12" s="64">
        <f>AVERAGE('[2]Primary result'!E26:E28)</f>
        <v>3</v>
      </c>
      <c r="D12" s="64">
        <f>AVERAGE('[2]Primary result'!F26:F28)</f>
        <v>211.26166666666666</v>
      </c>
      <c r="E12" s="64">
        <f>AVERAGE('[2]Primary result'!I26:I28)</f>
        <v>98</v>
      </c>
      <c r="F12" s="64">
        <f>AVERAGE('[2]Primary result'!J26:J28)</f>
        <v>94</v>
      </c>
      <c r="G12" s="64">
        <f>AVERAGE('[2]Primary result'!K26:K28)</f>
        <v>20.074282999999998</v>
      </c>
      <c r="H12" s="64">
        <f>AVERAGE('[2]Primary result'!L26:L28)</f>
        <v>20.766840666666663</v>
      </c>
      <c r="I12" s="64">
        <f>AVERAGE('[2]Primary result'!M26:M28)</f>
        <v>47.191884333333327</v>
      </c>
      <c r="J12" s="64">
        <f>AVERAGE('[2]Primary result'!N26:N28)</f>
        <v>45.912472999999999</v>
      </c>
      <c r="K12" s="64">
        <f>AVERAGE('[2]Primary result'!O26:O28)</f>
        <v>2.1373400000000001E-4</v>
      </c>
      <c r="L12" s="65">
        <f>STDEV('[2]Primary result'!O26:O28)</f>
        <v>1.0830301265980553E-4</v>
      </c>
      <c r="M12" s="65">
        <f t="shared" si="0"/>
        <v>0.24622156800000003</v>
      </c>
      <c r="N12" s="65">
        <f t="shared" si="1"/>
        <v>0.12476507058409597</v>
      </c>
      <c r="O12" s="65">
        <f t="shared" si="3"/>
        <v>5.8321040353886466E-2</v>
      </c>
      <c r="P12" s="65"/>
      <c r="S12" s="28" t="s">
        <v>98</v>
      </c>
      <c r="T12" s="26"/>
    </row>
    <row r="13" spans="1:30">
      <c r="A13" s="64">
        <f>'[2]Primary result'!C29</f>
        <v>0</v>
      </c>
      <c r="B13" s="64" t="e">
        <f>AVERAGE('[2]Primary result'!D29:D31)</f>
        <v>#DIV/0!</v>
      </c>
      <c r="C13" s="64" t="e">
        <f>AVERAGE('[2]Primary result'!E29:E31)</f>
        <v>#DIV/0!</v>
      </c>
      <c r="D13" s="64" t="e">
        <f>AVERAGE('[2]Primary result'!F29:F31)</f>
        <v>#DIV/0!</v>
      </c>
      <c r="E13" s="64" t="e">
        <f>AVERAGE('[2]Primary result'!I29:I31)</f>
        <v>#DIV/0!</v>
      </c>
      <c r="F13" s="64" t="e">
        <f>AVERAGE('[2]Primary result'!J29:J31)</f>
        <v>#DIV/0!</v>
      </c>
      <c r="G13" s="64" t="e">
        <f>AVERAGE('[2]Primary result'!K29:K31)</f>
        <v>#DIV/0!</v>
      </c>
      <c r="H13" s="64" t="e">
        <f>AVERAGE('[2]Primary result'!L29:L31)</f>
        <v>#DIV/0!</v>
      </c>
      <c r="I13" s="64" t="e">
        <f>AVERAGE('[2]Primary result'!M29:M31)</f>
        <v>#DIV/0!</v>
      </c>
      <c r="J13" s="64" t="e">
        <f>AVERAGE('[2]Primary result'!N29:N31)</f>
        <v>#DIV/0!</v>
      </c>
      <c r="K13" s="64" t="e">
        <f>AVERAGE('[2]Primary result'!O29:O31)</f>
        <v>#DIV/0!</v>
      </c>
      <c r="L13" s="65" t="e">
        <f>STDEV('[2]Primary result'!O29:O31)</f>
        <v>#DIV/0!</v>
      </c>
      <c r="M13" s="65" t="e">
        <f t="shared" si="0"/>
        <v>#DIV/0!</v>
      </c>
      <c r="N13" s="65" t="e">
        <f t="shared" si="1"/>
        <v>#DIV/0!</v>
      </c>
      <c r="O13" s="65" t="e">
        <f t="shared" si="3"/>
        <v>#DIV/0!</v>
      </c>
      <c r="P13" s="68" t="s">
        <v>186</v>
      </c>
      <c r="S13" s="26" t="s">
        <v>85</v>
      </c>
      <c r="T13" s="26" t="s">
        <v>86</v>
      </c>
    </row>
    <row r="14" spans="1:30">
      <c r="S14" s="26" t="s">
        <v>97</v>
      </c>
      <c r="T14" s="26" t="s">
        <v>74</v>
      </c>
      <c r="U14" s="71">
        <f t="array" ref="U14:Y14">TRANSPOSE(G3:G7)</f>
        <v>19.99835666666667</v>
      </c>
      <c r="V14" s="71">
        <v>20.020875999999998</v>
      </c>
      <c r="W14" s="71">
        <v>19.863140666666666</v>
      </c>
      <c r="X14" s="71">
        <v>20.115232666666667</v>
      </c>
      <c r="Y14" s="71">
        <v>19.889080666666665</v>
      </c>
      <c r="AA14" s="71">
        <v>19.948305666666666</v>
      </c>
      <c r="AB14" s="71">
        <v>19.895390333333335</v>
      </c>
      <c r="AC14" s="71">
        <v>19.898199000000002</v>
      </c>
      <c r="AD14" s="71">
        <v>20.074282999999998</v>
      </c>
    </row>
    <row r="15" spans="1:30">
      <c r="A15" s="65" t="s">
        <v>187</v>
      </c>
      <c r="B15" s="65">
        <v>31.25</v>
      </c>
      <c r="C15" s="65">
        <v>3</v>
      </c>
      <c r="D15" s="65">
        <v>0</v>
      </c>
      <c r="E15" s="65">
        <v>1.0024555555555557E-2</v>
      </c>
      <c r="F15" s="65">
        <v>1.0570055555555555E-2</v>
      </c>
      <c r="G15" s="65">
        <v>46.813272232415727</v>
      </c>
      <c r="H15" s="65">
        <v>45.115007004655496</v>
      </c>
      <c r="I15" s="65">
        <v>19.965192717598594</v>
      </c>
      <c r="J15" s="65">
        <v>21.428861307302665</v>
      </c>
      <c r="K15" s="65"/>
      <c r="L15" s="65"/>
      <c r="M15" s="65">
        <v>10.728884735999999</v>
      </c>
      <c r="N15" s="65">
        <v>7.4191514278795931E-2</v>
      </c>
      <c r="O15" s="65">
        <f>M15/$M$15</f>
        <v>1</v>
      </c>
      <c r="P15" s="69" t="s">
        <v>188</v>
      </c>
      <c r="S15" s="18" t="s">
        <v>70</v>
      </c>
      <c r="T15" s="17"/>
    </row>
    <row r="16" spans="1:30">
      <c r="A16" s="65" t="s">
        <v>189</v>
      </c>
      <c r="B16" s="65">
        <v>31.25</v>
      </c>
      <c r="C16" s="65">
        <v>3</v>
      </c>
      <c r="D16" s="65">
        <v>69.566000000000003</v>
      </c>
      <c r="E16" s="65">
        <v>1.0024555555555557E-2</v>
      </c>
      <c r="F16" s="65">
        <v>1.0570055555555555E-2</v>
      </c>
      <c r="G16" s="65">
        <v>46.848783530878762</v>
      </c>
      <c r="H16" s="65">
        <v>45.433250155957296</v>
      </c>
      <c r="I16" s="65">
        <v>19.989925140361731</v>
      </c>
      <c r="J16" s="65">
        <v>21.583000623829477</v>
      </c>
      <c r="K16" s="65"/>
      <c r="L16" s="65"/>
      <c r="M16" s="65">
        <v>6.7713711627906985</v>
      </c>
      <c r="N16" s="65">
        <v>0</v>
      </c>
      <c r="O16" s="65">
        <f t="shared" ref="O16:O19" si="4">M16/$M$15</f>
        <v>0.63113467330577711</v>
      </c>
      <c r="P16" s="69"/>
      <c r="S16" s="25" t="s">
        <v>73</v>
      </c>
      <c r="T16" s="25" t="s">
        <v>74</v>
      </c>
      <c r="U16" s="71">
        <f t="array" ref="U16:Y16">TRANSPOSE(J3:J7)</f>
        <v>45.745317333333332</v>
      </c>
      <c r="V16" s="71">
        <v>45.949279999999995</v>
      </c>
      <c r="W16" s="71">
        <v>45.720077333333336</v>
      </c>
      <c r="X16" s="71">
        <v>45.758546666666668</v>
      </c>
      <c r="Y16" s="71">
        <v>45.631227333333328</v>
      </c>
      <c r="AA16" s="71">
        <v>21.060659666666666</v>
      </c>
      <c r="AB16" s="71">
        <v>20.886816333333332</v>
      </c>
      <c r="AC16" s="71">
        <v>20.737005333333332</v>
      </c>
      <c r="AD16" s="71">
        <v>20.766840666666663</v>
      </c>
    </row>
    <row r="17" spans="1:31">
      <c r="A17" s="65" t="s">
        <v>189</v>
      </c>
      <c r="B17" s="65">
        <v>31.25</v>
      </c>
      <c r="C17" s="65">
        <v>3</v>
      </c>
      <c r="D17" s="65">
        <v>141.60266666666666</v>
      </c>
      <c r="E17" s="65">
        <v>1.0024555555555557E-2</v>
      </c>
      <c r="F17" s="65">
        <v>1.0570055555555555E-2</v>
      </c>
      <c r="G17" s="65">
        <v>46.810284463894057</v>
      </c>
      <c r="H17" s="65">
        <v>46.127227258519227</v>
      </c>
      <c r="I17" s="65">
        <v>19.900375117224076</v>
      </c>
      <c r="J17" s="65">
        <v>21.569084088778226</v>
      </c>
      <c r="K17" s="65"/>
      <c r="L17" s="65"/>
      <c r="M17" s="65">
        <v>5.5270333439999995</v>
      </c>
      <c r="N17" s="65">
        <v>0</v>
      </c>
      <c r="O17" s="65">
        <f t="shared" si="4"/>
        <v>0.51515450859998868</v>
      </c>
      <c r="P17" s="69"/>
      <c r="S17" s="25" t="s">
        <v>75</v>
      </c>
      <c r="T17" s="25" t="s">
        <v>74</v>
      </c>
      <c r="U17" s="71">
        <f t="array" ref="U17:Y17">TRANSPOSE(H3:H7)</f>
        <v>20.394694666666666</v>
      </c>
      <c r="V17" s="71">
        <v>20.706840999999997</v>
      </c>
      <c r="W17" s="71">
        <v>20.617133666666664</v>
      </c>
      <c r="X17" s="71">
        <v>20.743951333333332</v>
      </c>
      <c r="Y17" s="71">
        <v>20.753770333333332</v>
      </c>
      <c r="AA17" s="71">
        <v>45.504165</v>
      </c>
      <c r="AB17" s="71">
        <v>45.49707033333334</v>
      </c>
      <c r="AC17" s="71">
        <v>45.505756999999996</v>
      </c>
      <c r="AD17" s="71">
        <v>45.912472999999999</v>
      </c>
    </row>
    <row r="18" spans="1:31">
      <c r="A18" s="65" t="s">
        <v>189</v>
      </c>
      <c r="B18" s="65">
        <v>31.25</v>
      </c>
      <c r="C18" s="65">
        <v>3</v>
      </c>
      <c r="D18" s="65">
        <v>211.26733333333334</v>
      </c>
      <c r="E18" s="65">
        <v>1.0024555555555557E-2</v>
      </c>
      <c r="F18" s="65">
        <v>1.0570055555555555E-2</v>
      </c>
      <c r="G18" s="65">
        <v>46.866582914572703</v>
      </c>
      <c r="H18" s="65">
        <v>45.261652010050049</v>
      </c>
      <c r="I18" s="65">
        <v>19.998618090452187</v>
      </c>
      <c r="J18" s="65">
        <v>21.251664572864392</v>
      </c>
      <c r="K18" s="65"/>
      <c r="L18" s="65"/>
      <c r="M18" s="65">
        <v>3.0934241280000001</v>
      </c>
      <c r="N18" s="65">
        <v>0</v>
      </c>
      <c r="O18" s="65">
        <f t="shared" si="4"/>
        <v>0.28832671839788143</v>
      </c>
      <c r="P18" s="69"/>
      <c r="S18" s="25" t="s">
        <v>71</v>
      </c>
      <c r="T18" s="25" t="s">
        <v>72</v>
      </c>
      <c r="U18" s="70">
        <f t="array" ref="U18:Y18">TRANSPOSE(M3:M7)</f>
        <v>5.0019625728000001</v>
      </c>
      <c r="V18" s="70">
        <v>4.4134104959999991</v>
      </c>
      <c r="W18" s="70">
        <v>3.462614592</v>
      </c>
      <c r="X18" s="70">
        <v>3.0054249984000001</v>
      </c>
      <c r="Y18" s="70">
        <v>5.1545233151999996</v>
      </c>
      <c r="Z18" s="70"/>
      <c r="AA18" s="70">
        <v>4.2218308607999999</v>
      </c>
      <c r="AB18" s="70">
        <v>2.8030695167999999</v>
      </c>
      <c r="AC18" s="70">
        <v>1.5553173503999997</v>
      </c>
      <c r="AD18" s="70">
        <v>0.24622156800000003</v>
      </c>
    </row>
    <row r="19" spans="1:31">
      <c r="A19" s="65" t="s">
        <v>189</v>
      </c>
      <c r="B19" s="65">
        <v>31.25</v>
      </c>
      <c r="C19" s="65">
        <v>3</v>
      </c>
      <c r="D19" s="65">
        <v>281.44509999999997</v>
      </c>
      <c r="E19" s="65">
        <v>1.0024555555555557E-2</v>
      </c>
      <c r="F19" s="65">
        <v>1.0570055555555555E-2</v>
      </c>
      <c r="G19" s="65">
        <v>47.081704781703998</v>
      </c>
      <c r="H19" s="65">
        <v>45.950311850311486</v>
      </c>
      <c r="I19" s="65">
        <v>19.971794871794781</v>
      </c>
      <c r="J19" s="65">
        <v>21.224081774082016</v>
      </c>
      <c r="K19" s="65"/>
      <c r="L19" s="65"/>
      <c r="M19" s="65">
        <v>0.32185294698240002</v>
      </c>
      <c r="N19" s="65">
        <v>0</v>
      </c>
      <c r="O19" s="65">
        <f t="shared" si="4"/>
        <v>2.9998732850810266E-2</v>
      </c>
      <c r="P19" s="69"/>
      <c r="S19" s="18" t="s">
        <v>68</v>
      </c>
      <c r="T19" s="17"/>
    </row>
    <row r="22" spans="1:31" ht="16.5">
      <c r="S22" s="76" t="s">
        <v>190</v>
      </c>
    </row>
    <row r="23" spans="1:31">
      <c r="S23" s="62" t="str">
        <f t="array" ref="S23:AE35">TRANSPOSE(A1:N13)</f>
        <v>Membrane</v>
      </c>
      <c r="T23" s="62">
        <v>0</v>
      </c>
      <c r="U23" s="62" t="str">
        <v>#3PVDF</v>
      </c>
      <c r="V23" s="62" t="str">
        <v>#3PVDF</v>
      </c>
      <c r="W23" s="62" t="str">
        <v>#3PVDF</v>
      </c>
      <c r="X23" s="62" t="str">
        <v>#3PVDF</v>
      </c>
      <c r="Y23" s="62" t="str">
        <v>#3PVDF</v>
      </c>
      <c r="Z23" s="62">
        <v>0</v>
      </c>
      <c r="AA23" s="62" t="str">
        <v>#1PTFE</v>
      </c>
      <c r="AB23" s="62" t="str">
        <v>#1PTFE</v>
      </c>
      <c r="AC23" s="62" t="str">
        <v>#1PTFE</v>
      </c>
      <c r="AD23" s="62" t="str">
        <v>#1PTFE</v>
      </c>
      <c r="AE23" s="62">
        <v>0</v>
      </c>
    </row>
    <row r="24" spans="1:31">
      <c r="S24" s="62" t="str">
        <v>Membrane area</v>
      </c>
      <c r="T24" s="62" t="str">
        <v>cm2</v>
      </c>
      <c r="U24" s="62">
        <v>31.25</v>
      </c>
      <c r="V24" s="62">
        <v>31.25</v>
      </c>
      <c r="W24" s="62">
        <v>31.25</v>
      </c>
      <c r="X24" s="62">
        <v>31.25</v>
      </c>
      <c r="Y24" s="62">
        <v>31.25</v>
      </c>
      <c r="Z24" s="62">
        <v>0</v>
      </c>
      <c r="AA24" s="62">
        <v>31.25</v>
      </c>
      <c r="AB24" s="62">
        <v>31.25</v>
      </c>
      <c r="AC24" s="62">
        <v>31.25</v>
      </c>
      <c r="AD24" s="62">
        <v>31.25</v>
      </c>
      <c r="AE24" s="62" t="e">
        <v>#DIV/0!</v>
      </c>
    </row>
    <row r="25" spans="1:31">
      <c r="S25" s="62" t="str">
        <v>Cross section area</v>
      </c>
      <c r="T25" s="62" t="str">
        <v>cm2</v>
      </c>
      <c r="U25" s="62">
        <v>3</v>
      </c>
      <c r="V25" s="62">
        <v>3</v>
      </c>
      <c r="W25" s="62">
        <v>3</v>
      </c>
      <c r="X25" s="62">
        <v>3</v>
      </c>
      <c r="Y25" s="62">
        <v>3</v>
      </c>
      <c r="Z25" s="62">
        <v>0</v>
      </c>
      <c r="AA25" s="62">
        <v>3</v>
      </c>
      <c r="AB25" s="62">
        <v>3</v>
      </c>
      <c r="AC25" s="62">
        <v>3</v>
      </c>
      <c r="AD25" s="62">
        <v>3</v>
      </c>
      <c r="AE25" s="62" t="e">
        <v>#DIV/0!</v>
      </c>
    </row>
    <row r="26" spans="1:31">
      <c r="S26" s="62" t="str">
        <v>Original concentration</v>
      </c>
      <c r="T26" s="62" t="str">
        <v>g/l</v>
      </c>
      <c r="U26" s="62">
        <v>69.566000000000003</v>
      </c>
      <c r="V26" s="62">
        <v>141.60266666666666</v>
      </c>
      <c r="W26" s="62">
        <v>211.26733333333334</v>
      </c>
      <c r="X26" s="62">
        <v>281.44509999999997</v>
      </c>
      <c r="Y26" s="62">
        <v>0</v>
      </c>
      <c r="Z26" s="62">
        <v>0</v>
      </c>
      <c r="AA26" s="62">
        <v>0</v>
      </c>
      <c r="AB26" s="62">
        <v>69.53543333333333</v>
      </c>
      <c r="AC26" s="62">
        <v>141.39226666666667</v>
      </c>
      <c r="AD26" s="62">
        <v>211.26166666666666</v>
      </c>
      <c r="AE26" s="62" t="e">
        <v>#DIV/0!</v>
      </c>
    </row>
    <row r="27" spans="1:31">
      <c r="S27" s="62" t="str">
        <v>Feed revolution</v>
      </c>
      <c r="T27" s="62" t="str">
        <v>rpm</v>
      </c>
      <c r="U27" s="62">
        <v>98</v>
      </c>
      <c r="V27" s="62">
        <v>98</v>
      </c>
      <c r="W27" s="62">
        <v>98</v>
      </c>
      <c r="X27" s="62">
        <v>98</v>
      </c>
      <c r="Y27" s="62">
        <v>98</v>
      </c>
      <c r="Z27" s="62">
        <v>0</v>
      </c>
      <c r="AA27" s="62">
        <v>98</v>
      </c>
      <c r="AB27" s="62">
        <v>98</v>
      </c>
      <c r="AC27" s="62">
        <v>98</v>
      </c>
      <c r="AD27" s="62">
        <v>98</v>
      </c>
      <c r="AE27" s="62" t="e">
        <v>#DIV/0!</v>
      </c>
    </row>
    <row r="28" spans="1:31">
      <c r="S28" s="62" t="str">
        <v>Permeate revolution</v>
      </c>
      <c r="T28" s="62" t="str">
        <v>rpm</v>
      </c>
      <c r="U28" s="62">
        <v>94</v>
      </c>
      <c r="V28" s="62">
        <v>94</v>
      </c>
      <c r="W28" s="62">
        <v>94</v>
      </c>
      <c r="X28" s="62">
        <v>94</v>
      </c>
      <c r="Y28" s="62">
        <v>94</v>
      </c>
      <c r="Z28" s="62">
        <v>0</v>
      </c>
      <c r="AA28" s="62">
        <v>94</v>
      </c>
      <c r="AB28" s="62">
        <v>94</v>
      </c>
      <c r="AC28" s="62">
        <v>94</v>
      </c>
      <c r="AD28" s="62">
        <v>94</v>
      </c>
      <c r="AE28" s="62" t="e">
        <v>#DIV/0!</v>
      </c>
    </row>
    <row r="29" spans="1:31">
      <c r="S29" s="62" t="str">
        <v xml:space="preserve"> Tpin</v>
      </c>
      <c r="T29" s="62" t="str">
        <v>℃</v>
      </c>
      <c r="U29" s="62">
        <v>19.99835666666667</v>
      </c>
      <c r="V29" s="62">
        <v>20.020875999999998</v>
      </c>
      <c r="W29" s="62">
        <v>19.863140666666666</v>
      </c>
      <c r="X29" s="62">
        <v>20.115232666666667</v>
      </c>
      <c r="Y29" s="62">
        <v>19.889080666666665</v>
      </c>
      <c r="Z29" s="62">
        <v>0</v>
      </c>
      <c r="AA29" s="62">
        <v>19.948305666666666</v>
      </c>
      <c r="AB29" s="62">
        <v>19.895390333333335</v>
      </c>
      <c r="AC29" s="62">
        <v>19.898199000000002</v>
      </c>
      <c r="AD29" s="62">
        <v>20.074282999999998</v>
      </c>
      <c r="AE29" s="62" t="e">
        <v>#DIV/0!</v>
      </c>
    </row>
    <row r="30" spans="1:31">
      <c r="S30" s="62" t="str">
        <v>Tpout</v>
      </c>
      <c r="T30" s="62" t="str">
        <v>℃</v>
      </c>
      <c r="U30" s="62">
        <v>20.394694666666666</v>
      </c>
      <c r="V30" s="62">
        <v>20.706840999999997</v>
      </c>
      <c r="W30" s="62">
        <v>20.617133666666664</v>
      </c>
      <c r="X30" s="62">
        <v>20.743951333333332</v>
      </c>
      <c r="Y30" s="62">
        <v>20.753770333333332</v>
      </c>
      <c r="Z30" s="62">
        <v>0</v>
      </c>
      <c r="AA30" s="62">
        <v>21.060659666666666</v>
      </c>
      <c r="AB30" s="62">
        <v>20.886816333333332</v>
      </c>
      <c r="AC30" s="62">
        <v>20.737005333333332</v>
      </c>
      <c r="AD30" s="62">
        <v>20.766840666666663</v>
      </c>
      <c r="AE30" s="62" t="e">
        <v>#DIV/0!</v>
      </c>
    </row>
    <row r="31" spans="1:31">
      <c r="S31" s="62" t="str">
        <v>Tfin</v>
      </c>
      <c r="T31" s="62" t="str">
        <v>℃</v>
      </c>
      <c r="U31" s="62">
        <v>46.787444999999998</v>
      </c>
      <c r="V31" s="62">
        <v>46.972490000000001</v>
      </c>
      <c r="W31" s="62">
        <v>46.850017999999999</v>
      </c>
      <c r="X31" s="62">
        <v>46.907367000000001</v>
      </c>
      <c r="Y31" s="62">
        <v>46.941147000000001</v>
      </c>
      <c r="Z31" s="62">
        <v>0</v>
      </c>
      <c r="AA31" s="62">
        <v>46.908647666666667</v>
      </c>
      <c r="AB31" s="62">
        <v>46.87154833333333</v>
      </c>
      <c r="AC31" s="62">
        <v>46.776664000000004</v>
      </c>
      <c r="AD31" s="62">
        <v>47.191884333333327</v>
      </c>
      <c r="AE31" s="62" t="e">
        <v>#DIV/0!</v>
      </c>
    </row>
    <row r="32" spans="1:31">
      <c r="S32" s="62" t="str">
        <v>Tfout</v>
      </c>
      <c r="T32" s="62" t="str">
        <v>℃</v>
      </c>
      <c r="U32" s="62">
        <v>45.745317333333332</v>
      </c>
      <c r="V32" s="62">
        <v>45.949279999999995</v>
      </c>
      <c r="W32" s="62">
        <v>45.720077333333336</v>
      </c>
      <c r="X32" s="62">
        <v>45.758546666666668</v>
      </c>
      <c r="Y32" s="62">
        <v>45.631227333333328</v>
      </c>
      <c r="Z32" s="62">
        <v>0</v>
      </c>
      <c r="AA32" s="62">
        <v>45.504165</v>
      </c>
      <c r="AB32" s="62">
        <v>45.49707033333334</v>
      </c>
      <c r="AC32" s="62">
        <v>45.505756999999996</v>
      </c>
      <c r="AD32" s="62">
        <v>45.912472999999999</v>
      </c>
      <c r="AE32" s="62" t="e">
        <v>#DIV/0!</v>
      </c>
    </row>
    <row r="33" spans="19:31">
      <c r="S33" s="62" t="str">
        <v>Measured flux(g/s)</v>
      </c>
      <c r="T33" s="62" t="str">
        <v>g/s</v>
      </c>
      <c r="U33" s="62">
        <v>4.3419814000000001E-3</v>
      </c>
      <c r="V33" s="62">
        <v>3.8310854999999999E-3</v>
      </c>
      <c r="W33" s="62">
        <v>3.0057418333333335E-3</v>
      </c>
      <c r="X33" s="62">
        <v>2.6088758666666669E-3</v>
      </c>
      <c r="Y33" s="62">
        <v>4.4744125999999999E-3</v>
      </c>
      <c r="Z33" s="62">
        <v>0</v>
      </c>
      <c r="AA33" s="62">
        <v>3.6647837333333333E-3</v>
      </c>
      <c r="AB33" s="62">
        <v>2.4332200666666668E-3</v>
      </c>
      <c r="AC33" s="62">
        <v>1.3501018666666666E-3</v>
      </c>
      <c r="AD33" s="62">
        <v>2.1373400000000001E-4</v>
      </c>
      <c r="AE33" s="62" t="e">
        <v>#DIV/0!</v>
      </c>
    </row>
    <row r="34" spans="19:31">
      <c r="S34" s="62" t="str">
        <v>std</v>
      </c>
      <c r="T34" s="62" t="str">
        <v>g/s</v>
      </c>
      <c r="U34" s="62">
        <v>2.1969806244835174E-4</v>
      </c>
      <c r="V34" s="62">
        <v>2.8011125545145457E-4</v>
      </c>
      <c r="W34" s="62">
        <v>1.264932789073133E-4</v>
      </c>
      <c r="X34" s="62">
        <v>4.0453452375332879E-5</v>
      </c>
      <c r="Y34" s="62">
        <v>1.6893516620251068E-4</v>
      </c>
      <c r="Z34" s="62">
        <v>0</v>
      </c>
      <c r="AA34" s="62">
        <v>6.7665665921421586E-4</v>
      </c>
      <c r="AB34" s="62">
        <v>1.5113969249675374E-4</v>
      </c>
      <c r="AC34" s="62">
        <v>1.1978061728461465E-4</v>
      </c>
      <c r="AD34" s="62">
        <v>1.0830301265980553E-4</v>
      </c>
      <c r="AE34" s="62" t="e">
        <v>#DIV/0!</v>
      </c>
    </row>
    <row r="35" spans="19:31">
      <c r="S35" s="62" t="str">
        <v>Flux</v>
      </c>
      <c r="T35" s="62" t="str">
        <v>kg/m2 h</v>
      </c>
      <c r="U35" s="62">
        <v>5.0019625728000001</v>
      </c>
      <c r="V35" s="62">
        <v>4.4134104959999991</v>
      </c>
      <c r="W35" s="62">
        <v>3.462614592</v>
      </c>
      <c r="X35" s="62">
        <v>3.0054249984000001</v>
      </c>
      <c r="Y35" s="62">
        <v>5.1545233151999996</v>
      </c>
      <c r="Z35" s="62">
        <v>0</v>
      </c>
      <c r="AA35" s="62">
        <v>4.2218308607999999</v>
      </c>
      <c r="AB35" s="62">
        <v>2.8030695167999999</v>
      </c>
      <c r="AC35" s="62">
        <v>1.5553173503999997</v>
      </c>
      <c r="AD35" s="62">
        <v>0.24622156800000003</v>
      </c>
      <c r="AE35" s="62" t="e">
        <v>#DIV/0!</v>
      </c>
    </row>
    <row r="37" spans="19:31" ht="16.5">
      <c r="S37" s="76" t="s">
        <v>191</v>
      </c>
    </row>
    <row r="38" spans="19:31">
      <c r="S38" s="62" t="s">
        <v>161</v>
      </c>
      <c r="T38" s="62">
        <v>0</v>
      </c>
      <c r="U38" s="62" t="s">
        <v>192</v>
      </c>
      <c r="V38" s="62" t="s">
        <v>192</v>
      </c>
      <c r="W38" s="62" t="s">
        <v>192</v>
      </c>
      <c r="X38" s="62" t="s">
        <v>192</v>
      </c>
      <c r="Y38" s="62" t="s">
        <v>192</v>
      </c>
      <c r="AA38" s="62" t="s">
        <v>193</v>
      </c>
      <c r="AB38" s="62" t="s">
        <v>193</v>
      </c>
      <c r="AC38" s="62" t="s">
        <v>193</v>
      </c>
      <c r="AD38" s="62" t="s">
        <v>193</v>
      </c>
    </row>
    <row r="39" spans="19:31">
      <c r="S39" s="62" t="s">
        <v>81</v>
      </c>
      <c r="T39" s="62" t="s">
        <v>67</v>
      </c>
      <c r="U39" s="62">
        <v>31.25</v>
      </c>
      <c r="V39" s="62">
        <v>31.25</v>
      </c>
      <c r="W39" s="62">
        <v>31.25</v>
      </c>
      <c r="X39" s="62">
        <v>31.25</v>
      </c>
      <c r="Y39" s="62">
        <v>31.25</v>
      </c>
      <c r="AA39" s="62">
        <v>31.25</v>
      </c>
      <c r="AB39" s="62">
        <v>31.25</v>
      </c>
      <c r="AC39" s="62">
        <v>31.25</v>
      </c>
      <c r="AD39" s="62">
        <v>31.25</v>
      </c>
    </row>
    <row r="40" spans="19:31">
      <c r="S40" s="62" t="s">
        <v>194</v>
      </c>
      <c r="T40" s="62" t="s">
        <v>67</v>
      </c>
      <c r="U40" s="62">
        <v>3</v>
      </c>
      <c r="V40" s="62">
        <v>3</v>
      </c>
      <c r="W40" s="62">
        <v>3</v>
      </c>
      <c r="X40" s="62">
        <v>3</v>
      </c>
      <c r="Y40" s="62">
        <v>3</v>
      </c>
      <c r="AA40" s="62">
        <v>3</v>
      </c>
      <c r="AB40" s="62">
        <v>3</v>
      </c>
      <c r="AC40" s="62">
        <v>3</v>
      </c>
      <c r="AD40" s="62">
        <v>3</v>
      </c>
    </row>
    <row r="41" spans="19:31">
      <c r="S41" s="62" t="s">
        <v>195</v>
      </c>
      <c r="T41" s="62" t="s">
        <v>196</v>
      </c>
      <c r="U41" s="62">
        <v>69.566000000000003</v>
      </c>
      <c r="V41" s="62">
        <v>141.60266666666666</v>
      </c>
      <c r="W41" s="62">
        <v>211.26733333333334</v>
      </c>
      <c r="X41" s="62">
        <v>281.44509999999997</v>
      </c>
      <c r="Y41" s="62">
        <v>0</v>
      </c>
      <c r="AA41" s="62">
        <v>0</v>
      </c>
      <c r="AB41" s="62">
        <v>69.53543333333333</v>
      </c>
      <c r="AC41" s="62">
        <v>141.39226666666667</v>
      </c>
      <c r="AD41" s="62">
        <v>211.26166666666666</v>
      </c>
    </row>
    <row r="42" spans="19:31">
      <c r="S42" s="62" t="s">
        <v>197</v>
      </c>
      <c r="T42" s="62" t="s">
        <v>61</v>
      </c>
      <c r="U42" s="62">
        <v>98</v>
      </c>
      <c r="V42" s="62">
        <v>98</v>
      </c>
      <c r="W42" s="62">
        <v>98</v>
      </c>
      <c r="X42" s="62">
        <v>98</v>
      </c>
      <c r="Y42" s="62">
        <v>98</v>
      </c>
      <c r="AA42" s="62">
        <v>98</v>
      </c>
      <c r="AB42" s="62">
        <v>98</v>
      </c>
      <c r="AC42" s="62">
        <v>98</v>
      </c>
      <c r="AD42" s="62">
        <v>98</v>
      </c>
    </row>
    <row r="43" spans="19:31">
      <c r="S43" s="62" t="s">
        <v>198</v>
      </c>
      <c r="T43" s="62" t="s">
        <v>61</v>
      </c>
      <c r="U43" s="62">
        <v>94</v>
      </c>
      <c r="V43" s="62">
        <v>94</v>
      </c>
      <c r="W43" s="62">
        <v>94</v>
      </c>
      <c r="X43" s="62">
        <v>94</v>
      </c>
      <c r="Y43" s="62">
        <v>94</v>
      </c>
      <c r="AA43" s="62">
        <v>94</v>
      </c>
      <c r="AB43" s="62">
        <v>94</v>
      </c>
      <c r="AC43" s="62">
        <v>94</v>
      </c>
      <c r="AD43" s="62">
        <v>94</v>
      </c>
    </row>
    <row r="44" spans="19:31">
      <c r="S44" s="62" t="s">
        <v>199</v>
      </c>
      <c r="T44" s="62" t="s">
        <v>200</v>
      </c>
      <c r="U44" s="62">
        <v>19.99835666666667</v>
      </c>
      <c r="V44" s="62">
        <v>20.020875999999998</v>
      </c>
      <c r="W44" s="62">
        <v>19.863140666666666</v>
      </c>
      <c r="X44" s="62">
        <v>20.115232666666667</v>
      </c>
      <c r="Y44" s="62">
        <v>19.889080666666665</v>
      </c>
      <c r="AA44" s="62">
        <v>19.948305666666666</v>
      </c>
      <c r="AB44" s="62">
        <v>19.895390333333335</v>
      </c>
      <c r="AC44" s="62">
        <v>19.898199000000002</v>
      </c>
      <c r="AD44" s="62">
        <v>20.074282999999998</v>
      </c>
    </row>
    <row r="45" spans="19:31">
      <c r="S45" s="62" t="s">
        <v>201</v>
      </c>
      <c r="T45" s="62" t="s">
        <v>200</v>
      </c>
      <c r="U45" s="62">
        <v>20.394694666666666</v>
      </c>
      <c r="V45" s="62">
        <v>20.706840999999997</v>
      </c>
      <c r="W45" s="62">
        <v>20.617133666666664</v>
      </c>
      <c r="X45" s="62">
        <v>20.743951333333332</v>
      </c>
      <c r="Y45" s="62">
        <v>20.753770333333332</v>
      </c>
      <c r="AA45" s="62">
        <v>21.060659666666666</v>
      </c>
      <c r="AB45" s="62">
        <v>20.886816333333332</v>
      </c>
      <c r="AC45" s="62">
        <v>20.737005333333332</v>
      </c>
      <c r="AD45" s="62">
        <v>20.766840666666663</v>
      </c>
    </row>
    <row r="46" spans="19:31">
      <c r="S46" s="62" t="s">
        <v>202</v>
      </c>
      <c r="T46" s="62" t="s">
        <v>200</v>
      </c>
      <c r="U46" s="62">
        <v>46.787444999999998</v>
      </c>
      <c r="V46" s="62">
        <v>46.972490000000001</v>
      </c>
      <c r="W46" s="62">
        <v>46.850017999999999</v>
      </c>
      <c r="X46" s="62">
        <v>46.907367000000001</v>
      </c>
      <c r="Y46" s="62">
        <v>46.941147000000001</v>
      </c>
      <c r="AA46" s="62">
        <v>46.908647666666667</v>
      </c>
      <c r="AB46" s="62">
        <v>46.87154833333333</v>
      </c>
      <c r="AC46" s="62">
        <v>46.776664000000004</v>
      </c>
      <c r="AD46" s="62">
        <v>47.191884333333327</v>
      </c>
    </row>
    <row r="47" spans="19:31">
      <c r="S47" s="62" t="s">
        <v>203</v>
      </c>
      <c r="T47" s="62" t="s">
        <v>200</v>
      </c>
      <c r="U47" s="62">
        <v>45.745317333333332</v>
      </c>
      <c r="V47" s="62">
        <v>45.949279999999995</v>
      </c>
      <c r="W47" s="62">
        <v>45.720077333333336</v>
      </c>
      <c r="X47" s="62">
        <v>45.758546666666668</v>
      </c>
      <c r="Y47" s="62">
        <v>45.631227333333328</v>
      </c>
      <c r="AA47" s="62">
        <v>45.504165</v>
      </c>
      <c r="AB47" s="62">
        <v>45.49707033333334</v>
      </c>
      <c r="AC47" s="62">
        <v>45.505756999999996</v>
      </c>
      <c r="AD47" s="62">
        <v>45.912472999999999</v>
      </c>
    </row>
    <row r="48" spans="19:31">
      <c r="S48" s="62" t="s">
        <v>171</v>
      </c>
      <c r="T48" s="62" t="s">
        <v>204</v>
      </c>
      <c r="U48" s="62">
        <v>4.3419814000000001E-3</v>
      </c>
      <c r="V48" s="62">
        <v>3.8310854999999999E-3</v>
      </c>
      <c r="W48" s="62">
        <v>3.0057418333333335E-3</v>
      </c>
      <c r="X48" s="62">
        <v>2.6088758666666669E-3</v>
      </c>
      <c r="Y48" s="62">
        <v>4.4744125999999999E-3</v>
      </c>
      <c r="AA48" s="62">
        <v>3.6647837333333333E-3</v>
      </c>
      <c r="AB48" s="62">
        <v>2.4332200666666668E-3</v>
      </c>
      <c r="AC48" s="62">
        <v>1.3501018666666666E-3</v>
      </c>
      <c r="AD48" s="62">
        <v>2.1373400000000001E-4</v>
      </c>
    </row>
    <row r="49" spans="19:30">
      <c r="S49" s="62" t="s">
        <v>205</v>
      </c>
      <c r="T49" s="62" t="s">
        <v>204</v>
      </c>
      <c r="U49" s="62">
        <v>2.1969806244835174E-4</v>
      </c>
      <c r="V49" s="62">
        <v>2.8011125545145457E-4</v>
      </c>
      <c r="W49" s="62">
        <v>1.264932789073133E-4</v>
      </c>
      <c r="X49" s="62">
        <v>4.0453452375332879E-5</v>
      </c>
      <c r="Y49" s="62">
        <v>1.6893516620251068E-4</v>
      </c>
      <c r="AA49" s="62">
        <v>6.7665665921421586E-4</v>
      </c>
      <c r="AB49" s="62">
        <v>1.5113969249675374E-4</v>
      </c>
      <c r="AC49" s="62">
        <v>1.1978061728461465E-4</v>
      </c>
      <c r="AD49" s="62">
        <v>1.0830301265980553E-4</v>
      </c>
    </row>
    <row r="50" spans="19:30">
      <c r="S50" s="62" t="s">
        <v>206</v>
      </c>
      <c r="T50" s="62" t="s">
        <v>207</v>
      </c>
      <c r="U50" s="62">
        <v>5.0019625728000001</v>
      </c>
      <c r="V50" s="62">
        <v>4.4134104959999991</v>
      </c>
      <c r="W50" s="62">
        <v>3.462614592</v>
      </c>
      <c r="X50" s="62">
        <v>3.0054249984000001</v>
      </c>
      <c r="Y50" s="62">
        <v>5.1545233151999996</v>
      </c>
      <c r="AA50" s="62">
        <v>4.2218308607999999</v>
      </c>
      <c r="AB50" s="62">
        <v>2.8030695167999999</v>
      </c>
      <c r="AC50" s="62">
        <v>1.5553173503999997</v>
      </c>
      <c r="AD50" s="62">
        <v>0.24622156800000003</v>
      </c>
    </row>
  </sheetData>
  <mergeCells count="1">
    <mergeCell ref="P15:P19"/>
  </mergeCells>
  <hyperlinks>
    <hyperlink ref="P13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topLeftCell="A11" workbookViewId="0">
      <selection activeCell="B26" sqref="B26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  <row r="12" spans="1:5">
      <c r="A12" s="42" t="s">
        <v>111</v>
      </c>
      <c r="B12" s="42" t="s">
        <v>156</v>
      </c>
    </row>
    <row r="13" spans="1:5">
      <c r="A13" s="42" t="s">
        <v>112</v>
      </c>
    </row>
    <row r="14" spans="1:5">
      <c r="A14" s="21" t="s">
        <v>113</v>
      </c>
      <c r="B14" s="23">
        <v>3.2800000000000003E-7</v>
      </c>
      <c r="C14" s="22">
        <v>2.23E-7</v>
      </c>
      <c r="D14" s="22">
        <v>3.4999999999999998E-7</v>
      </c>
      <c r="E14" s="22">
        <v>2.4999999999999999E-7</v>
      </c>
    </row>
    <row r="15" spans="1:5">
      <c r="A15" s="42" t="s">
        <v>114</v>
      </c>
      <c r="B15" s="42"/>
    </row>
    <row r="16" spans="1:5">
      <c r="A16" s="21" t="s">
        <v>116</v>
      </c>
      <c r="B16" s="21">
        <v>317.99880000000002</v>
      </c>
      <c r="C16">
        <v>318.14089999999999</v>
      </c>
      <c r="D16">
        <v>317.97539999999998</v>
      </c>
      <c r="E16">
        <v>318.10550000000001</v>
      </c>
    </row>
    <row r="17" spans="1:5">
      <c r="A17" s="21" t="s">
        <v>115</v>
      </c>
      <c r="B17" s="21">
        <v>294.93329999999997</v>
      </c>
      <c r="C17">
        <v>294.798</v>
      </c>
      <c r="D17">
        <v>294.95639999999997</v>
      </c>
      <c r="E17">
        <v>294.83249999999998</v>
      </c>
    </row>
    <row r="18" spans="1:5">
      <c r="A18" s="21" t="s">
        <v>117</v>
      </c>
      <c r="B18" s="21">
        <v>2.67977</v>
      </c>
      <c r="C18">
        <v>1.9314100000000001</v>
      </c>
      <c r="D18">
        <v>2.8276400000000002</v>
      </c>
      <c r="E18">
        <v>2.1318199999999998</v>
      </c>
    </row>
    <row r="19" spans="1:5">
      <c r="A19" s="21" t="s">
        <v>118</v>
      </c>
      <c r="B19" s="42">
        <f>B18*0.0005</f>
        <v>1.3398850000000001E-3</v>
      </c>
      <c r="C19" s="42">
        <f>C18*0.0005</f>
        <v>9.6570500000000008E-4</v>
      </c>
      <c r="D19" s="42">
        <f>D18*0.0005</f>
        <v>1.4138200000000001E-3</v>
      </c>
      <c r="E19" s="42">
        <f>E18*0.0005</f>
        <v>1.06591E-3</v>
      </c>
    </row>
    <row r="20" spans="1:5">
      <c r="B20" s="42"/>
    </row>
    <row r="21" spans="1:5">
      <c r="B21" s="22">
        <f>(0.001337-C19)*(C14-D14)/(C19-D19)+C14</f>
        <v>3.2822849045445922E-7</v>
      </c>
      <c r="C21" s="22">
        <f>(0.0009731-D19)*(D14-E14)/(D19-E19)+D14</f>
        <v>2.2332356069098329E-7</v>
      </c>
    </row>
    <row r="23" spans="1:5">
      <c r="A23" s="42" t="s">
        <v>111</v>
      </c>
      <c r="B23" s="42" t="s">
        <v>158</v>
      </c>
    </row>
    <row r="24" spans="1:5">
      <c r="A24" s="42" t="s">
        <v>112</v>
      </c>
      <c r="B24" s="42"/>
    </row>
    <row r="25" spans="1:5">
      <c r="A25" s="21" t="s">
        <v>113</v>
      </c>
      <c r="B25" s="22">
        <v>8.8800000000000001E-7</v>
      </c>
      <c r="C25" s="23">
        <v>3.2800000000000003E-7</v>
      </c>
      <c r="D25" s="22">
        <v>6.9999999999999997E-7</v>
      </c>
    </row>
    <row r="26" spans="1:5">
      <c r="A26" s="42" t="s">
        <v>114</v>
      </c>
      <c r="C26" s="42"/>
    </row>
    <row r="27" spans="1:5">
      <c r="A27" s="21" t="s">
        <v>116</v>
      </c>
      <c r="B27">
        <v>317.49423000000002</v>
      </c>
      <c r="C27" s="21">
        <v>317.97573999999997</v>
      </c>
      <c r="D27">
        <v>317.62227999999999</v>
      </c>
    </row>
    <row r="28" spans="1:5">
      <c r="A28" s="21" t="s">
        <v>115</v>
      </c>
      <c r="B28">
        <v>295.37509</v>
      </c>
      <c r="C28" s="21">
        <v>294.91201999999998</v>
      </c>
      <c r="D28">
        <v>295.25033999999999</v>
      </c>
    </row>
    <row r="29" spans="1:5">
      <c r="A29" s="21" t="s">
        <v>117</v>
      </c>
      <c r="B29">
        <v>5.7986893999999998</v>
      </c>
      <c r="C29" s="21">
        <v>2.6637732999999999</v>
      </c>
      <c r="D29">
        <v>4.8526243999999998</v>
      </c>
    </row>
    <row r="30" spans="1:5">
      <c r="A30" s="21" t="s">
        <v>118</v>
      </c>
      <c r="B30" s="42">
        <f>B29*0.0005</f>
        <v>2.8993447000000001E-3</v>
      </c>
      <c r="C30" s="42">
        <f>C29*0.0005</f>
        <v>1.33188665E-3</v>
      </c>
      <c r="D30" s="42">
        <f>D29*0.0005</f>
        <v>2.4263122E-3</v>
      </c>
    </row>
    <row r="31" spans="1:5">
      <c r="A31" s="21" t="s">
        <v>159</v>
      </c>
      <c r="B31">
        <f>'Yao2016(preparing)'!AA48</f>
        <v>2.9802457599999999E-3</v>
      </c>
    </row>
    <row r="32" spans="1:5">
      <c r="A32" s="21" t="s">
        <v>160</v>
      </c>
      <c r="B32" s="22">
        <f>(B31-C30)*(C25-D25)/(C30-D30)+C25</f>
        <v>8.8828442402500554E-7</v>
      </c>
    </row>
  </sheetData>
  <phoneticPr fontId="2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topLeftCell="A15" workbookViewId="0">
      <selection activeCell="B13" sqref="B13:G36"/>
    </sheetView>
  </sheetViews>
  <sheetFormatPr defaultRowHeight="15"/>
  <sheetData>
    <row r="1" spans="1:27" s="42" customFormat="1">
      <c r="B1" s="42">
        <v>1</v>
      </c>
      <c r="C1" s="42">
        <v>2</v>
      </c>
      <c r="D1" s="42">
        <v>3</v>
      </c>
      <c r="E1" s="42">
        <v>4</v>
      </c>
      <c r="F1" s="42">
        <v>5</v>
      </c>
      <c r="G1" s="42">
        <v>6</v>
      </c>
      <c r="H1" s="42">
        <v>7</v>
      </c>
      <c r="I1" s="42">
        <v>8</v>
      </c>
      <c r="J1" s="42">
        <v>9</v>
      </c>
      <c r="K1" s="42">
        <v>10</v>
      </c>
      <c r="L1" s="42">
        <v>11</v>
      </c>
      <c r="M1" s="42">
        <v>12</v>
      </c>
      <c r="N1" s="42">
        <v>13</v>
      </c>
      <c r="O1" s="42">
        <v>14</v>
      </c>
      <c r="P1" s="42">
        <v>15</v>
      </c>
      <c r="Q1" s="42">
        <v>16</v>
      </c>
      <c r="R1" s="42">
        <v>17</v>
      </c>
      <c r="S1" s="42">
        <v>18</v>
      </c>
      <c r="T1" s="42">
        <v>19</v>
      </c>
      <c r="U1" s="42">
        <v>20</v>
      </c>
      <c r="V1" s="42">
        <v>21</v>
      </c>
      <c r="W1" s="42">
        <v>22</v>
      </c>
      <c r="X1" s="42">
        <v>23</v>
      </c>
      <c r="Y1" s="42">
        <v>24</v>
      </c>
      <c r="Z1" s="42">
        <v>25</v>
      </c>
      <c r="AA1" s="42">
        <v>26</v>
      </c>
    </row>
    <row r="2" spans="1:27">
      <c r="A2" s="42">
        <v>1</v>
      </c>
      <c r="B2" s="42" t="s">
        <v>153</v>
      </c>
      <c r="C2" t="str">
        <f>'Yao2016(preparing)'!B43</f>
        <v>K</v>
      </c>
      <c r="D2">
        <f>'Yao2016(preparing)'!C43</f>
        <v>305.35915961980555</v>
      </c>
      <c r="E2">
        <f>'Yao2016(preparing)'!D43</f>
        <v>309.79188253593401</v>
      </c>
      <c r="F2">
        <f>'Yao2016(preparing)'!E43</f>
        <v>312.35623159324001</v>
      </c>
      <c r="G2">
        <f>'Yao2016(preparing)'!F43</f>
        <v>318.26500700465544</v>
      </c>
      <c r="H2">
        <f>'Yao2016(preparing)'!G43</f>
        <v>323.63862859035953</v>
      </c>
      <c r="I2">
        <f>'Yao2016(preparing)'!I43</f>
        <v>318.30270436408495</v>
      </c>
      <c r="J2">
        <f>'Yao2016(preparing)'!J43</f>
        <v>318.4829372796284</v>
      </c>
      <c r="K2">
        <f>'Yao2016(preparing)'!K43</f>
        <v>318.80301197436296</v>
      </c>
      <c r="L2">
        <f>'Yao2016(preparing)'!L43</f>
        <v>319.01289994963463</v>
      </c>
      <c r="M2">
        <f>'Yao2016(preparing)'!M43</f>
        <v>319.56472605071929</v>
      </c>
      <c r="N2">
        <f>'Yao2016(preparing)'!N43</f>
        <v>318.40305616471557</v>
      </c>
      <c r="O2">
        <f>'Yao2016(preparing)'!P43</f>
        <v>318.70412169546893</v>
      </c>
      <c r="P2">
        <f>'Yao2016(preparing)'!Q43</f>
        <v>318.81776959447166</v>
      </c>
      <c r="Q2">
        <f>'Yao2016(preparing)'!R43</f>
        <v>318.56053255624283</v>
      </c>
      <c r="R2">
        <f>'Yao2016(preparing)'!S43</f>
        <v>318.51664490974343</v>
      </c>
      <c r="S2">
        <f>'Yao2016(preparing)'!U43</f>
        <v>318.3348782464065</v>
      </c>
      <c r="T2">
        <f>'Yao2016(preparing)'!V43</f>
        <v>318.29827050530861</v>
      </c>
      <c r="U2">
        <f>'Yao2016(preparing)'!X43</f>
        <v>318.3938189793015</v>
      </c>
      <c r="V2">
        <f>'Yao2016(preparing)'!Y43</f>
        <v>318.0786832403021</v>
      </c>
      <c r="W2">
        <f>'Yao2016(preparing)'!AA43</f>
        <v>318.26500700465544</v>
      </c>
      <c r="X2">
        <f>'Yao2016(preparing)'!AB43</f>
        <v>318.58325015595727</v>
      </c>
      <c r="Y2">
        <f>'Yao2016(preparing)'!AC43</f>
        <v>319.27722725851919</v>
      </c>
      <c r="Z2">
        <f>'Yao2016(preparing)'!AD43</f>
        <v>318.41165201005003</v>
      </c>
      <c r="AA2">
        <f>'Yao2016(preparing)'!AE43</f>
        <v>319.10031185031147</v>
      </c>
    </row>
    <row r="3" spans="1:27">
      <c r="A3" s="42">
        <v>2</v>
      </c>
      <c r="B3" s="42" t="s">
        <v>151</v>
      </c>
      <c r="C3" t="str">
        <f>'Yao2016(preparing)'!B56</f>
        <v>K</v>
      </c>
      <c r="D3">
        <f>'Yao2016(preparing)'!C56</f>
        <v>305.07</v>
      </c>
      <c r="E3">
        <f>'Yao2016(preparing)'!D56</f>
        <v>309.42</v>
      </c>
      <c r="F3">
        <f>'Yao2016(preparing)'!E56</f>
        <v>312.06</v>
      </c>
      <c r="G3">
        <f>'Yao2016(preparing)'!F56</f>
        <v>317.77999999999997</v>
      </c>
      <c r="H3">
        <f>'Yao2016(preparing)'!G56</f>
        <v>322.74</v>
      </c>
      <c r="I3">
        <f>'Yao2016(preparing)'!I56</f>
        <v>318.13</v>
      </c>
      <c r="J3">
        <f>'Yao2016(preparing)'!J56</f>
        <v>318.58</v>
      </c>
      <c r="K3">
        <f>'Yao2016(preparing)'!K56</f>
        <v>319.00351000000001</v>
      </c>
      <c r="L3">
        <f>'Yao2016(preparing)'!L56</f>
        <v>319.28005999999999</v>
      </c>
      <c r="M3">
        <f>'Yao2016(preparing)'!M56</f>
        <v>317.73446999999999</v>
      </c>
      <c r="N3">
        <f>'Yao2016(preparing)'!N56</f>
        <v>317.72046</v>
      </c>
      <c r="O3">
        <f>'Yao2016(preparing)'!P56</f>
        <v>318.26294000000001</v>
      </c>
      <c r="P3">
        <f>'Yao2016(preparing)'!Q56</f>
        <v>318.48025999999999</v>
      </c>
      <c r="Q3">
        <f>'Yao2016(preparing)'!R56</f>
        <v>318.41379000000001</v>
      </c>
      <c r="R3">
        <f>'Yao2016(preparing)'!S56</f>
        <v>318.17993000000001</v>
      </c>
      <c r="S3">
        <f>'Yao2016(preparing)'!U56</f>
        <v>317.89227</v>
      </c>
      <c r="T3">
        <f>'Yao2016(preparing)'!V56</f>
        <v>317.83413999999999</v>
      </c>
      <c r="U3">
        <f>'Yao2016(preparing)'!X56</f>
        <v>318.14089999999999</v>
      </c>
      <c r="V3">
        <f>'Yao2016(preparing)'!Y56</f>
        <v>317.99880000000002</v>
      </c>
      <c r="W3">
        <f>'Yao2016(preparing)'!AA56</f>
        <v>317.47500000000002</v>
      </c>
      <c r="X3">
        <f>'Yao2016(preparing)'!AB56</f>
        <v>317.59199999999998</v>
      </c>
      <c r="Y3">
        <f>'Yao2016(preparing)'!AC56</f>
        <v>317.73099999999999</v>
      </c>
      <c r="Z3">
        <f>'Yao2016(preparing)'!AD56</f>
        <v>317.86700000000002</v>
      </c>
      <c r="AA3">
        <f>'Yao2016(preparing)'!AE56</f>
        <v>317.99400000000003</v>
      </c>
    </row>
    <row r="4" spans="1:27">
      <c r="A4" s="42">
        <v>3</v>
      </c>
      <c r="B4" s="42" t="s">
        <v>154</v>
      </c>
      <c r="C4" t="str">
        <f>'Yao2016(preparing)'!B47</f>
        <v>K</v>
      </c>
      <c r="D4">
        <f>'Yao2016(preparing)'!C47</f>
        <v>294.29682689366177</v>
      </c>
      <c r="E4">
        <f>'Yao2016(preparing)'!D47</f>
        <v>294.21664608339694</v>
      </c>
      <c r="F4">
        <f>'Yao2016(preparing)'!E47</f>
        <v>294.35225488233681</v>
      </c>
      <c r="G4">
        <f>'Yao2016(preparing)'!F47</f>
        <v>294.57886130730265</v>
      </c>
      <c r="H4">
        <f>'Yao2016(preparing)'!G47</f>
        <v>295.14325006184663</v>
      </c>
      <c r="I4">
        <f>'Yao2016(preparing)'!I47</f>
        <v>299.22168943939931</v>
      </c>
      <c r="J4">
        <f>'Yao2016(preparing)'!J47</f>
        <v>303.91148736331343</v>
      </c>
      <c r="K4">
        <f>'Yao2016(preparing)'!K47</f>
        <v>308.65229050926581</v>
      </c>
      <c r="L4">
        <f>'Yao2016(preparing)'!L47</f>
        <v>313.57345483397432</v>
      </c>
      <c r="M4">
        <f>'Yao2016(preparing)'!M47</f>
        <v>294.64494411853934</v>
      </c>
      <c r="N4">
        <f>'Yao2016(preparing)'!N47</f>
        <v>294.66788302030187</v>
      </c>
      <c r="O4">
        <f>'Yao2016(preparing)'!P47</f>
        <v>294.74539495317856</v>
      </c>
      <c r="P4">
        <f>'Yao2016(preparing)'!Q47</f>
        <v>294.95517646294218</v>
      </c>
      <c r="Q4">
        <f>'Yao2016(preparing)'!R47</f>
        <v>294.88340227697375</v>
      </c>
      <c r="R4">
        <f>'Yao2016(preparing)'!S47</f>
        <v>295.00451737531392</v>
      </c>
      <c r="S4">
        <f>'Yao2016(preparing)'!U47</f>
        <v>294.62908105804513</v>
      </c>
      <c r="T4">
        <f>'Yao2016(preparing)'!V47</f>
        <v>294.46046760050325</v>
      </c>
      <c r="U4">
        <f>'Yao2016(preparing)'!X47</f>
        <v>294.62831839055224</v>
      </c>
      <c r="V4">
        <f>'Yao2016(preparing)'!Y47</f>
        <v>294.45689294842822</v>
      </c>
      <c r="W4">
        <f>'Yao2016(preparing)'!AA47</f>
        <v>294.57886130730265</v>
      </c>
      <c r="X4">
        <f>'Yao2016(preparing)'!AB47</f>
        <v>294.73300062382947</v>
      </c>
      <c r="Y4">
        <f>'Yao2016(preparing)'!AC47</f>
        <v>294.71908408877823</v>
      </c>
      <c r="Z4">
        <f>'Yao2016(preparing)'!AD47</f>
        <v>294.40166457286438</v>
      </c>
      <c r="AA4">
        <f>'Yao2016(preparing)'!AE47</f>
        <v>294.37408177408201</v>
      </c>
    </row>
    <row r="5" spans="1:27">
      <c r="A5" s="42">
        <v>4</v>
      </c>
      <c r="B5" s="42" t="s">
        <v>152</v>
      </c>
      <c r="C5" t="str">
        <f>'Yao2016(preparing)'!B57</f>
        <v>K</v>
      </c>
      <c r="D5">
        <f>'Yao2016(preparing)'!C57</f>
        <v>294.04000000000002</v>
      </c>
      <c r="E5">
        <f>'Yao2016(preparing)'!D57</f>
        <v>294.45</v>
      </c>
      <c r="F5">
        <f>'Yao2016(preparing)'!E57</f>
        <v>294.75</v>
      </c>
      <c r="G5">
        <f>'Yao2016(preparing)'!F57</f>
        <v>295.33999999999997</v>
      </c>
      <c r="H5">
        <f>'Yao2016(preparing)'!G57</f>
        <v>296.47000000000003</v>
      </c>
      <c r="I5">
        <f>'Yao2016(preparing)'!I57</f>
        <v>299.95</v>
      </c>
      <c r="J5">
        <f>'Yao2016(preparing)'!J57</f>
        <v>304.49</v>
      </c>
      <c r="K5">
        <f>'Yao2016(preparing)'!K57</f>
        <v>309.03847999999999</v>
      </c>
      <c r="L5">
        <f>'Yao2016(preparing)'!L57</f>
        <v>313.75484999999998</v>
      </c>
      <c r="M5">
        <f>'Yao2016(preparing)'!M57</f>
        <v>295.32715000000002</v>
      </c>
      <c r="N5">
        <f>'Yao2016(preparing)'!N57</f>
        <v>295.35687000000001</v>
      </c>
      <c r="O5">
        <f>'Yao2016(preparing)'!P57</f>
        <v>295.41543999999999</v>
      </c>
      <c r="P5">
        <f>'Yao2016(preparing)'!Q57</f>
        <v>295.55029000000002</v>
      </c>
      <c r="Q5">
        <f>'Yao2016(preparing)'!R57</f>
        <v>296.52123999999998</v>
      </c>
      <c r="R5">
        <f>'Yao2016(preparing)'!S57</f>
        <v>295.77208999999999</v>
      </c>
      <c r="S5">
        <f>'Yao2016(preparing)'!U57</f>
        <v>294.94614000000001</v>
      </c>
      <c r="T5">
        <f>'Yao2016(preparing)'!V57</f>
        <v>294.66298999999998</v>
      </c>
      <c r="U5">
        <f>'Yao2016(preparing)'!X57</f>
        <v>294.798</v>
      </c>
      <c r="V5">
        <f>'Yao2016(preparing)'!Y57</f>
        <v>294.93329999999997</v>
      </c>
      <c r="W5">
        <f>'Yao2016(preparing)'!AA57</f>
        <v>295.42500000000001</v>
      </c>
      <c r="X5">
        <f>'Yao2016(preparing)'!AB57</f>
        <v>295.40800000000002</v>
      </c>
      <c r="Y5">
        <f>'Yao2016(preparing)'!AC57</f>
        <v>295.36700000000002</v>
      </c>
      <c r="Z5">
        <f>'Yao2016(preparing)'!AD57</f>
        <v>295.315</v>
      </c>
      <c r="AA5">
        <f>'Yao2016(preparing)'!AE57</f>
        <v>295.26</v>
      </c>
    </row>
    <row r="6" spans="1:27">
      <c r="A6" s="42">
        <v>5</v>
      </c>
      <c r="B6" s="42" t="s">
        <v>149</v>
      </c>
      <c r="C6" t="str">
        <f>'Yao2016(preparing)'!B48</f>
        <v>kg/m2-s</v>
      </c>
      <c r="D6">
        <f>'Yao2016(preparing)'!C48</f>
        <v>1.0791274666666665E-3</v>
      </c>
      <c r="E6">
        <f>'Yao2016(preparing)'!D48</f>
        <v>1.5744281599999997E-3</v>
      </c>
      <c r="F6">
        <f>'Yao2016(preparing)'!E48</f>
        <v>1.9465498666666667E-3</v>
      </c>
      <c r="G6">
        <f>'Yao2016(preparing)'!F48</f>
        <v>2.9802457599999999E-3</v>
      </c>
      <c r="H6">
        <f>'Yao2016(preparing)'!G48</f>
        <v>3.9183833599999995E-3</v>
      </c>
      <c r="I6">
        <f>'Yao2016(preparing)'!I48</f>
        <v>2.5700625066666666E-3</v>
      </c>
      <c r="J6">
        <f>'Yao2016(preparing)'!J48</f>
        <v>2.1235246933333334E-3</v>
      </c>
      <c r="K6">
        <f>'Yao2016(preparing)'!K48</f>
        <v>1.5609421866666663E-3</v>
      </c>
      <c r="L6">
        <f>'Yao2016(preparing)'!L48</f>
        <v>9.935384533333333E-4</v>
      </c>
      <c r="M6">
        <f>'Yao2016(preparing)'!M48</f>
        <v>2.9378886400000001E-3</v>
      </c>
      <c r="N6">
        <f>'Yao2016(preparing)'!N48</f>
        <v>2.8567750399999996E-3</v>
      </c>
      <c r="O6">
        <f>'Yao2016(preparing)'!P48</f>
        <v>3.0446920533333329E-3</v>
      </c>
      <c r="P6">
        <f>'Yao2016(preparing)'!Q48</f>
        <v>3.1019777066666663E-3</v>
      </c>
      <c r="Q6">
        <f>'Yao2016(preparing)'!R48</f>
        <v>2.7461594666666673E-3</v>
      </c>
      <c r="R6">
        <f>'Yao2016(preparing)'!S48</f>
        <v>2.8241684266666666E-3</v>
      </c>
      <c r="S6">
        <f>'Yao2016(preparing)'!U48</f>
        <v>3.2108769066666668E-3</v>
      </c>
      <c r="T6">
        <f>'Yao2016(preparing)'!V48</f>
        <v>3.3036054400000002E-3</v>
      </c>
      <c r="U6">
        <f>'Yao2016(preparing)'!X48</f>
        <v>9.7313013333333309E-4</v>
      </c>
      <c r="V6">
        <f>'Yao2016(preparing)'!Y48</f>
        <v>1.3370305066666666E-3</v>
      </c>
      <c r="W6">
        <f>'Yao2016(preparing)'!AA48</f>
        <v>2.9802457599999999E-3</v>
      </c>
      <c r="X6">
        <f>'Yao2016(preparing)'!AB48</f>
        <v>1.8809364341085273E-3</v>
      </c>
      <c r="Y6">
        <f>'Yao2016(preparing)'!AC48</f>
        <v>1.5352870399999998E-3</v>
      </c>
      <c r="Z6">
        <f>'Yao2016(preparing)'!AD48</f>
        <v>8.5928448000000001E-4</v>
      </c>
      <c r="AA6">
        <f>'Yao2016(preparing)'!AE48</f>
        <v>8.9403596384000003E-5</v>
      </c>
    </row>
    <row r="7" spans="1:27">
      <c r="A7" s="42">
        <v>6</v>
      </c>
      <c r="B7" s="42" t="s">
        <v>150</v>
      </c>
      <c r="C7" t="str">
        <f>'Yao2016(preparing)'!B59</f>
        <v>kg/m2-s</v>
      </c>
      <c r="D7">
        <f>'Yao2016(preparing)'!C59</f>
        <v>1.0750550000000001E-3</v>
      </c>
      <c r="E7">
        <f>'Yao2016(preparing)'!D59</f>
        <v>1.5754600000000001E-3</v>
      </c>
      <c r="F7">
        <f>'Yao2016(preparing)'!E59</f>
        <v>1.937825E-3</v>
      </c>
      <c r="G7">
        <f>'Yao2016(preparing)'!F59</f>
        <v>2.887485E-3</v>
      </c>
      <c r="H7">
        <f>'Yao2016(preparing)'!G59</f>
        <v>3.8479500000000002E-3</v>
      </c>
      <c r="I7">
        <f>'Yao2016(preparing)'!I59</f>
        <v>2.51885E-3</v>
      </c>
      <c r="J7">
        <f>'Yao2016(preparing)'!J59</f>
        <v>2.0999450000000002E-3</v>
      </c>
      <c r="K7">
        <f>'Yao2016(preparing)'!K59</f>
        <v>1.4890823500000002E-3</v>
      </c>
      <c r="L7">
        <f>'Yao2016(preparing)'!L59</f>
        <v>1.0682052500000001E-3</v>
      </c>
      <c r="M7">
        <f>'Yao2016(preparing)'!M59</f>
        <v>2.8806469500000003E-3</v>
      </c>
      <c r="N7">
        <f>'Yao2016(preparing)'!N59</f>
        <v>2.8756708999999997E-3</v>
      </c>
      <c r="O7">
        <f>'Yao2016(preparing)'!P59</f>
        <v>3.2439937500000002E-3</v>
      </c>
      <c r="P7">
        <f>'Yao2016(preparing)'!Q59</f>
        <v>3.3747971000000002E-3</v>
      </c>
      <c r="Q7">
        <f>'Yao2016(preparing)'!R59</f>
        <v>2.8682699E-3</v>
      </c>
      <c r="R7">
        <f>'Yao2016(preparing)'!S59</f>
        <v>3.0008037E-3</v>
      </c>
      <c r="S7">
        <f>'Yao2016(preparing)'!U59</f>
        <v>3.13639785E-3</v>
      </c>
      <c r="T7">
        <f>'Yao2016(preparing)'!V59</f>
        <v>3.1832208500000001E-3</v>
      </c>
      <c r="U7">
        <f>'Yao2016(preparing)'!X59</f>
        <v>9.6570500000000008E-4</v>
      </c>
      <c r="V7">
        <f>'Yao2016(preparing)'!Y59</f>
        <v>1.3398850000000001E-3</v>
      </c>
      <c r="W7">
        <f>'Yao2016(preparing)'!AA59</f>
        <v>3.0614349999999999E-3</v>
      </c>
      <c r="X7">
        <f>'Yao2016(preparing)'!AB59</f>
        <v>2.9427200000000002E-3</v>
      </c>
      <c r="Y7">
        <f>'Yao2016(preparing)'!AC59</f>
        <v>2.7862800000000004E-3</v>
      </c>
      <c r="Z7">
        <f>'Yao2016(preparing)'!AD59</f>
        <v>2.6076800000000002E-3</v>
      </c>
      <c r="AA7">
        <f>'Yao2016(preparing)'!AE59</f>
        <v>2.4034E-3</v>
      </c>
    </row>
    <row r="9" spans="1:27" ht="16.5">
      <c r="A9" s="1" t="s">
        <v>155</v>
      </c>
    </row>
    <row r="10" spans="1:27">
      <c r="B10" s="42">
        <v>1</v>
      </c>
      <c r="C10" s="42">
        <v>2</v>
      </c>
      <c r="D10" s="42">
        <v>3</v>
      </c>
      <c r="E10" s="42">
        <v>4</v>
      </c>
      <c r="F10">
        <v>5</v>
      </c>
      <c r="G10">
        <v>6</v>
      </c>
    </row>
    <row r="11" spans="1:27">
      <c r="A11">
        <v>1</v>
      </c>
      <c r="B11" t="str">
        <f t="array" ref="B11:G36">TRANSPOSE(B2:AA7)</f>
        <v>T0O_EXP</v>
      </c>
      <c r="C11" t="str">
        <v>T0O_SIM</v>
      </c>
      <c r="D11" t="str">
        <v>T1O_EXP</v>
      </c>
      <c r="E11" t="str">
        <v>T1O_SIM</v>
      </c>
      <c r="F11" t="str">
        <v>JM_EXP</v>
      </c>
      <c r="G11" t="str">
        <v>JM_SIM</v>
      </c>
    </row>
    <row r="12" spans="1:27">
      <c r="A12">
        <v>2</v>
      </c>
      <c r="B12" t="str">
        <v>K</v>
      </c>
      <c r="C12" t="str">
        <v>K</v>
      </c>
      <c r="D12" t="str">
        <v>K</v>
      </c>
      <c r="E12" t="str">
        <v>K</v>
      </c>
      <c r="F12" t="str">
        <v>kg/m2-s</v>
      </c>
      <c r="G12" t="str">
        <v>kg/m2-s</v>
      </c>
    </row>
    <row r="13" spans="1:27">
      <c r="A13" s="42">
        <v>3</v>
      </c>
      <c r="B13">
        <v>305.35915961980555</v>
      </c>
      <c r="C13">
        <v>305.07</v>
      </c>
      <c r="D13">
        <v>294.29682689366177</v>
      </c>
      <c r="E13">
        <v>294.04000000000002</v>
      </c>
      <c r="F13">
        <v>1.0791274666666665E-3</v>
      </c>
      <c r="G13">
        <v>1.0750550000000001E-3</v>
      </c>
    </row>
    <row r="14" spans="1:27">
      <c r="A14" s="42">
        <v>4</v>
      </c>
      <c r="B14">
        <v>309.79188253593401</v>
      </c>
      <c r="C14">
        <v>309.42</v>
      </c>
      <c r="D14">
        <v>294.21664608339694</v>
      </c>
      <c r="E14">
        <v>294.45</v>
      </c>
      <c r="F14">
        <v>1.5744281599999997E-3</v>
      </c>
      <c r="G14">
        <v>1.5754600000000001E-3</v>
      </c>
    </row>
    <row r="15" spans="1:27">
      <c r="A15" s="42">
        <v>5</v>
      </c>
      <c r="B15">
        <v>312.35623159324001</v>
      </c>
      <c r="C15">
        <v>312.06</v>
      </c>
      <c r="D15">
        <v>294.35225488233681</v>
      </c>
      <c r="E15">
        <v>294.75</v>
      </c>
      <c r="F15">
        <v>1.9465498666666667E-3</v>
      </c>
      <c r="G15">
        <v>1.937825E-3</v>
      </c>
    </row>
    <row r="16" spans="1:27">
      <c r="A16" s="42">
        <v>6</v>
      </c>
      <c r="B16">
        <v>318.26500700465544</v>
      </c>
      <c r="C16">
        <v>317.77999999999997</v>
      </c>
      <c r="D16">
        <v>294.57886130730265</v>
      </c>
      <c r="E16">
        <v>295.33999999999997</v>
      </c>
      <c r="F16">
        <v>2.9802457599999999E-3</v>
      </c>
      <c r="G16">
        <v>2.887485E-3</v>
      </c>
    </row>
    <row r="17" spans="1:7">
      <c r="A17" s="42">
        <v>7</v>
      </c>
      <c r="B17">
        <v>323.63862859035953</v>
      </c>
      <c r="C17">
        <v>322.74</v>
      </c>
      <c r="D17">
        <v>295.14325006184663</v>
      </c>
      <c r="E17">
        <v>296.47000000000003</v>
      </c>
      <c r="F17">
        <v>3.9183833599999995E-3</v>
      </c>
      <c r="G17">
        <v>3.8479500000000002E-3</v>
      </c>
    </row>
    <row r="18" spans="1:7">
      <c r="A18" s="42">
        <v>8</v>
      </c>
      <c r="B18">
        <v>318.30270436408495</v>
      </c>
      <c r="C18">
        <v>318.13</v>
      </c>
      <c r="D18">
        <v>299.22168943939931</v>
      </c>
      <c r="E18">
        <v>299.95</v>
      </c>
      <c r="F18">
        <v>2.5700625066666666E-3</v>
      </c>
      <c r="G18">
        <v>2.51885E-3</v>
      </c>
    </row>
    <row r="19" spans="1:7">
      <c r="A19" s="42">
        <v>9</v>
      </c>
      <c r="B19">
        <v>318.4829372796284</v>
      </c>
      <c r="C19">
        <v>318.58</v>
      </c>
      <c r="D19">
        <v>303.91148736331343</v>
      </c>
      <c r="E19">
        <v>304.49</v>
      </c>
      <c r="F19">
        <v>2.1235246933333334E-3</v>
      </c>
      <c r="G19">
        <v>2.0999450000000002E-3</v>
      </c>
    </row>
    <row r="20" spans="1:7">
      <c r="A20" s="42">
        <v>10</v>
      </c>
      <c r="B20">
        <v>318.80301197436296</v>
      </c>
      <c r="C20">
        <v>319.00351000000001</v>
      </c>
      <c r="D20">
        <v>308.65229050926581</v>
      </c>
      <c r="E20">
        <v>309.03847999999999</v>
      </c>
      <c r="F20">
        <v>1.5609421866666663E-3</v>
      </c>
      <c r="G20">
        <v>1.4890823500000002E-3</v>
      </c>
    </row>
    <row r="21" spans="1:7">
      <c r="A21" s="42">
        <v>11</v>
      </c>
      <c r="B21">
        <v>319.01289994963463</v>
      </c>
      <c r="C21">
        <v>319.28005999999999</v>
      </c>
      <c r="D21">
        <v>313.57345483397432</v>
      </c>
      <c r="E21">
        <v>313.75484999999998</v>
      </c>
      <c r="F21">
        <v>9.935384533333333E-4</v>
      </c>
      <c r="G21">
        <v>1.0682052500000001E-3</v>
      </c>
    </row>
    <row r="22" spans="1:7">
      <c r="A22" s="42">
        <v>12</v>
      </c>
      <c r="B22">
        <v>319.56472605071929</v>
      </c>
      <c r="C22">
        <v>317.73446999999999</v>
      </c>
      <c r="D22">
        <v>294.64494411853934</v>
      </c>
      <c r="E22">
        <v>295.32715000000002</v>
      </c>
      <c r="F22">
        <v>2.9378886400000001E-3</v>
      </c>
      <c r="G22">
        <v>2.8806469500000003E-3</v>
      </c>
    </row>
    <row r="23" spans="1:7">
      <c r="A23" s="42">
        <v>13</v>
      </c>
      <c r="B23">
        <v>318.40305616471557</v>
      </c>
      <c r="C23">
        <v>317.72046</v>
      </c>
      <c r="D23">
        <v>294.66788302030187</v>
      </c>
      <c r="E23">
        <v>295.35687000000001</v>
      </c>
      <c r="F23">
        <v>2.8567750399999996E-3</v>
      </c>
      <c r="G23">
        <v>2.8756708999999997E-3</v>
      </c>
    </row>
    <row r="24" spans="1:7">
      <c r="A24" s="42">
        <v>14</v>
      </c>
      <c r="B24">
        <v>318.70412169546893</v>
      </c>
      <c r="C24">
        <v>318.26294000000001</v>
      </c>
      <c r="D24">
        <v>294.74539495317856</v>
      </c>
      <c r="E24">
        <v>295.41543999999999</v>
      </c>
      <c r="F24">
        <v>3.0446920533333329E-3</v>
      </c>
      <c r="G24">
        <v>3.2439937500000002E-3</v>
      </c>
    </row>
    <row r="25" spans="1:7">
      <c r="A25" s="42">
        <v>15</v>
      </c>
      <c r="B25">
        <v>318.81776959447166</v>
      </c>
      <c r="C25">
        <v>318.48025999999999</v>
      </c>
      <c r="D25">
        <v>294.95517646294218</v>
      </c>
      <c r="E25">
        <v>295.55029000000002</v>
      </c>
      <c r="F25">
        <v>3.1019777066666663E-3</v>
      </c>
      <c r="G25">
        <v>3.3747971000000002E-3</v>
      </c>
    </row>
    <row r="26" spans="1:7">
      <c r="A26" s="42">
        <v>16</v>
      </c>
      <c r="B26">
        <v>318.56053255624283</v>
      </c>
      <c r="C26">
        <v>318.41379000000001</v>
      </c>
      <c r="D26">
        <v>294.88340227697375</v>
      </c>
      <c r="E26">
        <v>296.52123999999998</v>
      </c>
      <c r="F26">
        <v>2.7461594666666673E-3</v>
      </c>
      <c r="G26">
        <v>2.8682699E-3</v>
      </c>
    </row>
    <row r="27" spans="1:7">
      <c r="A27" s="42">
        <v>17</v>
      </c>
      <c r="B27">
        <v>318.51664490974343</v>
      </c>
      <c r="C27">
        <v>318.17993000000001</v>
      </c>
      <c r="D27">
        <v>295.00451737531392</v>
      </c>
      <c r="E27">
        <v>295.77208999999999</v>
      </c>
      <c r="F27">
        <v>2.8241684266666666E-3</v>
      </c>
      <c r="G27">
        <v>3.0008037E-3</v>
      </c>
    </row>
    <row r="28" spans="1:7">
      <c r="A28" s="42">
        <v>18</v>
      </c>
      <c r="B28">
        <v>318.3348782464065</v>
      </c>
      <c r="C28">
        <v>317.89227</v>
      </c>
      <c r="D28">
        <v>294.62908105804513</v>
      </c>
      <c r="E28">
        <v>294.94614000000001</v>
      </c>
      <c r="F28">
        <v>3.2108769066666668E-3</v>
      </c>
      <c r="G28">
        <v>3.13639785E-3</v>
      </c>
    </row>
    <row r="29" spans="1:7">
      <c r="A29" s="42">
        <v>19</v>
      </c>
      <c r="B29">
        <v>318.29827050530861</v>
      </c>
      <c r="C29">
        <v>317.83413999999999</v>
      </c>
      <c r="D29">
        <v>294.46046760050325</v>
      </c>
      <c r="E29">
        <v>294.66298999999998</v>
      </c>
      <c r="F29">
        <v>3.3036054400000002E-3</v>
      </c>
      <c r="G29">
        <v>3.1832208500000001E-3</v>
      </c>
    </row>
    <row r="30" spans="1:7">
      <c r="A30" s="42">
        <v>20</v>
      </c>
      <c r="B30">
        <v>318.3938189793015</v>
      </c>
      <c r="C30">
        <v>318.14089999999999</v>
      </c>
      <c r="D30">
        <v>294.62831839055224</v>
      </c>
      <c r="E30">
        <v>294.798</v>
      </c>
      <c r="F30">
        <v>9.7313013333333309E-4</v>
      </c>
      <c r="G30">
        <v>9.6570500000000008E-4</v>
      </c>
    </row>
    <row r="31" spans="1:7">
      <c r="A31" s="42">
        <v>21</v>
      </c>
      <c r="B31">
        <v>318.0786832403021</v>
      </c>
      <c r="C31">
        <v>317.99880000000002</v>
      </c>
      <c r="D31">
        <v>294.45689294842822</v>
      </c>
      <c r="E31">
        <v>294.93329999999997</v>
      </c>
      <c r="F31">
        <v>1.3370305066666666E-3</v>
      </c>
      <c r="G31">
        <v>1.3398850000000001E-3</v>
      </c>
    </row>
    <row r="32" spans="1:7">
      <c r="A32" s="42">
        <v>22</v>
      </c>
      <c r="B32">
        <v>318.26500700465544</v>
      </c>
      <c r="C32">
        <v>317.47500000000002</v>
      </c>
      <c r="D32">
        <v>294.57886130730265</v>
      </c>
      <c r="E32">
        <v>295.42500000000001</v>
      </c>
      <c r="F32">
        <v>2.9802457599999999E-3</v>
      </c>
      <c r="G32">
        <v>3.0614349999999999E-3</v>
      </c>
    </row>
    <row r="33" spans="1:7">
      <c r="A33" s="42">
        <v>23</v>
      </c>
      <c r="B33">
        <v>318.58325015595727</v>
      </c>
      <c r="C33">
        <v>317.59199999999998</v>
      </c>
      <c r="D33">
        <v>294.73300062382947</v>
      </c>
      <c r="E33">
        <v>295.40800000000002</v>
      </c>
      <c r="F33">
        <v>1.8809364341085273E-3</v>
      </c>
      <c r="G33">
        <v>2.9427200000000002E-3</v>
      </c>
    </row>
    <row r="34" spans="1:7">
      <c r="A34" s="42">
        <v>24</v>
      </c>
      <c r="B34">
        <v>319.27722725851919</v>
      </c>
      <c r="C34">
        <v>317.73099999999999</v>
      </c>
      <c r="D34">
        <v>294.71908408877823</v>
      </c>
      <c r="E34">
        <v>295.36700000000002</v>
      </c>
      <c r="F34">
        <v>1.5352870399999998E-3</v>
      </c>
      <c r="G34">
        <v>2.7862800000000004E-3</v>
      </c>
    </row>
    <row r="35" spans="1:7">
      <c r="A35" s="42">
        <v>25</v>
      </c>
      <c r="B35">
        <v>318.41165201005003</v>
      </c>
      <c r="C35">
        <v>317.86700000000002</v>
      </c>
      <c r="D35">
        <v>294.40166457286438</v>
      </c>
      <c r="E35">
        <v>295.315</v>
      </c>
      <c r="F35">
        <v>8.5928448000000001E-4</v>
      </c>
      <c r="G35">
        <v>2.6076800000000002E-3</v>
      </c>
    </row>
    <row r="36" spans="1:7">
      <c r="A36" s="42">
        <v>26</v>
      </c>
      <c r="B36">
        <v>319.10031185031147</v>
      </c>
      <c r="C36">
        <v>317.99400000000003</v>
      </c>
      <c r="D36">
        <v>294.37408177408201</v>
      </c>
      <c r="E36">
        <v>295.26</v>
      </c>
      <c r="F36">
        <v>8.9403596384000003E-5</v>
      </c>
      <c r="G36">
        <v>2.4034E-3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Wang&amp;Chung2008CES</vt:lpstr>
      <vt:lpstr>Yao2016(preparing)</vt:lpstr>
      <vt:lpstr>ExpData160515</vt:lpstr>
      <vt:lpstr>ExpData161130</vt:lpstr>
      <vt:lpstr>SimRecords</vt:lpstr>
      <vt:lpstr>Origin exporter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2016-10-12T02:17:31Z</cp:lastPrinted>
  <dcterms:created xsi:type="dcterms:W3CDTF">2016-01-11T08:35:13Z</dcterms:created>
  <dcterms:modified xsi:type="dcterms:W3CDTF">2017-03-14T03:32:53Z</dcterms:modified>
</cp:coreProperties>
</file>