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Paper_Textual_Conflict" sheetId="2" r:id="rId5"/>
    <sheet state="visible" name="20+_lines" sheetId="3" r:id="rId6"/>
    <sheet state="visible" name="Summary" sheetId="4" r:id="rId7"/>
    <sheet state="visible" name="Resolution_Type" sheetId="5" r:id="rId8"/>
    <sheet state="visible" name="Conflict_Type" sheetId="6" r:id="rId9"/>
  </sheets>
  <definedNames>
    <definedName hidden="1" localSheetId="1" name="Z_B9BFD33D_91FD_4C4A_8AF8_142140D455F0_.wvu.FilterData">Paper_Textual_Conflict!$B$1:$BA$1161</definedName>
    <definedName hidden="1" localSheetId="1" name="Z_9C7A1747_D4B1_4FC9_9918_18A6A1196854_.wvu.FilterData">Paper_Textual_Conflict!$B$1:$BA$1161</definedName>
    <definedName hidden="1" localSheetId="1" name="Z_58E59B7A_BFB4_4CA3_9012_E328AB87EDCB_.wvu.FilterData">Paper_Textual_Conflict!$B$1:$AM$194</definedName>
    <definedName hidden="1" localSheetId="1" name="Z_D0C99C2D_3167_4BA8_9272_7BBA603B0914_.wvu.FilterData">Paper_Textual_Conflict!$B$1:$BA$1161</definedName>
    <definedName hidden="1" localSheetId="1" name="Z_601FF2AF_5E8D_44D5_B582_FE38F49FF5ED_.wvu.FilterData">Paper_Textual_Conflict!$B$1:$BA$1161</definedName>
    <definedName hidden="1" localSheetId="1" name="Z_2CC92319_706A_43A9_AC5E_DC956E3A8FED_.wvu.FilterData">Paper_Textual_Conflict!$B$1:$AM$192</definedName>
    <definedName hidden="1" localSheetId="1" name="Z_B6C0A570_7F3D_4F3F_89D9_F582C0418AAC_.wvu.FilterData">Paper_Textual_Conflict!$B$1:$BA$1161</definedName>
  </definedNames>
  <calcPr/>
  <customWorkbookViews>
    <customWorkbookView activeSheetId="0" maximized="1" windowHeight="0" windowWidth="0" guid="{9C7A1747-D4B1-4FC9-9918-18A6A1196854}" name="Filter 6"/>
    <customWorkbookView activeSheetId="0" maximized="1" windowHeight="0" windowWidth="0" guid="{2CC92319-706A-43A9-AC5E-DC956E3A8FED}" name="Filter 7"/>
    <customWorkbookView activeSheetId="0" maximized="1" windowHeight="0" windowWidth="0" guid="{B9BFD33D-91FD-4C4A-8AF8-142140D455F0}" name="Filter 4"/>
    <customWorkbookView activeSheetId="0" maximized="1" windowHeight="0" windowWidth="0" guid="{58E59B7A-BFB4-4CA3-9012-E328AB87EDCB}" name="Filter 5"/>
    <customWorkbookView activeSheetId="0" maximized="1" windowHeight="0" windowWidth="0" guid="{601FF2AF-5E8D-44D5-B582-FE38F49FF5ED}" name="Filter 2"/>
    <customWorkbookView activeSheetId="0" maximized="1" windowHeight="0" windowWidth="0" guid="{B6C0A570-7F3D-4F3F-89D9-F582C0418AAC}" name="Filter 3"/>
    <customWorkbookView activeSheetId="0" maximized="1" windowHeight="0" windowWidth="0" guid="{D0C99C2D-3167-4BA8-9272-7BBA603B0914}" name="Filter 1"/>
  </customWorkbookViews>
</workbook>
</file>

<file path=xl/sharedStrings.xml><?xml version="1.0" encoding="utf-8"?>
<sst xmlns="http://schemas.openxmlformats.org/spreadsheetml/2006/main" count="6514" uniqueCount="2962">
  <si>
    <t>"Textual_Conflict":
180 projects, each project contain one commit, there are 180 merge scenarios in total.
Terms:
left: local version (l) in paper
right: remote version (r) in paper
base: base version (b) in paper
commit: developers’ merged version (m) in paper
File Name: conflicting file path in source code folder
Valid Conflict: True/False for overlapping edits
LEFT/RIGHT/MERGE/CHILD VERSION CODE SNIPPET: code snippet of different versions, MERGE refer to automatically merged version (Am) in paper
Category: edit types by left and right branch
Child Strategy: developers' action to resolve the conflict
Child Resolution Pattern: developers' resolution summarized pattern. Please note, 'L' means 'KL' in paper. 'L+R+M' means 'KL+KR+ME' in paper.
File Type: whether conflicting file is a java file
Code Location: where the conflict occurs
FSTMerge/JDime/IntelliMerge/AutoMerge_Useability: whether tool can take inputs and produce outputs normally without throwing errors, related to Tool Applicability (A) in paper
FSTMerge/JDime/IntelliMerge/AutoMerge_Desirability_Same_Developper: True/False for tool to output resolution same with developers' resolution, related to Resolution Desirability (D) in paper
FSTMerge/JDime/IntelliMerge/AutoMerge CODE SNIPPET: code snippet of different tools. 'N/A' mean tool is not usable in this merge scenario.
FSTMerge/JDime/IntelliMerge/AutoMerge Strategy: tools' action to resolve the conflict. "still conflict" mean the tool output still have “&lt;&lt;&lt;&lt;&lt;&lt;&lt;” “=======” and “&gt;&gt;&gt;&gt;&gt;&gt;&gt;” to mark conflicting area.
FSTMerge/JDime/IntelliMerge/AutoMerge Resolution Pattern: tools' resolution summarized pattern. Please note, 'L' means 'KL' in paper. 'L+R+M' means 'KL+KR+ME' in paper.
"Resolution_Type":
Line number match Textual_Conflict.
Count different types of Child Resolution Pattern in Textual_Conflict.
Regular Expression remove redundant notes.
Column D to J check whether a merge scenario match the corresponding child resolution pattern
"Conflict_Type":
Line number match Textual_Conflict.
Count different conflict category in Textual_Conflict.
Regular Expression remove redundant notes.
Column H to AV check whether a merge scenario match the corresponding conflict category.
"Summary":
Count various conflict type pattern.
Count Tool Usability of tools.
Count Detection Precision of tools.
Count Resolution Desirability of tools.
Line 35 to 43
Column B to D count the numbers of Child Resolution Pattern and count whether the conflict is a valid(overlapping edits).
Column E count the number of FSTMerge can handle among the total cases in column B.
Column F count the number of FSTMerge can handle and output same resolution with developers’ among the total case in column E.
Column G count the number of FSTMerge can handle and output different resolution with developers’ among the total case in column E.
Similar with other columns.</t>
  </si>
  <si>
    <t>URL</t>
  </si>
  <si>
    <t>Project</t>
  </si>
  <si>
    <t>Commit</t>
  </si>
  <si>
    <t>LEFT</t>
  </si>
  <si>
    <t>RIGHT</t>
  </si>
  <si>
    <t>BASE</t>
  </si>
  <si>
    <t>File Name</t>
  </si>
  <si>
    <t>Valid Conflict</t>
  </si>
  <si>
    <t>LEFT VERSION
CODE SNIPPET</t>
  </si>
  <si>
    <t>RIGHT VERSION
CODE SNIPPET</t>
  </si>
  <si>
    <t>MERGED VERSION
CODE SNIPPET</t>
  </si>
  <si>
    <t>CHILD VERSION
CODE SNIPPET</t>
  </si>
  <si>
    <t xml:space="preserve">Category
I: Insert
D: Delete
U: Update
U + U: means both versions update some code, but the edits do not overlap
U vs. U: means both versions update at least one same line </t>
  </si>
  <si>
    <t>Child Strategy</t>
  </si>
  <si>
    <t>Child Resolution Pattern</t>
  </si>
  <si>
    <t>Renaming</t>
  </si>
  <si>
    <t>File Type</t>
  </si>
  <si>
    <t>Code Location</t>
  </si>
  <si>
    <t>Subset</t>
  </si>
  <si>
    <t>FSTMerge_Applicability</t>
  </si>
  <si>
    <t>FSTMerge_Desirability_Same_Developper</t>
  </si>
  <si>
    <t>FSTMerge
CODE SNIPPET</t>
  </si>
  <si>
    <t>FSTMerge Strategy</t>
  </si>
  <si>
    <t>FSTMerge Resolution Pattern</t>
  </si>
  <si>
    <t>JDime_Applicability</t>
  </si>
  <si>
    <t>JDime_Desirability_Same_Developper</t>
  </si>
  <si>
    <t>JDime
CODE SNIPPET</t>
  </si>
  <si>
    <t>JDime Strategy</t>
  </si>
  <si>
    <t>JDime Resolution Strategy</t>
  </si>
  <si>
    <t>IntelliMerge_Applicability</t>
  </si>
  <si>
    <t>IntelliMerge_Desirability_Same_Developper</t>
  </si>
  <si>
    <t>IntelliMerge
CODE SNIPPET</t>
  </si>
  <si>
    <t>IntelliMerge Strategy</t>
  </si>
  <si>
    <t>IntelliMerge Resolution Pattern</t>
  </si>
  <si>
    <t>AutoMerge_Applicability</t>
  </si>
  <si>
    <t>AutoMerge_Desirability_Same_Developper</t>
  </si>
  <si>
    <t>AutoMerge
CODE SNIPPET</t>
  </si>
  <si>
    <t>AutoMerge Strategy</t>
  </si>
  <si>
    <t>AutoMerge Resolution Pattern</t>
  </si>
  <si>
    <t>KDIFF3_Applicability</t>
  </si>
  <si>
    <t>KDIFF3_Desirability_Same_Developper</t>
  </si>
  <si>
    <t>KDIFF3
CODE SNIPPET</t>
  </si>
  <si>
    <t>KDIFF3 Strategy</t>
  </si>
  <si>
    <t>KDIFF3 Resolution Pattern</t>
  </si>
  <si>
    <t>Additional Note</t>
  </si>
  <si>
    <t>https://github.com/spring-projects/spring-boot</t>
  </si>
  <si>
    <t>spring-boot</t>
  </si>
  <si>
    <t>94dd289b04ee228fdc2a0cffe3801144cd1dcdfb</t>
  </si>
  <si>
    <t>23130e114008bcb23370dbec9c5e0c10f02bcddc</t>
  </si>
  <si>
    <t>d75b855852ab05153471f5271dc0967160907f9c</t>
  </si>
  <si>
    <t>8aaba58ccab8d3f07221e0ba682dc597a0653882</t>
  </si>
  <si>
    <t>spring-boot-project/spring-boot-dependencies/pom.xml</t>
  </si>
  <si>
    <t xml:space="preserve">
-                &lt;mariadb.version&gt;2.3.0&lt;/mariadb.version&gt;
-                &lt;micrometer.version&gt;1.1.7&lt;/micrometer.version&gt;
+                &lt;mariadb.version&gt;2.4.4&lt;/mariadb.version&gt;
+                &lt;micrometer.version&gt;1.3.0&lt;/micrometer.version&gt;</t>
  </si>
  <si>
    <t xml:space="preserve">
                 &lt;mariadb.version&gt;2.3.0&lt;/mariadb.version&gt;
-                &lt;micrometer.version&gt;1.1.7&lt;/micrometer.version&gt;
+                &lt;micrometer.version&gt;1.1.8&lt;/micrometer.version&gt;</t>
  </si>
  <si>
    <t xml:space="preserve">
&lt;&lt;&lt;&lt;&lt;&lt;&lt; HEAD
                &lt;mariadb.version&gt;2.4.4&lt;/mariadb.version&gt;
                &lt;micrometer.version&gt;1.3.0&lt;/micrometer.version&gt;
=======
                &lt;mariadb.version&gt;2.3.0&lt;/mariadb.version&gt;
                &lt;micrometer.version&gt;1.1.8&lt;/micrometer.version&gt;
&gt;&gt;&gt;&gt;&gt;&gt;&gt; d75b855852ab05153471f5271dc0967160907f9c</t>
  </si>
  <si>
    <t>U vs. U (version no) L &gt; R verseion</t>
  </si>
  <si>
    <t>only Left</t>
  </si>
  <si>
    <t>L</t>
  </si>
  <si>
    <t>Non-Java</t>
  </si>
  <si>
    <t xml:space="preserve">
      &lt;mariadb.version&gt;2.4.4&lt;/mariadb.version&gt;
      &lt;micrometer.version&gt;1.3.0&lt;/micrometer.version&gt;</t>
  </si>
  <si>
    <t>take left but change format</t>
  </si>
  <si>
    <t>L+M</t>
  </si>
  <si>
    <t>N/A</t>
  </si>
  <si>
    <t xml:space="preserve">
&lt;&lt;&lt;&lt;&lt;&lt;&lt; ../spring-boot/94dd289b04ee228fdc2a0cffe3801144cd1dcdfb/base/spring-boot-project/spring-boot-dependencies/pom.xml
		&lt;mariadb.version&gt;2.3.0&lt;/mariadb.version&gt;
		&lt;micrometer.version&gt;1.1.7&lt;/micrometer.version&gt;
||||||| ../spring-boot/94dd289b04ee228fdc2a0cffe3801144cd1dcdfb/left/spring-boot-project/spring-boot-dependencies/pom.xml
		&lt;mariadb.version&gt;2.4.4&lt;/mariadb.version&gt;
		&lt;micrometer.version&gt;1.3.0&lt;/micrometer.version&gt;
=======
		&lt;mariadb.version&gt;2.3.0&lt;/mariadb.version&gt;
		&lt;micrometer.version&gt;1.1.8&lt;/micrometer.version&gt;
&gt;&gt;&gt;&gt;&gt;&gt;&gt; ../spring-boot/94dd289b04ee228fdc2a0cffe3801144cd1dcdfb/right/spring-boot-project/spring-boot-dependencies/pom.xml</t>
  </si>
  <si>
    <t>still conflict</t>
  </si>
  <si>
    <t>https://github.com/ReactiveX/RxJava</t>
  </si>
  <si>
    <t>RxJava</t>
  </si>
  <si>
    <t>45c9dc85337f4d4378dd964fddbf18f284b73e30</t>
  </si>
  <si>
    <t>21b67470953b4eed29a8463275a6ec80b37ffde2</t>
  </si>
  <si>
    <t>e679dba0a4f06e8f9df08600b637638e033b73ab</t>
  </si>
  <si>
    <t>4e0ce47c7019855896e00b059900ad4b7242d3f7</t>
  </si>
  <si>
    <t>rxjava-core/src/main/java/rx/Observable.java</t>
  </si>
  <si>
    <t xml:space="preserve">
-import rx.operators.OperationAll;
-import rx.operators.OperationAny;
 import rx.operators.OperationAsObservable;
…
+import rx.operators.OperatorAll;
 import rx.operators.OperatorAmb;
+import rx.operators.OperatorAny;</t>
  </si>
  <si>
    <t xml:space="preserve">
-import rx.operators.OperationAsObservable;
+import rx.operators.OperatorAsObservable;</t>
  </si>
  <si>
    <t xml:space="preserve">
&lt;&lt;&lt;&lt;&lt;&lt;&lt; HEAD
import rx.operators.OperationAsObservable;
=======
import rx.operators.OperationAll;
import rx.operators.OperationAny;
import rx.operators.OperatorAsObservable;
&gt;&gt;&gt;&gt;&gt;&gt;&gt; e679dba0a4f06e8f9df08600b637638e033b73ab</t>
  </si>
  <si>
    <t xml:space="preserve">
-import rx.operators.OperationAll;
-import rx.operators.OperationAny;
-import rx.operators.OperationAsObservable;
…
+import rx.operators.OperatorAll;
 import rx.operators.OperatorAmb;
+import rx.operators.OperatorAny;
+import rx.operators.OperatorAsObservable;</t>
  </si>
  <si>
    <t>D + U (import)
Origin(U + U)</t>
  </si>
  <si>
    <t>accept both sides and reordering import</t>
  </si>
  <si>
    <t>L+R+M</t>
  </si>
  <si>
    <t>Java</t>
  </si>
  <si>
    <t>Import</t>
  </si>
  <si>
    <t xml:space="preserve">import rx.operators.OperatorAsObservable;
…
import rx.operators.OperationAsObservable;
import rx.operators.OperatorAll;
import rx.operators.OperatorAny;
</t>
  </si>
  <si>
    <t>keep both sides but keep the line removed by right</t>
  </si>
  <si>
    <t xml:space="preserve">import rx.operators.OperatorAsObservable;
…
import rx.operators.OperatorAll;
…
import rx.operators.OperatorAny;
</t>
  </si>
  <si>
    <t>inherit both changes from left and right</t>
  </si>
  <si>
    <t>L+R</t>
  </si>
  <si>
    <t>import rx.operators.OperationAll;
import rx.operators.OperationAny;
import rx.operators.OperatorAsObservable;
…
import rx.operators.OperatorAll;
…
import rx.operators.OperatorAny;</t>
  </si>
  <si>
    <t>keep both sides but keep the line removed by left</t>
  </si>
  <si>
    <t>import rx.operators.OperatorAsObservable;
…
import rx.operators.OperatorAll;
…
import rx.operators.OperatorAny;</t>
  </si>
  <si>
    <t xml:space="preserve">
import rx.operators.OperatorAsObservable;
…
import rx.operators.OperatorAll;
…
import rx.operators.OperatorAny;</t>
  </si>
  <si>
    <t>https://github.com/spring-projects/spring-framework</t>
  </si>
  <si>
    <t>spring-framework</t>
  </si>
  <si>
    <t>ad497c259ac885c2050967ad3bc99d1bd59e3b19</t>
  </si>
  <si>
    <t>29d021ae3ce11dacd0793f08524651a23468a06d</t>
  </si>
  <si>
    <t>42fda0ba15deaacb73bf540ceebffff4575ec49e</t>
  </si>
  <si>
    <t>42fc4a35d59a37131bfe15d029738ab25f358241</t>
  </si>
  <si>
    <t>build.gradle</t>
  </si>
  <si>
    <t xml:space="preserve">
         jettyVersion         = "9.4.15.v20190215"
-        junit5Version        = "5.3.2"
-        kotlinVersion        = "1.2.71"
+        junit5Version        = "5.4.2"
+        kotlinVersion        = "1.3.30"
         log4jVersion         = "2.11.2"
         nettyVersion         = "4.1.34.Final"
-        reactorVersion       = "Californium-BUILD-SNAPSHOT"
+        reactorVersion       = "Dysprosium-BUILD-SNAPSHOT"</t>
  </si>
  <si>
    <t xml:space="preserve">
-        jettyVersion         = "9.4.15.v20190215"
+        jettyVersion         = "9.4.17.v20190418"
         junit5Version        = "5.3.2"
         kotlinVersion        = "1.2.71"
         log4jVersion         = "2.11.2"
-        nettyVersion         = "4.1.34.Final"
+        nettyVersion         = "4.1.35.Final"</t>
  </si>
  <si>
    <t xml:space="preserve">
&lt;&lt;&lt;&lt;&lt;&lt;&lt; HEAD
        jettyVersion         = "9.4.15.v20190215"
        junit5Version        = "5.4.2"
        kotlinVersion        = "1.3.30"
        log4jVersion         = "2.11.2"
        nettyVersion         = "4.1.34.Final"
        reactorVersion       = "Dysprosium-BUILD-SNAPSHOT"
=======
        jettyVersion         = "9.4.17.v20190418"
        junit5Version        = "5.3.2"
        kotlinVersion        = "1.2.71"
        log4jVersion         = "2.11.2"
        nettyVersion         = "4.1.35.Final"
        reactorVersion       = "Californium-BUILD-SNAPSHOT"
&gt;&gt;&gt;&gt;&gt;&gt;&gt; 42fda0ba15deaacb73bf540ceebffff4575ec49e</t>
  </si>
  <si>
    <t xml:space="preserve">
-        jettyVersion         = "9.4.15.v20190215"
-        junit5Version        = "5.3.2"
-        kotlinVersion        = "1.2.71"
+        jettyVersion         = "9.4.17.v20190418"
+        junit5Version        = "5.4.2"
+        kotlinVersion        = "1.3.30"
         log4jVersion         = "2.11.2"
-        nettyVersion         = "4.1.34.Final"
-        reactorVersion       = "Californium-BUILD-SNAPSHOT"
+        nettyVersion         = "4.1.35.Final"
+        reactorVersion       = "Dysprosium-BUILD-SNAPSHOT"</t>
  </si>
  <si>
    <t>U + U (version no.)</t>
  </si>
  <si>
    <t>accept both sides</t>
  </si>
  <si>
    <t>generate nothing</t>
  </si>
  <si>
    <t xml:space="preserve">
	jettyVersion         = "9.4.17.v20190418"
	junit5Version        = "5.4.2"
	kotlinVersion        = "1.3.30"
	log4jVersion         = "2.11.2"
	nettyVersion         = "4.1.35.Final"
	reactorVersion       = "Dysprosium-BUILD-SNAPSHOT"</t>
  </si>
  <si>
    <t>https://github.com/square/retrofit</t>
  </si>
  <si>
    <t>retrofit</t>
  </si>
  <si>
    <t>18cb07d47f5c4b7fc7c814b0fa5b34abb1ae7f7d</t>
  </si>
  <si>
    <t>d665e56649a4b43128714c2bdbe83b9c1d037f73</t>
  </si>
  <si>
    <t>bf94f532f574c69871dc0e139e2b03b3e3f410fc</t>
  </si>
  <si>
    <t>4f3798e6e8dfa09d5327f72f13d31a16680ed50a</t>
  </si>
  <si>
    <t>retrofit/src/main/java/retrofit/http/RequestBuilder.java</t>
  </si>
  <si>
    <t xml:space="preserve">
@@ -160,7 +160,7 @@ final class RequestBuilder {
         for (int i = 0; i &lt; requestFormPair.length; i++) {
           String name = requestFormPair[i];
           if (name != null) {
-            body.addPair(name, String.valueOf(args[i]));
+            body.addField(name, String.valueOf(args[i]));
           }
         }
         return body;</t>
  </si>
  <si>
    <t xml:space="preserve">
--- a/retrofit/src/main/java/retrofit/http/RequestBuilder.java
+++ /dev/null
</t>
  </si>
  <si>
    <t xml:space="preserve">
CONFLICT (modify/delete): retrofit/src/main/java/retrofit/http/RequestBuilder.java deleted in bf94f532f574c69871dc0e139e2b03b3e3f410fc and modified in HEAD. Version HEAD of retrofit/src/main/java/retrofit/http/RequestBuilder.java left in tree.</t>
  </si>
  <si>
    <t xml:space="preserve">
retrofit/src/main/java/retrofit/RequestBuilder.java
@@ -160,7 +160,7 @@ final class RequestBuilder {
         for (int i = 0; i &lt; requestFormPair.length; i++) {
           String name = requestFormPair[i];
           if (name != null) {
-            body.addPair(name, String.valueOf(args[i]));
+            body.addField(name, String.valueOf(args[i]));
           }
         }</t>
  </si>
  <si>
    <t>U vs. D (file)</t>
  </si>
  <si>
    <t>File</t>
  </si>
  <si>
    <t xml:space="preserve">
/*
 * Copyright (C) 2012 Square, Inc.
 *
 * Licensed under the Apache License, Version 2.0 (the "License");
 * you may not use this file except in compliance with the License.
 *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retrofit.http; 
import java.io.UnsupportedEncodingException; 
import java.net.URLEncoder; 
import java.util.ArrayList; 
import java.util.List; 
import retrofit.http.client.Header; 
import retrofit.http.client.Request; 
import retrofit.http.mime.FormUrlEncodedTypedOutput; 
import retrofit.http.mime.MultipartTypedOutput; 
import retrofit.http.mime.TypedOutput; 
import static retrofit.http.RestMethodInfo.NO_BODY; 
/** Builds HTTP requests from Java method invocations. */
  class  RequestBuilder {
  /** Supply cached method metadata info. */
  /** Base API url. */
  /** Arguments from method invocation. */
  /** A list of custom headers. */
  /**
   * Construct a {@link Request} from the supplied information. You &lt;strong&gt;must&lt;/strong&gt; call
   * {@link #methodInfo}, {@link #apiUrl}, {@link #args}, and {@link #headers} before invoking this
   * method.
   */
  /** Create the final relative URL by performing parameter replacement. */
  /** Create the request body using the method info and invocation arguments. */
  &lt;&lt;&lt;&lt;&lt;&lt;&lt; .../FSTMerge/fstmerge_tmp1647893530143/fstmerge_var1_460444515140987225
private TypedOutput buildBody() {
    switch (methodInfo.requestType) {
      case SIMPLE: {
        int bodyIndex = methodInfo.bodyIndex;
        if (bodyIndex == NO_BODY) {
          return null;
        }
        Object body = args[bodyIndex];
        if (body instanceof TypedOutput) {
          return (TypedOutput) body;
        } else {
          return converter.toBody(body);
        }
      }
      case FORM_URL_ENCODED: {
        FormUrlEncodedTypedOutput body = new FormUrlEncodedTypedOutput();
        String[] requestFormPair = methodInfo.requestFormPair;
        for (int i = 0; i &lt; requestFormPair.length; i++) {
          String name = requestFormPair[i];
          if (name != null) {
            body.addField(name, String.valueOf(args[i]));
          }
        }
        return body;
      }
      case MULTIPART: {
        MultipartTypedOutput body = new MultipartTypedOutput();
        String[] requestMultipartPart = methodInfo.requestMultipartPart;
        for (int i = 0; i &lt; requestMultipartPart.length; i++) {
          String name = requestMultipartPart[i];
          if (name != null) {
            Object value = args[i];
            if (value instanceof TypedOutput) {
              body.addPart(name, (TypedOutput) value);
            } else {
              body.addPart(name, converter.toBody(value));
            }
          }
        }
        return body;
      }
      default:
        throw new IllegalArgumentException("Unknown request type " + methodInfo.requestType);
    }
  }
=======
&gt;&gt;&gt;&gt;&gt;&gt;&gt; .../FSTMerge/fstmerge_tmp1647893530143/fstmerge_var2_2865796431348083467
}
</t>
  </si>
  <si>
    <t xml:space="preserve">
&lt;&lt;&lt;&lt;&lt;&lt;&lt; ..retrofit/18cb07d47f5c4b7fc7c814b0fa5b34abb1ae7f7d/left/retrofit/src/main/java/retrofit/http/RequestBuilder.java
            body.addField(name, String.valueOf(args[i]));
||||||| ..retrofit/18cb07d47f5c4b7fc7c814b0fa5b34abb1ae7f7d/base/retrofit/src/main/java/retrofit/http/RequestBuilder.java
            body.addPair(name, String.valueOf(args[i]));
=======
&gt;&gt;&gt;&gt;&gt;&gt;&gt; ..retrofit/18cb07d47f5c4b7fc7c814b0fa5b34abb1ae7f7d/right/retrofit/src/main/java/retrofit/http/RequestBuilder.java</t>
  </si>
  <si>
    <t>https://github.com/apache/dubbo</t>
  </si>
  <si>
    <t>dubbo</t>
  </si>
  <si>
    <t>b7b34b6c475912c4c805b389954fd897bdd9f769</t>
  </si>
  <si>
    <t>550b40461197fbd9d1e6dc7ba5cb6ade8d7be77f</t>
  </si>
  <si>
    <t>03173f82e5f4630d28747b5b6764e0de50c8d1c2</t>
  </si>
  <si>
    <t>df348001842a61e349293f60340206e218d194d4</t>
  </si>
  <si>
    <t>dubbo-registry/dubbo-registry-api/src/main/java/org/apache/dubbo/registry/client/metadata/ExportedServicesRevisionMetadataCustomizer.java</t>
  </si>
  <si>
    <t xml:space="preserve">
@@ -47,7 +48,9 @@ public class ExportedServicesRevisionMetadataCustomizer extends ServiceInstanceM
     @Override
     protected String buildMetadataValue(ServiceInstance serviceInstance) {
-        WritableMetadataService writableMetadataService = WritableMetadataService.getDefaultExtension();
+        WritableMetadataService writableMetadataService = WritableMetadataService.getExtension(
+                serviceInstance.getMetadata().get(METADATA_KEY)
+        );
         List&lt;String&gt; exportedURLs = writableMetadataService.getExportedURLs();
         Object[] data = exportedURLs.stream()
                 .map(URL::valueOf)                       // String to URL</t>
  </si>
  <si>
    <t xml:space="preserve">
@@ -48,7 +48,7 @@ public class ExportedServicesRevisionMetadataCustomizer extends ServiceInstanceM
     @Override
     protected String buildMetadataValue(ServiceInstance serviceInstance) {
         WritableMetadataService writableMetadataService = WritableMetadataService.getDefaultExtension();
-        List&lt;String&gt; exportedURLs = writableMetadataService.getExportedURLs();
+        SortedSet&lt;String&gt; exportedURLs = writableMetadataService.getExportedURLs();</t>
  </si>
  <si>
    <t xml:space="preserve">
&lt;&lt;&lt;&lt;&lt;&lt;&lt; HEAD
        WritableMetadataService writableMetadataService = WritableMetadataService.getExtension(
                serviceInstance.getMetadata().get(METADATA_KEY)
        );
        List&lt;String&gt; exportedURLs = writableMetadataService.getExportedURLs();
=======
        WritableMetadataService writableMetadataService = WritableMetadataService.getDefaultExtension();
        SortedSet&lt;String&gt; exportedURLs = writableMetadataService.getExportedURLs();
&gt;&gt;&gt;&gt;&gt;&gt;&gt; 03173f82e5f4630d28747b5b6764e0de50c8d1c2</t>
  </si>
  <si>
    <t>@@ -47,8 +48,10 @@ public class ExportedServicesRevisionMetadataCustomizer extends ServiceInstanceM
     @Override
     protected String buildMetadataValue(ServiceInstance serviceInstance) {
-        WritableMetadataService writableMetadataService = WritableMetadataService.getDefaultExtension();
-        List&lt;String&gt; exportedURLs = writableMetadataService.getExportedURLs();
+        WritableMetadataService writableMetadataService = WritableMetadataService.getExtension(
+                serviceInstance.getMetadata().get(METADATA_KEY)
+        );
+        SortedSet&lt;String&gt; exportedURLs = writableMetadataService.getExportedURLs();</t>
  </si>
  <si>
    <t>U I + U (Java code)
Origin (U + U)</t>
  </si>
  <si>
    <t>Java Code</t>
  </si>
  <si>
    <t xml:space="preserve">  @Override protected String buildMetadataValue(ServiceInstance serviceInstance) {
    WritableMetadataService writableMetadataService = WritableMetadataService.getExtension(serviceInstance.getMetadata().get(METADATA_KEY));
    SortedSet&lt;String&gt; exportedURLs = writableMetadataService.getExportedURLs();</t>
  </si>
  <si>
    <t>accept both sides and change format</t>
  </si>
  <si>
    <t xml:space="preserve">    @Override
    protected String buildMetadataValue(ServiceInstance serviceInstance) {
&lt;&lt;&lt;&lt;&lt;&lt;&lt; ours
        WritableMetadataService writableMetadataService = WritableMetadataService.getExtension(
                serviceInstance.getMetadata().get(METADATA_KEY)
        );
        List&lt;String&gt; exportedURLs = writableMetadataService.getExportedURLs();
=======
        WritableMetadataService writableMetadataService = WritableMetadataService.getDefaultExtension();
        SortedSet&lt;String&gt; exportedURLs = writableMetadataService.getExportedURLs();
&gt;&gt;&gt;&gt;&gt;&gt;&gt; theirs</t>
  </si>
  <si>
    <t xml:space="preserve">
&lt;&lt;&lt;&lt;&lt;&lt;&lt; ../dubbo/b7b34b6c475912c4c805b389954fd897bdd9f769/left/dubbo-registry/dubbo-registry-api/src/main/java/org/apache/dubbo/registry/client/metadata/ExportedServicesRevisionMetadataCustomizer.java
                serviceInstance.getMetadata().get(METADATA_KEY)
        );
        List&lt;String&gt; exportedURLs = writableMetadataService.getExportedURLs();
||||||| ../dubbo/b7b34b6c475912c4c805b389954fd897bdd9f769/base/dubbo-registry/dubbo-registry-api/src/main/java/org/apache/dubbo/registry/client/metadata/ExportedServicesRevisionMetadataCustomizer.java
        List&lt;String&gt; exportedURLs = writableMetadataService.getExportedURLs();
=======        
        SortedSet&lt;String&gt; exportedURLs = writableMetadataService.getExportedURLs();
&gt;&gt;&gt;&gt;&gt;&gt;&gt; ../dubbo/b7b34b6c475912c4c805b389954fd897bdd9f769/right/dubbo-registry/dubbo-registry-api/src/main/java/org/apache/dubbo/registry/client/metadata/ExportedServicesRevisionMetadataCustomizer.java</t>
  </si>
  <si>
    <t>https://github.com/proxyee-down-org/proxyee-down</t>
  </si>
  <si>
    <t>proxyee-down</t>
  </si>
  <si>
    <t>1d9d7f71a09917c612e4d03673273e50a084ff69</t>
  </si>
  <si>
    <t>de31208e336a1d2f27bbed1242132a283dd2d328</t>
  </si>
  <si>
    <t>ccf29160f3b077d4647de4446bdf8e95ec78d86c</t>
  </si>
  <si>
    <t>f0e32c16b64b41e942b6d9a90f51486c95710f0f</t>
  </si>
  <si>
    <t>ui/src/main/java/lee/study/down/dispatch/HttpDownHandleCallback.java</t>
  </si>
  <si>
    <t xml:space="preserve">
   @Override
   public void onError(HttpDownInfo httpDownInfo, ChunkInfo chunkInfo, Throwable cause) {
-    ContentManager.WS.sendMsg();
+    ContentManager.WS.sendMsg(ContentManager.DOWN.buildWsForm());
   }</t>
  </si>
  <si>
    <t xml:space="preserve">
   @Override
-  public void onError(HttpDownInfo httpDownInfo, ChunkInfo chunkInfo, Throwable cause) {
+  public void onError(HttpDownInfo httpDownInfo, Throwable cause) {
+    ContentManager.DOWN.saveTask(httpDownInfo.getTaskInfo().getId());
+    ContentManager.WS.sendMsg();
+  }
+
+  @Override
+  public void onChunkError(HttpDownInfo httpDownInfo, ChunkInfo chunkInfo, Throwable cause) {
     ContentManager.WS.sendMsg();
   }</t>
  </si>
  <si>
    <t xml:space="preserve">
&lt;&lt;&lt;&lt;&lt;&lt;&lt; HEAD
  public void onError(HttpDownInfo httpDownInfo, ChunkInfo chunkInfo, Throwable cause) {
    ContentManager.WS.sendMsg(ContentManager.DOWN.buildWsForm());
=======
  public void onError(HttpDownInfo httpDownInfo, Throwable cause) {
    ContentManager.DOWN.saveTask(httpDownInfo.getTaskInfo().getId());
    ContentManager.WS.sendMsg();
  }
  @Override
  public void onChunkError(HttpDownInfo httpDownInfo, ChunkInfo chunkInfo, Throwable cause) {
    ContentManager.WS.sendMsg();
&gt;&gt;&gt;&gt;&gt;&gt;&gt; ccf29160f3b077d4647de4446bdf8e95ec78d86c</t>
  </si>
  <si>
    <t xml:space="preserve">
   @Override
-  public void onError(HttpDownInfo httpDownInfo, ChunkInfo chunkInfo, Throwable cause) {
-    ContentManager.WS.sendMsg();
+  public void onError(HttpDownInfo httpDownInfo, Throwable cause) {
+    ContentManager.DOWN.saveTask(httpDownInfo.getTaskInfo().getId());
+    ContentManager.WS.sendMsg(ContentManager.DOWN.buildWsForm());
   }
+  @Override
+  public void onChunkError(HttpDownInfo httpDownInfo, ChunkInfo chunkInfo, Throwable cause) {
+    ContentManager.WS.sendMsg(ContentManager.DOWN.buildWsForm());
+  }</t>
  </si>
  <si>
    <t>D I + U I(Java code)
Origin(U + U I)</t>
  </si>
  <si>
    <t>accept both sides and apply change to new inserted method</t>
  </si>
  <si>
    <t>L+R+M(sendMsg from right also get updated)</t>
  </si>
  <si>
    <t xml:space="preserve">
  &lt;&lt;&lt;&lt;&lt;&lt;&lt; .../FSTMerge/fstmerge_tmp1647844213977/fstmerge_var1_2497739450548358146
@Override
  public void onError(HttpDownInfo httpDownInfo, ChunkInfo chunkInfo, Throwable cause) {
    ContentManager.WS.sendMsg(ContentManager.DOWN.buildWsForm());
  }
=======
&gt;&gt;&gt;&gt;&gt;&gt;&gt; .../FSTMerge/fstmerge_tmp1647844213977/fstmerge_var2_7120350206963712514
</t>
  </si>
  <si>
    <t xml:space="preserve">
  @Override public void onError(HttpDownInfo httpDownInfo, Throwable cause) {
    ContentManager.DOWN.saveTask(httpDownInfo.getTaskInfo().getId());
    ContentManager.WS.sendMsg(ContentManager.DOWN.buildWsForm());
  }
  @Override public void onChunkError(HttpDownInfo httpDownInfo, ChunkInfo chunkInfo, Throwable cause) {
    ContentManager.WS.sendMsg();
  }</t>
  </si>
  <si>
    <t>accept both sides(update onError(). not update onChunkError()) also change format</t>
  </si>
  <si>
    <t xml:space="preserve">
  @Override
  public void onError(HttpDownInfo httpDownInfo, Throwable cause) {
    ContentManager.DOWN.saveTask(httpDownInfo.getTaskInfo().getId());
    ContentManager.WS.sendMsg();
  }
  @Override
  public void onChunkError(HttpDownInfo httpDownInfo, ChunkInfo chunkInfo, Throwable cause) {
    ContentManager.WS.sendMsg(ContentManager.DOWN.buildWsForm());
  }</t>
  </si>
  <si>
    <t>accept both side but modify methods in different ways, not same with changes in left/right sides(different sendMsg() in onChunkError and onError)</t>
  </si>
  <si>
    <t xml:space="preserve">
&lt;&lt;&lt;&lt;&lt;&lt;&lt; ../proxyee-down/1d9d7f71a09917c612e4d03673273e50a084ff69/left/ui/src/main/java/lee/study/down/dispatch/HttpDownHandleCallback.java
  public void onError(HttpDownInfo httpDownInfo, ChunkInfo chunkInfo, Throwable cause) {
    ContentManager.WS.sendMsg(ContentManager.DOWN.buildWsForm());
||||||| ../proxyee-down/1d9d7f71a09917c612e4d03673273e50a084ff69/base/ui/src/main/java/lee/study/down/dispatch/HttpDownHandleCallback.java
  public void onError(HttpDownInfo httpDownInfo, ChunkInfo chunkInfo, Throwable cause) {
    ContentManager.WS.sendMsg();
=======
  public void onError(HttpDownInfo httpDownInfo, Throwable cause) {
    ContentManager.DOWN.saveTask(httpDownInfo.getTaskInfo().getId());
    ContentManager.WS.sendMsg();
  }
  @Override
  public void onChunkError(HttpDownInfo httpDownInfo, ChunkInfo chunkInfo, Throwable cause) {
    ContentManager.WS.sendMsg();
&gt;&gt;&gt;&gt;&gt;&gt;&gt; ../proxyee-down/1d9d7f71a09917c612e4d03673273e50a084ff69/right/ui/src/main/java/lee/study/down/dispatch/HttpDownHandleCallback.java</t>
  </si>
  <si>
    <t>https://github.com/skylot/jadx</t>
  </si>
  <si>
    <t>jadx</t>
  </si>
  <si>
    <t>c705f8cbff9ac2d846b6b21d0a40601668afd213</t>
  </si>
  <si>
    <t>d8b39c2698a67d7ceb0f79e389cb4cf6cefc343d</t>
  </si>
  <si>
    <t>f8c0449d4e43d9c66cc95de6f83af466a6e76239</t>
  </si>
  <si>
    <t>618b014b3dfc3f71514b50ac95054e382d15b104</t>
  </si>
  <si>
    <t>jadx-core/src/main/java/jadx/core/dex/visitors/blocksmaker/BlockProcessor.java</t>
  </si>
  <si>
    <t xml:space="preserve">
         private static boolean modifyBlocksTree(MethodNode mth) {
-                List&lt;BlockNode&gt; basicBlocks = mth.getBasicBlocks();
-                for (BlockNode block : basicBlocks) {
-                        if (block.getPredecessors().isEmpty() &amp;&amp; block != mth.getEnterBlock()) {
-                                throw new JadxRuntimeException("Unreachable block: " + block);
-                        }
-                }
-
-                for (BlockNode block : basicBlocks) {
+                for (BlockNode block : mth.getBasicBlocks()) {
                         if (checkLoops(mth, block)) {
                                 return true;
                         }</t>
  </si>
  <si>
    <t xml:space="preserve">
         private static boolean modifyBlocksTree(MethodNode mth) {
                List&lt;BlockNode&gt; basicBlocks = mth.getBasicBlocks();
                for (BlockNode block : basicBlocks) {
                        if (block.getPredecessors().isEmpty() &amp;&amp; block != mth.getEnterBlock()) {
                                throw new JadxRuntimeException("Unreachable block: " + block);
                        }
                }
-
+                if (mergeExceptionHandlers(mth)) {
+                        removeMarkedBlocks(mth);
+                        return true;
+                }
                 for (BlockNode block : basicBlocks) {
                         if (checkLoops(mth, block)) {
                                 return true;
                         }
</t>
  </si>
  <si>
    <t xml:space="preserve">
        private static boolean modifyBlocksTree(MethodNode mth) {
&lt;&lt;&lt;&lt;&lt;&lt;&lt; HEAD
                for (BlockNode block : mth.getBasicBlocks()) {
=======
                List&lt;BlockNode&gt; basicBlocks = mth.getBasicBlocks();
                for (BlockNode block : basicBlocks) {
                        if (block.getPredecessors().isEmpty() &amp;&amp; block != mth.getEnterBlock()) {
                                throw new JadxRuntimeException("Unreachable block: " + block);
                        }
                }
                if (mergeExceptionHandlers(mth)) {
                        removeMarkedBlocks(mth);
                        return true;
                }
                for (BlockNode block : basicBlocks) {
&gt;&gt;&gt;&gt;&gt;&gt;&gt; f8c0449d4e43d9c66cc95de6f83af466a6e76239
                        if (checkLoops(mth, block)) {
                                return true;
                        }
                }
                return splitReturn(mth);
        }</t>
  </si>
  <si>
    <t>D U vs. D I (delete for-loop,update for-loop + insert if-Java code)
Origin(D U + I)</t>
  </si>
  <si>
    <t>only Right</t>
  </si>
  <si>
    <t>R</t>
  </si>
  <si>
    <t xml:space="preserve">  private static boolean modifyBlocksTree(MethodNode mth) {
    if (mergeExceptionHandlers(mth)) {
      removeMarkedBlocks(mth);
      return true;
    }
    for (BlockNode block : mth.getBasicBlocks()) {
      if (checkLoops(mth, block)) {
        return true;
      }
    }
    return splitReturn(mth);
  }</t>
  </si>
  <si>
    <t xml:space="preserve"> private static boolean modifyBlocksTree(MethodNode mth) {
&lt;&lt;&lt;&lt;&lt;&lt;&lt; ours
		for (BlockNode block : mth.getBasicBlocks()) {
=======
		List&lt;BlockNode&gt; basicBlocks = mth.getBasicBlocks();
		for (BlockNode block : basicBlocks) {
			if (block.getPredecessors().isEmpty() &amp;&amp; block != mth.getEnterBlock()) {
				throw new JadxRuntimeException("Unreachable block: " + block);
			}
		}
		if (mergeExceptionHandlers(mth)) {
			removeMarkedBlocks(mth);
			return true;
		}
		for (BlockNode block : basicBlocks) {
&gt;&gt;&gt;&gt;&gt;&gt;&gt; theirs
			if (checkLoops(mth, block)) {
				return true;
			}
		}
		return splitReturn(mth);
	}</t>
  </si>
  <si>
    <t xml:space="preserve">
	private static boolean modifyBlocksTree(MethodNode mth) {
&lt;&lt;&lt;&lt;&lt;&lt;&lt; ../jadx/c705f8cbff9ac2d846b6b21d0a40601668afd213/left/jadx-core/src/main/java/jadx/core/dex/visitors/blocksmaker/BlockProcessor.java
		for (BlockNode block : mth.getBasicBlocks()) {
||||||| ../jadx/c705f8cbff9ac2d846b6b21d0a40601668afd213/base/jadx-core/src/main/java/jadx/core/dex/visitors/blocksmaker/BlockProcessor.java
		List&lt;BlockNode&gt; basicBlocks = mth.getBasicBlocks();
		for (BlockNode block : basicBlocks) {
			if (block.getPredecessors().isEmpty() &amp;&amp; block != mth.getEnterBlock()) {
				throw new JadxRuntimeException("Unreachable block: " + block);
			}
		}
		for (BlockNode block : basicBlocks) {
=======
		List&lt;BlockNode&gt; basicBlocks = mth.getBasicBlocks();
		for (BlockNode block : basicBlocks) {
			if (block.getPredecessors().isEmpty() &amp;&amp; block != mth.getEnterBlock()) {
				throw new JadxRuntimeException("Unreachable block: " + block);
			}
		}
		if (mergeExceptionHandlers(mth)) {
			removeMarkedBlocks(mth);
			return true;
		}
		for (BlockNode block : basicBlocks) {
&gt;&gt;&gt;&gt;&gt;&gt;&gt; ../jadx/c705f8cbff9ac2d846b6b21d0a40601668afd213/right/jadx-core/src/main/java/jadx/core/dex/visitors/blocksmaker/BlockProcessor.java
			if (checkLoops(mth, block)) {</t>
  </si>
  <si>
    <t>https://github.com/alibaba/fastjson</t>
  </si>
  <si>
    <t>fastjson</t>
  </si>
  <si>
    <t>ee3728b727c52d9090919f7791e1b0d738e1ea6f</t>
  </si>
  <si>
    <t>c7d8c94a86f0ba9a806fde0d1f14f3e1a4cff459</t>
  </si>
  <si>
    <t>25141decf03f9036f12f1dad9a65e05370d6a6b2</t>
  </si>
  <si>
    <t>2e29ec9b731219d80f0b1e0a2162116e75ae4316</t>
  </si>
  <si>
    <t>pom.xml</t>
  </si>
  <si>
    <t xml:space="preserve">
                 &lt;dependency&gt;
                         &lt;groupId&gt;org.codehaus.jackson&lt;/groupId&gt;
                         &lt;artifactId&gt;jackson-jaxrs&lt;/artifactId&gt;
-                        &lt;version&gt;1.8.1&lt;/version&gt;
+                        &lt;version&gt;1.9.7&lt;/version&gt;
                         &lt;scope&gt;test&lt;/scope&gt;
                 &lt;/dependency&gt;
                 &lt;dependency&gt;
                         &lt;groupId&gt;org.codehaus.jackson&lt;/groupId&gt;
                         &lt;artifactId&gt;jackson-smile&lt;/artifactId&gt;
-                        &lt;version&gt;1.8.1&lt;/version&gt;
+                        &lt;version&gt;1.9.7&lt;/version&gt;
                         &lt;scope&gt;test&lt;/scope&gt;
                 &lt;/dependency&gt;</t>
  </si>
  <si>
    <t xml:space="preserve">
                 &lt;dependency&gt;
                         &lt;groupId&gt;org.codehaus.jackson&lt;/groupId&gt;
                         &lt;artifactId&gt;jackson-jaxrs&lt;/artifactId&gt;
-                        &lt;version&gt;1.8.1&lt;/version&gt;
+                        &lt;version&gt;1.9.3&lt;/version&gt;
                         &lt;scope&gt;test&lt;/scope&gt;
                 &lt;/dependency&gt;
                 &lt;dependency&gt;
                         &lt;groupId&gt;org.codehaus.jackson&lt;/groupId&gt;
                         &lt;artifactId&gt;jackson-smile&lt;/artifactId&gt;
-                        &lt;version&gt;1.8.1&lt;/version&gt;
+                        &lt;version&gt;1.9.3&lt;/version&gt;
                         &lt;scope&gt;test&lt;/scope&gt;
                 &lt;/dependency&gt;
                 &lt;dependency&gt;</t>
  </si>
  <si>
    <t xml:space="preserve">
&lt;&lt;&lt;&lt;&lt;&lt;&lt; HEAD
                        &lt;version&gt;1.9.7&lt;/version&gt;
=======
                        &lt;version&gt;1.9.3&lt;/version&gt;
&gt;&gt;&gt;&gt;&gt;&gt;&gt; 25141decf03f9036f12f1dad9a65e05370d6a6b2
                        &lt;scope&gt;test&lt;/scope&gt;
                &lt;/dependency&gt;
                &lt;dependency&gt;
                        &lt;groupId&gt;org.codehaus.jackson&lt;/groupId&gt;
                        &lt;artifactId&gt;jackson-smile&lt;/artifactId&gt;
&lt;&lt;&lt;&lt;&lt;&lt;&lt; HEAD
                        &lt;version&gt;1.9.7&lt;/version&gt;
=======
                        &lt;version&gt;1.9.3&lt;/version&gt;
&gt;&gt;&gt;&gt;&gt;&gt;&gt; 25141decf03f9036f12f1dad9a65e05370d6a6b2</t>
  </si>
  <si>
    <t xml:space="preserve">
		&lt;dependency&gt;
			&lt;groupId&gt;org.codehaus.jackson&lt;/groupId&gt;
			&lt;artifactId&gt;jackson-jaxrs&lt;/artifactId&gt;
			&lt;version&gt;1.9.7&lt;/version&gt;
			&lt;scope&gt;test&lt;/scope&gt;
		&lt;/dependency&gt;
		&lt;dependency&gt;
			&lt;groupId&gt;org.codehaus.jackson&lt;/groupId&gt;
			&lt;artifactId&gt;jackson-smile&lt;/artifactId&gt;
			&lt;version&gt;1.9.7&lt;/version&gt;
			&lt;scope&gt;test&lt;/scope&gt;
		&lt;/dependency&gt;</t>
  </si>
  <si>
    <t>U vs. U (version no) L &gt; R: The version number of L is higher</t>
  </si>
  <si>
    <t>only left</t>
  </si>
  <si>
    <t xml:space="preserve">        &lt;dependencies&gt;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&lt;classifier&gt;jdk15&lt;/classifier&gt;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        &lt;dependency&gt;
                        &lt;groupId&gt;org.codehaus.jackson&lt;/groupId&gt;
                        &lt;artifactId&gt;jackson-core-lgpl&lt;/artifactId&gt;
                        &lt;version&gt;1.9.7&lt;/version&gt;
                        &lt;scope&gt;test&lt;/scope&gt;
                &lt;/dependency&gt;
        &lt;/dependencies&gt;</t>
  </si>
  <si>
    <t>duplicate lines</t>
  </si>
  <si>
    <t>M</t>
  </si>
  <si>
    <t xml:space="preserve">
                        &lt;artifactId&gt;jackson-jaxrs&lt;/artifactId&gt;
&lt;&lt;&lt;&lt;&lt;&lt;&lt; ../fastjson/ee3728b727c52d9090919f7791e1b0d738e1ea6f/left/pom.xml
                        &lt;version&gt;1.9.7&lt;/version&gt;
||||||| ../fastjson/ee3728b727c52d9090919f7791e1b0d738e1ea6f/base/pom.xml
                        &lt;version&gt;1.8.1&lt;/version&gt;
=======
                        &lt;version&gt;1.9.3&lt;/version&gt;
&gt;&gt;&gt;&gt;&gt;&gt;&gt; ../fastjson/ee3728b727c52d9090919f7791e1b0d738e1ea6f/right/pom.xml
                        &lt;scope&gt;test&lt;/scope&gt;
                &lt;/dependency&gt;
                &lt;dependency&gt;
                        &lt;groupId&gt;org.codehaus.jackson&lt;/groupId&gt;
                        &lt;artifactId&gt;jackson-smile&lt;/artifactId&gt;
&lt;&lt;&lt;&lt;&lt;&lt;&lt; ../fastjson/ee3728b727c52d9090919f7791e1b0d738e1ea6f/left/pom.xml
                        &lt;version&gt;1.9.7&lt;/version&gt;
||||||| ../fastjson/ee3728b727c52d9090919f7791e1b0d738e1ea6f/base/pom.xml
                        &lt;version&gt;1.8.1&lt;/version&gt;
=======
                        &lt;version&gt;1.9.3&lt;/version&gt;
&gt;&gt;&gt;&gt;&gt;&gt;&gt; ../fastjson/ee3728b727c52d9090919f7791e1b0d738e1ea6f/right/pom.xml
                        &lt;scope&gt;test&lt;/scope&gt;</t>
  </si>
  <si>
    <t>https://github.com/alibaba/druid</t>
  </si>
  <si>
    <t>druid</t>
  </si>
  <si>
    <t>2c48d6630200c428abf45c87f17006a5cf3e0756</t>
  </si>
  <si>
    <t>0414d727509993cd0113fdb563836f4a710485ea</t>
  </si>
  <si>
    <t>ca5679a2be1e0ccb7d9dffb9ac85295383583c16</t>
  </si>
  <si>
    <t>6624603b20f51c70db0c96cb1b6bee1de1e57456</t>
  </si>
  <si>
    <t>src/main/java/com/alibaba/druid/wall/WallProvider.java</t>
  </si>
  <si>
    <t xml:space="preserve">
-
-    public synchronized boolean whiteContains(String sql) {
-        if (whiteList == null) {
-            return false;
+    
+    public void clearCache() {
+        lock.writeLock().lock();
+        try {
+            if (whiteList != null) {
+                whiteList = null;
+            }
+        } finally {
+            lock.writeLock().unlock();
         }
+    }
-        return whiteList.get(sql) != null;
+    public boolean whiteContains(String sql) {
+        lock.readLock().lock();
+        try {
+            if (whiteList == null) {
+                return false;
+            }
+
+            return whiteList.get(sql) != null;
+        } finally {
+            lock.readLock().unlock();
+        }
     }</t>
  </si>
  <si>
    <t xml:space="preserve">
-    public synchronized boolean whiteContains(String sql) {
-        if (whiteList == null) {
-            return false;
-        }
+    public boolean whiteContains(String sql) {
+        lock.readLock().lock();
+        try {
+            if (whiteList == null) {
+                return false;
+            }
-        return whiteList.get(sql) != null;
+            return whiteList.get(sql) != null;
+        } finally {
+            lock.readLock().unlock();
+        }
     }</t>
  </si>
  <si>
    <t xml:space="preserve">
&lt;&lt;&lt;&lt;&lt;&lt;&lt; HEAD
    public void clearCache() {
        lock.writeLock().lock();
        try {
            if (whiteList != null) {
                whiteList = null;
            }
        } finally {
            lock.writeLock().unlock();
        }
    }
    public boolean whiteContains(String sql) {
        lock.readLock().lock();
        try {
            if (whiteList == null) {
                return false;
            }
=======
    public boolean whiteContains(String sql) {
        lock.readLock().lock();
        try {
            if (whiteList == null) {
                return false;
            }
&gt;&gt;&gt;&gt;&gt;&gt;&gt; ca5679a2be1e0ccb7d9dffb9ac85295383583c16
            return whiteList.get(sql) != null;
        } finally {
            lock.readLock().unlock();
        }
    }</t>
  </si>
  <si>
    <t>D I vs. D I (Java code)
(originally D I vs. U)</t>
  </si>
  <si>
    <t>L(L include R)</t>
  </si>
  <si>
    <t xml:space="preserve">
    public boolean whiteContains(String sql) {
        lock.readLock().lock();
        try {
            if (whiteList == null) {
                return false;
            }
            return whiteList.get(sql) != null;
        } finally {
            lock.readLock().unlock();
        }
    }
    public void clearCache() {
        lock.writeLock().lock();
        try {
            if (whiteList != null) {
                whiteList = null;
            }
        } finally {
            lock.writeLock().unlock();
        }
    }</t>
  </si>
  <si>
    <t>take left and change order and indentation</t>
  </si>
  <si>
    <t xml:space="preserve">
  public void clearCache() {
    lock.writeLock().lock();
    try {
      if (whiteList != null) {
        whiteList = null;
      }
    }  finally {
      lock.writeLock().unlock();
    }
  }
  public boolean whiteContains(String sql) {
    lock.readLock().lock();
    try {
      if (whiteList == null) {
        return false;
      }
      return whiteList.get(sql) != null;
    }  finally {
      lock.readLock().unlock();
    }
  }</t>
  </si>
  <si>
    <t>take left and change indentation</t>
  </si>
  <si>
    <t xml:space="preserve">
    public void clearCache() {
        lock.writeLock().lock();
        try {
            if (whiteList != null) {
                whiteList = null;
            }
        } finally {
            lock.writeLock().unlock();
        }
    }
    public boolean whiteContains(String sql) {
        lock.readLock().lock();
        try {
        if (whiteList == null) {
            return false;
        }
        return whiteList.get(sql) != null;
        } finally {
            lock.readLock().unlock();
        }
    }</t>
  </si>
  <si>
    <t xml:space="preserve">
&lt;&lt;&lt;&lt;&lt;&lt;&lt; ../druid/2c48d6630200c428abf45c87f17006a5cf3e0756/left/src/main/java/com/alibaba/druid/wall/WallProvider.java
    public void clearCache() {
        lock.writeLock().lock();
||||||| ../druid/2c48d6630200c428abf45c87f17006a5cf3e0756/base/src/main/java/com/alibaba/druid/wall/WallProvider.java
    public synchronized void addWhiteSql(String sql) {
=======
    public void clearCache() {
        lock.writeLock().lock();
&gt;&gt;&gt;&gt;&gt;&gt;&gt; ../druid/2c48d6630200c428abf45c87f17006a5cf3e0756/right/src/main/java/com/alibaba/druid/wall/WallProvider.java
        try {
            if (whiteList != null) {
                whiteList = null;
            }
        } finally {
            lock.writeLock().unlock();
        }
    }</t>
  </si>
  <si>
    <t>https://github.com/ctripcorp/apollo</t>
  </si>
  <si>
    <t>apollo</t>
  </si>
  <si>
    <t>c46f561cb1136907aec254c9fbd0aa726f263c3b</t>
  </si>
  <si>
    <t>48c3bb83009d7bc56d8a31742ddf5f74705035c4</t>
  </si>
  <si>
    <t>0fce28d688d93928ab4db7ed915432a9ea02d6b6</t>
  </si>
  <si>
    <t>29858d7068570098c5672e05ebac5279e45518e2</t>
  </si>
  <si>
    <t>apollo-portal/src/test/java/com/ctrip/apollo/portal/service/ConfigServiceTest.java</t>
  </si>
  <si>
    <t xml:space="preserve">
   private ClusterDTO[] assembleClusters() {
     ClusterDTO[] clusters = new ClusterDTO[2];
-    clusters[0] = assembleCluster(100, 6666, Constants.DEFAULT_CLUSTER_NAME);
-    clusters[1] = assembleCluster(101, 6666, "cluster1");
+    clusters[0] = assembleCluster(100, "6666", Constants.DEFAULT_CLUSTER_NAME);
+    clusters[1] = assembleCluster(101, "6666", "cluster1");
     return clusters;
   }</t>
  </si>
  <si>
    <t xml:space="preserve">
   private ClusterDTO[] assembleClusters() {
     ClusterDTO[] clusters = new ClusterDTO[2];
-    clusters[0] = assembleCluster(100, 6666, Constants.DEFAULT_CLUSTER_NAME);
+    clusters[0] = assembleCluster(100, 6666, ConfigConsts.DEFAULT_CLUSTER_NAME);
     clusters[1] = assembleCluster(101, 6666, "cluster1");
     return clusters;
   }</t>
  </si>
  <si>
    <t xml:space="preserve">
&lt;&lt;&lt;&lt;&lt;&lt;&lt; HEAD
    clusters[0] = assembleCluster(100, "6666", Constants.DEFAULT_CLUSTER_NAME);
    clusters[1] = assembleCluster(101, "6666", "cluster1");
=======
    clusters[0] = assembleCluster(100, 6666, ConfigConsts.DEFAULT_CLUSTER_NAME);
    clusters[1] = assembleCluster(101, 6666, "cluster1");
&gt;&gt;&gt;&gt;&gt;&gt;&gt; 0fce28d688d93928ab4db7ed915432a9ea02d6b6</t>
  </si>
  <si>
    <t xml:space="preserve">
   private ClusterDTO[] assembleClusters() {
     ClusterDTO[] clusters = new ClusterDTO[2];
-    clusters[0] = assembleCluster(100, 6666, Constants.DEFAULT_CLUSTER_NAME);
-    clusters[1] = assembleCluster(101, 6666, "cluster1");
+    clusters[0] = assembleCluster(100, "6666", ConfigConsts.DEFAULT_CLUSTER_NAME);
+    clusters[1] = assembleCluster(101, "6666", "cluster1");
     return clusters;
   }</t>
  </si>
  <si>
    <t xml:space="preserve">U vs. U(update Java code)
</t>
  </si>
  <si>
    <t>integrate both sides in same line</t>
  </si>
  <si>
    <t xml:space="preserve">
  private ClusterDTO[] assembleClusters() {
    ClusterDTO[] clusters = new ClusterDTO[2];
&lt;&lt;&lt;&lt;&lt;&lt;&lt; .../FSTMerge/fstmerge_tmp1647843807895/fstmerge_var1_700722185590755500
    clusters[0] = assembleCluster(100, "6666", Constants.DEFAULT_CLUSTER_NAME);
    clusters[1] = assembleCluster(101, "6666", "cluster1");
=======
    clusters[0] = assembleCluster(100, 6666, ConfigConsts.DEFAULT_CLUSTER_NAME);
    clusters[1] = assembleCluster(101, 6666, "cluster1");
&gt;&gt;&gt;&gt;&gt;&gt;&gt; .../FSTMerge/fstmerge_tmp1647843807895/fstmerge_var2_6119876515854916257
    return clusters;
  }</t>
  </si>
  <si>
    <t xml:space="preserve">
  private ClusterDTO[] assembleClusters() {
    ClusterDTO[] clusters = new ClusterDTO[2];
    clusters[0] = assembleCluster(100, "6666", ConfigConsts.DEFAULT_CLUSTER_NAME);
    clusters[1] = assembleCluster(101, "6666", "cluster1");
    return clusters;
  }</t>
  </si>
  <si>
    <t xml:space="preserve">
  private ClusterDTO[] assembleClusters() {
    ClusterDTO[] clusters = new ClusterDTO[2];
&lt;&lt;&lt;&lt;&lt;&lt;&lt; ours
    clusters[0] = assembleCluster(100, "6666", Constants.DEFAULT_CLUSTER_NAME);
    clusters[1] = assembleCluster(101, "6666", "cluster1");
=======
    clusters[0] = assembleCluster(100, 6666, ConfigConsts.DEFAULT_CLUSTER_NAME);
    clusters[1] = assembleCluster(101, 6666, "cluster1");
&gt;&gt;&gt;&gt;&gt;&gt;&gt; theirs
    return clusters;
  }</t>
  </si>
  <si>
    <t xml:space="preserve">
"
&lt;&lt;&lt;&lt;&lt;&lt;&lt; HEAD
    clusters[0] = assembleCluster(100, ""6666"", Constants.DEFAULT_CLUSTER_NAME);
||||||| 
=======
    clusters[0] = assembleCluster(100, 6666, ConfigConsts.DEFAULT_CLUSTER_NAME);
&gt;&gt;&gt;&gt;&gt;&gt;&gt; 0fce28d688d93928ab4db7ed915432a9ea02d6b6"</t>
  </si>
  <si>
    <t>https://github.com/alibaba/arthas</t>
  </si>
  <si>
    <t>arthas</t>
  </si>
  <si>
    <t>d8c16720f471db4fe5b7c21d992a948e9522a208</t>
  </si>
  <si>
    <t>86bf31828ef6a059a8e641b0f981e1d939449c34</t>
  </si>
  <si>
    <t>a02bb8f626afea704e703399a50b695d3c413078</t>
  </si>
  <si>
    <t>78b01858ec66f8ac8beb0d0e8dd7bf96c44bd010</t>
  </si>
  <si>
    <t xml:space="preserve">
                 &lt;artifactId&gt;asm-commons&lt;/artifactId&gt;
                 &lt;version&gt;7.0&lt;/version&gt;
             &lt;/dependency&gt;
+            &lt;dependency&gt;
+                &lt;groupId&gt;org.ow2.asm&lt;/groupId&gt;
+                &lt;artifactId&gt;asm-util&lt;/artifactId&gt;
+                &lt;version&gt;7.0&lt;/version&gt;
+            &lt;/dependency&gt;
+            &lt;dependency&gt;
+                &lt;groupId&gt;org.ow2.asm&lt;/groupId&gt;
+                &lt;artifactId&gt;asm-analysis&lt;/artifactId&gt;
+                &lt;version&gt;7.0&lt;/version&gt;
+            &lt;/dependency&gt;
             &lt;dependency&gt;
                 &lt;groupId&gt;com.alibaba.middleware&lt;/groupId&gt;
                 &lt;artifactId&gt;termd-core&lt;/artifactId&gt;</t>
  </si>
  <si>
    <t xml:space="preserve">
                 &lt;artifactId&gt;asm-commons&lt;/artifactId&gt;
                 &lt;version&gt;7.0&lt;/version&gt;
             &lt;/dependency&gt;
+            &lt;dependency&gt;
+                &lt;groupId&gt;org.benf&lt;/groupId&gt;
+                &lt;artifactId&gt;cfr&lt;/artifactId&gt;
+                &lt;version&gt;0.145&lt;/version&gt;
+            &lt;/dependency&gt;
             &lt;dependency&gt;
                 &lt;groupId&gt;com.alibaba.middleware&lt;/groupId&gt;
                 &lt;artifactId&gt;termd-core&lt;/artifactId&gt;</t>
  </si>
  <si>
    <t xml:space="preserve">
&lt;&lt;&lt;&lt;&lt;&lt;&lt; HEAD
                &lt;groupId&gt;org.ow2.asm&lt;/groupId&gt;
                &lt;artifactId&gt;asm-util&lt;/artifactId&gt;
                &lt;version&gt;7.0&lt;/version&gt;
            &lt;/dependency&gt;
            &lt;dependency&gt;
                &lt;groupId&gt;org.ow2.asm&lt;/groupId&gt;
                &lt;artifactId&gt;asm-analysis&lt;/artifactId&gt;
                &lt;version&gt;7.0&lt;/version&gt;
=======
                &lt;groupId&gt;org.benf&lt;/groupId&gt;
                &lt;artifactId&gt;cfr&lt;/artifactId&gt;
                &lt;version&gt;0.145&lt;/version&gt;
&gt;&gt;&gt;&gt;&gt;&gt;&gt; a02bb8f626afea704e703399a50b695d3c413078</t>
  </si>
  <si>
    <t xml:space="preserve">
                 &lt;artifactId&gt;asm-commons&lt;/artifactId&gt;
                 &lt;version&gt;7.0&lt;/version&gt;
             &lt;/dependency&gt;
+            &lt;dependency&gt;
+                &lt;groupId&gt;org.ow2.asm&lt;/groupId&gt;
+                &lt;artifactId&gt;asm-util&lt;/artifactId&gt;
+                &lt;version&gt;7.0&lt;/version&gt;
+            &lt;/dependency&gt;
+            &lt;dependency&gt;
+                &lt;groupId&gt;org.ow2.asm&lt;/groupId&gt;
+                &lt;artifactId&gt;asm-analysis&lt;/artifactId&gt;
+                &lt;version&gt;7.0&lt;/version&gt;
+            &lt;/dependency&gt;
+            &lt;dependency&gt;
+                &lt;groupId&gt;org.benf&lt;/groupId&gt;
+                &lt;artifactId&gt;cfr&lt;/artifactId&gt;
+                &lt;version&gt;0.145&lt;/version&gt;
+            &lt;/dependency&gt;
             &lt;dependency&gt;
                 &lt;groupId&gt;com.alibaba.middleware&lt;/groupId&gt;
                 &lt;artifactId&gt;termd-core&lt;/artifactId&gt;</t>
  </si>
  <si>
    <t>I vs. I(pom.xml)</t>
  </si>
  <si>
    <t xml:space="preserve">
&lt;?xml version="1.0" encoding="UTF-8"?&gt;
&lt;project xmlns="http://maven.apache.org/POM/4.0.0" xmlns:xsi="http://www.w3.org/2001/XMLSchema-instance" xsi:schemaLocation="http://maven.apache.org/POM/4.0.0 http://maven.apache.org/xsd/maven-4.0.0.xsd"&gt;
   &lt;modelVersion&gt;4.0.0&lt;/modelVersion&gt;
   &lt;parent&gt;
      &lt;groupId&gt;org.sonatype.oss&lt;/groupId&gt;
      &lt;artifactId&gt;oss-parent&lt;/artifactId&gt;
      &lt;version&gt;9&lt;/version&gt;
   &lt;/parent&gt;
   &lt;licenses&gt;
      &lt;license&gt;
         &lt;name&gt;GNU GENERAL PUBLIC LICENSE Version 3&lt;/name&gt;
         &lt;url&gt;https://www.gnu.org/licenses/gpl.txt&lt;/url&gt;
         &lt;distribution&gt;repo&lt;/distribution&gt;
      &lt;/license&gt;
   &lt;/licenses&gt;
   &lt;scm&gt;
      &lt;connection&gt;scm:git:git@github.com:alibaba/arthas.git&lt;/connection&gt;
      &lt;developerConnection&gt;scm:git:git@github.com:alibaba/arthas.git&lt;/developerConnection&gt;
      &lt;url&gt;https://github.com/alibaba/arthas&lt;/url&gt;
   &lt;/scm&gt;
   &lt;developers&gt;
      &lt;developer&gt;
         &lt;id&gt;beiwei30&lt;/id&gt;
         &lt;name&gt;beiwei30&lt;/name&gt;
         &lt;email&gt;ian.luo@gmail.com&lt;/email&gt;
      &lt;/developer&gt;
      &lt;developer&gt;
         &lt;id&gt;beiwei30&lt;/id&gt;
         &lt;name&gt;beiwei30&lt;/name&gt;
         &lt;email&gt;ian.luo@gmail.com&lt;/email&gt;
      &lt;/developer&gt;
      &lt;developer&gt;
         &lt;id&gt;beiwei30&lt;/id&gt;
         &lt;name&gt;beiwei30&lt;/name&gt;
         &lt;email&gt;ian.luo@gmail.com&lt;/email&gt;
      &lt;/developer&gt;
      &lt;developer&gt;
         &lt;id&gt;beiwei30&lt;/id&gt;
         &lt;name&gt;beiwei30&lt;/name&gt;
         &lt;email&gt;ian.luo@gmail.com&lt;/email&gt;
      &lt;/developer&gt;
   &lt;/developers&gt;
   &lt;groupId&gt;com.taobao.arthas&lt;/groupId&gt;
   &lt;artifactId&gt;arthas-all&lt;/artifactId&gt;
   &lt;version&gt;4.0.0-SNAPSHOT&lt;/version&gt;
   &lt;packaging&gt;pom&lt;/packaging&gt;
   &lt;name&gt;arthas-all&lt;/name&gt;
   &lt;description&gt;arthas&lt;/description&gt;
   &lt;url&gt;https://github.com/alibaba/arthas&lt;/url&gt;
   &lt;modules&gt;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   &lt;module&gt;repackage-deps/arthas-repackage-asm&lt;/module&gt;
   &lt;/modules&gt;
   &lt;properties&gt;
      &lt;project.build.sourceEncoding&gt;UTF-8&lt;/project.build.sourceEncoding&gt;
      &lt;maven.compiler.target&gt;1.6&lt;/maven.compiler.target&gt;
      &lt;maven.compiler.source&gt;1.6&lt;/maven.compiler.source&gt;
      &lt;arthas.deps.package&gt;com.alibaba.arthas.deps&lt;/arthas.deps.package&gt;
   &lt;/properties&gt;
   &lt;dependencyManagement&gt;
      &lt;dependencies&gt;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   &lt;scope&gt;test&lt;/scope&gt;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   &lt;dependency&gt;
            &lt;groupId&gt;org.ow2.asm&lt;/groupId&gt;
            &lt;artifactId&gt;asm&lt;/artifactId&gt;
            &lt;version&gt;7.0&lt;/version&gt;
         &lt;/dependency&gt;
      &lt;/dependencies&gt;
   &lt;/dependencyManagement&gt;
   &lt;build&gt;
      &lt;pluginManagement&gt;
         &lt;plugins&gt;
            &lt;plugin&gt;
               &lt;groupId&gt;org.apache.maven.plugins&lt;/groupId&gt;
               &lt;artifactId&gt;maven-compiler-plugin&lt;/artifactId&gt;
               &lt;version&gt;3.8.0&lt;/version&gt;
            &lt;/plugin&gt;
            &lt;plugin&gt;
               &lt;groupId&gt;org.apache.maven.plugins&lt;/groupId&gt;
               &lt;artifactId&gt;maven-compiler-plugin&lt;/artifactId&gt;
               &lt;version&gt;3.8.0&lt;/version&gt;
            &lt;/plugin&gt;
         &lt;/plugins&gt;
      &lt;/pluginManagement&gt;
      &lt;plugins&gt;
         &lt;plugin&gt;
            &lt;groupId&gt;org.apache.maven.plugins&lt;/groupId&gt;
            &lt;artifactId&gt;maven-jar-plugin&lt;/artifactId&gt;
            &lt;version&gt;2.5&lt;/version&gt;
            &lt;configuration&gt;
               &lt;archive&gt;
                  &lt;manifest&gt;
                     &lt;addDefaultImplementationEntries&gt;true&lt;/addDefaultImplementationEntries&gt;
                     &lt;addDefaultSpecificationEntries&gt;true&lt;/addDefaultSpecificationEntries&gt;
                  &lt;/manifest&gt;
               &lt;/archive&gt;
            &lt;/configuration&gt;
         &lt;/plugin&gt;
         &lt;plugin&gt;
            &lt;groupId&gt;org.apache.maven.plugins&lt;/groupId&gt;
            &lt;artifactId&gt;maven-jar-plugin&lt;/artifactId&gt;
            &lt;version&gt;2.5&lt;/version&gt;
            &lt;configuration&gt;
               &lt;additionalparam&gt;-Xdoclint:none&lt;/additionalparam&gt;
               &lt;archive&gt;
                  &lt;manifest&gt;
                     &lt;addDefaultImplementationEntries&gt;true&lt;/addDefaultImplementationEntries&gt;
                     &lt;addDefaultSpecificationEntries&gt;true&lt;/addDefaultSpecificationEntries&gt;
                  &lt;/manifest&gt;
               &lt;/archive&gt;
            &lt;/configuration&gt;
         &lt;/plugin&gt;
         &lt;plugin&gt;
            &lt;groupId&gt;org.apache.maven.plugins&lt;/groupId&gt;
            &lt;artifactId&gt;maven-jar-plugin&lt;/artifactId&gt;
            &lt;version&gt;2.5&lt;/version&gt;
            &lt;executions&gt;
               &lt;execution&gt;
                  &lt;id&gt;attach-sources&lt;/id&gt;
                  &lt;goals&gt;
                     &lt;goal&gt;jar&lt;/goal&gt;
                  &lt;/goals&gt;
               &lt;/execution&gt;
            &lt;/executions&gt;
            &lt;configuration&gt;
               &lt;archive&gt;
                  &lt;manifest&gt;
                     &lt;addDefaultImplementationEntries&gt;true&lt;/addDefaultImplementationEntries&gt;
                     &lt;addDefaultSpecificationEntries&gt;true&lt;/addDefaultSpecificationEntries&gt;
                  &lt;/manifest&gt;
               &lt;/archive&gt;
            &lt;/configuration&gt;
         &lt;/plugin&gt;
         &lt;plugin&gt;
            &lt;groupId&gt;org.apache.maven.plugins&lt;/groupId&gt;
            &lt;artifactId&gt;maven-jar-plugin&lt;/artifactId&gt;
            &lt;version&gt;2.5&lt;/version&gt;
            &lt;executions&gt;
               &lt;execution&gt;
                  &lt;id&gt;jacoco-initialize&lt;/id&gt;
                  &lt;goals&gt;
                     &lt;goal&gt;prepare-agent&lt;/goal&gt;
                  &lt;/goals&gt;
                  &lt;configuration&gt;
                     &lt;excludes&gt;com/taobao/arthas/core/view/ObjectViewTest*&lt;/excludes&gt;
                  &lt;/configuration&gt;
               &lt;/execution&gt;
               &lt;execution&gt;
                  &lt;id&gt;report-aggregate&lt;/id&gt;
                  &lt;phase&gt;verify&lt;/phase&gt;
                  &lt;goals&gt;
                     &lt;goal&gt;report-aggregate&lt;/goal&gt;
                  &lt;/goals&gt;
               &lt;/execution&gt;
            &lt;/executions&gt;
            &lt;configuration&gt;
               &lt;archive&gt;
                  &lt;manifest&gt;
                     &lt;addDefaultImplementationEntries&gt;true&lt;/addDefaultImplementationEntries&gt;
                     &lt;addDefaultSpecificationEntries&gt;true&lt;/addDefaultSpecificationEntries&gt;
                  &lt;/manifest&gt;
               &lt;/archive&gt;
            &lt;/configuration&gt;
         &lt;/plugin&gt;
      &lt;/plugins&gt;
   &lt;/build&gt;
&lt;/project&gt;
</t>
  </si>
  <si>
    <t xml:space="preserve">
&lt;&lt;&lt;&lt;&lt;&lt;&lt; ../arthas/d8c16720f471db4fe5b7c21d992a948e9522a208/left/pom.xml
                &lt;groupId&gt;org.ow2.asm&lt;/groupId&gt;
                &lt;artifactId&gt;asm-util&lt;/artifactId&gt;
                &lt;version&gt;7.0&lt;/version&gt;
            &lt;/dependency&gt;
            &lt;dependency&gt;
                &lt;groupId&gt;org.ow2.asm&lt;/groupId&gt;
                &lt;artifactId&gt;asm-analysis&lt;/artifactId&gt;
                &lt;version&gt;7.0&lt;/version&gt;
            &lt;/dependency&gt;
            &lt;dependency&gt;
||||||| ../arthas/d8c16720f471db4fe5b7c21d992a948e9522a208/base/pom.xml
=======
                &lt;groupId&gt;org.benf&lt;/groupId&gt;
                &lt;artifactId&gt;cfr&lt;/artifactId&gt;
                &lt;version&gt;0.145&lt;/version&gt;
            &lt;/dependency&gt;
            &lt;dependency&gt;
&gt;&gt;&gt;&gt;&gt;&gt;&gt; ../arthas/d8c16720f471db4fe5b7c21d992a948e9522a208/right/pom.xml</t>
  </si>
  <si>
    <t>https://github.com/Netflix/Hystrix</t>
  </si>
  <si>
    <t>Hystrix</t>
  </si>
  <si>
    <t>1e7f5e077c0ce7de9ce9545369279e52a77905c3</t>
  </si>
  <si>
    <t>da69311c77287f3d789883dc743fbf54dc9ccba4</t>
  </si>
  <si>
    <t>783867cba9aed7ffae6d773b848fce614135acdd</t>
  </si>
  <si>
    <t>9de91ee126c090538204069a2cf6cd59e889bceb</t>
  </si>
  <si>
    <t>gradle.properties</t>
  </si>
  <si>
    <t xml:space="preserve">
-version=1.2.18-SNAPSHOT
+version=1.3.0-SNAPSHOT</t>
  </si>
  <si>
    <t xml:space="preserve">
-version=1.2.18-SNAPSHOT
+version=1.2.19-SNAPSHOT</t>
  </si>
  <si>
    <t xml:space="preserve">
&lt;&lt;&lt;&lt;&lt;&lt;&lt; HEAD
version=1.3.0-SNAPSHOT
=======
version=1.2.19-SNAPSHOT
&gt;&gt;&gt;&gt;&gt;&gt;&gt; 783867cba9aed7ffae6d773b848fce614135acdd
</t>
  </si>
  <si>
    <t>U vs. U (version no) L &gt; R</t>
  </si>
  <si>
    <t>L (the inserted version by R conflicts with L)</t>
  </si>
  <si>
    <t xml:space="preserve">version=1.3.0-SNAPSHOT
</t>
  </si>
  <si>
    <t>take left and insert a empty line</t>
  </si>
  <si>
    <t xml:space="preserve">
&lt;&lt;&lt;&lt;&lt;&lt;&lt; ../Hystrix/1e7f5e077c0ce7de9ce9545369279e52a77905c3/left/gradle.properties
version=1.3.0-SNAPSHOT
||||||| ../Hystrix/1e7f5e077c0ce7de9ce9545369279e52a77905c3/base/gradle.properties
version=1.2.18-SNAPSHOT
=======
version=1.2.19-SNAPSHOT
&gt;&gt;&gt;&gt;&gt;&gt;&gt; ../Hystrix/1e7f5e077c0ce7de9ce9545369279e52a77905c3/right/gradle.properties</t>
  </si>
  <si>
    <t>https://github.com/apache/kafka</t>
  </si>
  <si>
    <t>kafka</t>
  </si>
  <si>
    <t>3f473566ab2ef51f17034dc02f632df5d38fe307</t>
  </si>
  <si>
    <t>72610d1fc0bbf706a14f1605bf9862ea3830e707</t>
  </si>
  <si>
    <t>26a02c32dda0222c6ab1ad897992558c1c1eab76</t>
  </si>
  <si>
    <t>b5d16871c02a585643aec3229546af04721bb42c</t>
  </si>
  <si>
    <t>core/src/main/scala/kafka/controller/KafkaController.scala</t>
  </si>
  <si>
    <t xml:space="preserve">
   private val replicaStateMachine = new ReplicaStateMachine(this)
   private val controllerElector = new ZookeeperLeaderElector(controllerContext, ZkUtils.ControllerPath, onControllerFailover,
     config.brokerId)
+  // have a separate scheduler for the controller to be able to start and stop independently of the
+  // kafka server
+  private val autoRebalanceScheduler = new KafkaScheduler(1)
   val offlinePartitionSelector = new OfflinePartitionLeaderSelector(controllerContext)</t>
  </si>
  <si>
    <t xml:space="preserve">
   private val controllerElector = new ZookeeperLeaderElector(controllerContext, ZkUtils.ControllerPath, onControllerFailover,
-    config.brokerId)
+    onControllerResignation, config.brokerId)
+  // have a separate scheduler for the controller to be able to start and stop independently of the
+  // kafka server
+  private val autoRebalanceScheduler = new KafkaScheduler(1)
   val offlinePartitionSelector = new OfflinePartitionLeaderSelector(controllerContext)</t>
  </si>
  <si>
    <t xml:space="preserve">
&lt;&lt;&lt;&lt;&lt;&lt;&lt; HEAD
    config.brokerId)
=======
    onControllerResignation, config.brokerId)
&gt;&gt;&gt;&gt;&gt;&gt;&gt; 26a02c32dda0222c6ab1ad897992558c1c1eab76</t>
  </si>
  <si>
    <t xml:space="preserve">
   private val controllerElector = new ZookeeperLeaderElector(controllerContext, ZkUtils.ControllerPath, onControllerFailover,
-    config.brokerId)
+    onControllerResignation, config.brokerId)
+  // have a separate scheduler for the controller to be able to start and stop independently of the
+  // kafka server
+  private val autoRebalanceScheduler = new KafkaScheduler(1)</t>
  </si>
  <si>
    <t>N + D I (scala) (R include L)
Origin(I vs. U I)</t>
  </si>
  <si>
    <t>R (R includes L)</t>
  </si>
  <si>
    <t xml:space="preserve">
  private val controllerElector = new ZookeeperLeaderElector(controllerContext, ZkUtils.ControllerPath, onControllerFailover,
    onControllerResignation, config.brokerId)
  // have a separate scheduler for the controller to be able to start and stop independently of the
  // kafka server
  private val autoRebalanceScheduler = new KafkaScheduler(1)
  val offlinePartitionSelector = new OfflinePartitionLeaderSelector(controllerContext)</t>
  </si>
  <si>
    <t>only right</t>
  </si>
  <si>
    <t>https://github.com/google/ExoPlayer</t>
  </si>
  <si>
    <t>ExoPlayer</t>
  </si>
  <si>
    <t>7686ba8b4d47d6e0e9c8fcb51f672c38064070aa</t>
  </si>
  <si>
    <t>5124deaf3ce2efa47d089852a657c66c287710a0</t>
  </si>
  <si>
    <t>65dcef2addba372bf8b86dfee7cec69e129c675e</t>
  </si>
  <si>
    <t>396a19f20cd24bf959ec09914fd898576d1f9f1a</t>
  </si>
  <si>
    <t>library/src/main/java/com/google/android/exoplayer/util/extensions/InputBuffer.java</t>
  </si>
  <si>
    <t xml:space="preserve">
--- a/library/src/main/java/com/google/android/exoplayer/util/extensions/InputBuffer.java
+++ b/library/src/main/java/com/google/android/exoplayer/util/extensions/InputBuffer.java</t>
  </si>
  <si>
    <t xml:space="preserve">
--- a/library/src/main/java/com/google/android/exoplayer/util/extensions/InputBuffer.java
+++ /dev/null</t>
  </si>
  <si>
    <t xml:space="preserve">
CONFLICT (modify/delete): library/src/main/java/com/google/android/exoplayer/util/extensions/InputBuffer.java deleted in 65dcef2addba372bf8b86dfee7cec69e129c675e and modified in HEAD. Version HEAD of library/src/main/java/com/google/android/exoplayer/util/extensions/InputBuffer.java left in tree.</t>
  </si>
  <si>
    <t xml:space="preserve">
--- a/library/src/main/java/com/google/android/exoplayer/util/extensions/InputBuffer.java
+++ b/library/src/main/java/com/google/android/exoplayer/util/extensions/InputBuffer.java
@@ -24,9 +24,8 @@ public class InputBuffer extends Buffer {
   public final SampleHolder sampleHolder;
-  public InputBuffer(int initialSize) {
+  public InputBuffer() {
     sampleHolder = new SampleHolder(SampleHolder.BUFFER_REPLACEMENT_MODE_DIRECT);
-    sampleHolder.ensureSpaceForWrite(initialSize);
   }</t>
  </si>
  <si>
    <t xml:space="preserve">
package com.google.android.exoplayer.util.extensions; 
import com.google.android.exoplayer.SampleHolder; 
/**
 * Input buffer to be decoded by a {@link Decoder}.
 */
  class  InputBuffer  extends Buffer {
  public InputBuffer(int initialSize) {
    sampleHolder = new SampleHolder(SampleHolder.BUFFER_REPLACEMENT_MODE_DIRECT);
    sampleHolder.ensureSpaceForWrite(initialSize);
  }
  public InputBuffer() {
    sampleHolder = new SampleHolder(SampleHolder.BUFFER_REPLACEMENT_MODE_DIRECT);
  }
}
</t>
  </si>
  <si>
    <t>redundant function InputBuffer(int initialSize) and missing function reset()</t>
  </si>
  <si>
    <t xml:space="preserve">
&lt;&lt;&lt;&lt;&lt;&lt;&lt; ../ExoPlayer/7686ba8b4d47d6e0e9c8fcb51f672c38064070aa/left/library/src/main/java/com/google/android/exoplayer/util/extensions/InputBuffer.java
  public InputBuffer()
||||||| ../ExoPlayer/7686ba8b4d47d6e0e9c8fcb51f672c38064070aa/base/library/src/main/java/com/google/android/exoplayer/util/extensions/InputBuffer.java
  public InputBuffer(int initialSize)
=======
&gt;&gt;&gt;&gt;&gt;&gt;&gt; ../ExoPlayer/7686ba8b4d47d6e0e9c8fcb51f672c38064070aa/right/library/src/main/java/com/google/android/exoplayer/util/extensions/InputBuffer.java</t>
  </si>
  <si>
    <t>https://github.com/seata/seata</t>
  </si>
  <si>
    <t>seata</t>
  </si>
  <si>
    <t>3f93d57bc4b85e0300d4d6c42adcc3af70d021bf</t>
  </si>
  <si>
    <t>9a256ab0cc7150fa9b32da328b6b713f56d5cb68</t>
  </si>
  <si>
    <t>1b2501265104d74be8d12414d40b5376a05547ee</t>
  </si>
  <si>
    <t>866121e3454ffb2668fb69b7172e39ee4ff79a18</t>
  </si>
  <si>
    <t>tm/src/main/java/com/alibaba/fescar/tm/api/TransactionalTemplate.java</t>
  </si>
  <si>
    <t>@@ -65,8 +65,6 @@ public class TransactionalTemplate {
                 throw new TransactionalExecutor.ExecutionException(tx, txe,
                     TransactionalExecutor.Code.RollbackFailure, ex);
-            } finally {
-                GlobalTransactionContext.clean();
             }
         }</t>
  </si>
  <si>
    <t xml:space="preserve"> 
-            } finally {
-                GlobalTransactionContext.clean();
+            return rs;
+        } finally {
+            //5. clear
+            triggerAfterCompletion();
+            cleanUp();
+        }
+    }
+
+    private void triggerBeforeBegin() {
+        for (TransactionHook hook : getCurrentHooks()) {
+            try {
+                hook.beforeBegin();
+            } catch (Exception e) {
+                LOGGER.error("Failed execute beforeBegin in hook " + e.getMessage());
             }
+        }
+    }</t>
  </si>
  <si>
    <t xml:space="preserve">
&lt;&lt;&lt;&lt;&lt;&lt;&lt; HEAD
=======
            return rs;
        } finally {
            //5. clear
            triggerAfterCompletion();
            cleanUp();
        }
    }
    private void triggerBeforeBegin() {
        for (TransactionHook hook : getCurrentHooks()) {
            try {
                hook.beforeBegin();
            } catch (Exception e) {
                LOGGER.error("Failed execute beforeBegin in hook " + e.getMessage());
&gt;&gt;&gt;&gt;&gt;&gt;&gt; 1b2501265104d74be8d12414d40b5376a05547ee
</t>
  </si>
  <si>
    <t xml:space="preserve"> 
+            }
+            // 4. everything is fine, commit.
+            try {
+                triggerBeforeCommit();
+                tx.commit();
+                triggerAfterCommit();
             } catch (TransactionException txe) {
-                // 3.2 Failed to rollback
+                // 4.1 Failed to commit
                 throw new TransactionalExecutor.ExecutionException(tx, txe,
-                    TransactionalExecutor.Code.RollbackFailure, ex);
+                    TransactionalExecutor.Code.CommitFailure);
+            }
-            } finally {
-                GlobalTransactionContext.clean();
+            return rs;
+        } finally {
+            //5. clear
+            triggerAfterCompletion();
+            cleanUp();
+        }
+    }
+
+    private void triggerBeforeBegin() {
+        for (TransactionHook hook : getCurrentHooks()) {
+            try {
+                hook.beforeBegin();
+            } catch (Exception e) {
+                LOGGER.error("Failed execute beforeBegin in hook " + e.getMessage());
             }
+        }
+    }</t>
  </si>
  <si>
    <t>N + I(Java code) R includes L
Origin(D vs. U I)</t>
  </si>
  <si>
    <t>R(R include L)</t>
  </si>
  <si>
    <t xml:space="preserve">
        &lt;&lt;&lt;&lt;&lt;&lt;&lt; .../FSTMerge/fstmerge_tmp1647893314466/fstmerge_var1_4685707952243482235
=======
public void printNewLine() {
                NewLineStringReturner myNewLineStringReturner = new NewLineStringReturner();
                String myNewLineString = myNewLineStringReturner.getReturnString();
                System.out.print(myNewLineString);
        }
&gt;&gt;&gt;&gt;&gt;&gt;&gt; .../FSTMerge/fstmerge_tmp1647893314466/fstmerge_var2_8656780562543613558
</t>
  </si>
  <si>
    <t xml:space="preserve">
    }  finally 
&lt;&lt;&lt;&lt;&lt;&lt;&lt; Unknown file: This is a bug in JDime.
=======
    {
      triggerAfterCompletion();
      cleanUp();
    }
&gt;&gt;&gt;&gt;&gt;&gt;&gt; .../right/tm/src/main/java/com/alibaba/fescar/tm/api/TransactionalTemplate.java
  }
  private void triggerBeforeBegin() {</t>
  </si>
  <si>
    <t xml:space="preserve">
            throw new TransactionalExecutor.ExecutionException(tx, txe,
                TransactionalExecutor.Code.CommitFailure);
&lt;&lt;&lt;&lt;&lt;&lt;&lt; ours
=======
&gt;&gt;&gt;&gt;&gt;&gt;&gt; theirs
        }
        return rs;
        } finally {
            //5. clear
            triggerAfterCompletion();
            cleanUp();
        }
    }
    private void triggerBeforeBegin() {</t>
  </si>
  <si>
    <t xml:space="preserve">
            return rs;
&lt;&lt;&lt;&lt;&lt;&lt;&lt; ../seata/3f93d57bc4b85e0300d4d6c42adcc3af70d021bf/left/tm/src/main/java/com/alibaba/fescar/tm/api/TransactionalTemplate.java  
||||||| ../seata/3f93d57bc4b85e0300d4d6c42adcc3af70d021bf/base/tm/src/main/java/com/alibaba/fescar/tm/api/TransactionalTemplate.java
=======
        } finally {
            //5. clear
&gt;&gt;&gt;&gt;&gt;&gt;&gt; ../seata/3f93d57bc4b85e0300d4d6c42adcc3af70d021bf/right/tm/src/main/java/com/alibaba/fescar/tm/api/TransactionalTemplate.java</t>
  </si>
  <si>
    <t>https://github.com/halo-dev/halo</t>
  </si>
  <si>
    <t>halo</t>
  </si>
  <si>
    <t>57c0f8039993447caffa32680937582f9d7eac98</t>
  </si>
  <si>
    <t>102fb0fee8e8338c3b6abad37edfa94a374ee8c3</t>
  </si>
  <si>
    <t>d9cf8245b862a5771eeb53664f47ea664bb9e76c</t>
  </si>
  <si>
    <t>f7fb7c75429608c35e5e51a9a2dda6085c0091ae</t>
  </si>
  <si>
    <t>src/main/java/run/halo/app/model/freemarker/tag/PostTagDirective.java</t>
  </si>
  <si>
    <t xml:space="preserve">
         final DefaultObjectWrapperBuilder builder = new DefaultObjectWrapperBuilder(Configuration.VERSION_2_3_25);
         if (params.containsKey(HaloConst.METHOD_KEY)) {
             String method = params.get(HaloConst.METHOD_KEY).toString();
-            Integer categoryId = Integer.parseInt(params.get("categoryId").toString());
-            Integer tagId = Integer.parseInt(params.get("tagId").toString());
-            int top = Integer.parseInt(params.get("top").toString());
             switch (method) {
</t>
  </si>
  <si>
    <t xml:space="preserve">
         final DefaultObjectWrapperBuilder builder = new DefaultObjectWrapperBuilder(Configuration.VERSION_2_3_25);
         if (params.containsKey(HaloConst.METHOD_KEY)) {
             String method = params.get(HaloConst.METHOD_KEY).toString();
+            // TODO NullPointerException
             Integer categoryId = Integer.parseInt(params.get("categoryId").toString());
             Integer tagId = Integer.parseInt(params.get("tagId").toString());
             int top = Integer.parseInt(params.get("top").toString());</t>
  </si>
  <si>
    <t xml:space="preserve">
&lt;&lt;&lt;&lt;&lt;&lt;&lt; HEAD
=======
            // TODO NullPointerException
            Integer categoryId = Integer.parseInt(params.get("categoryId").toString());
            Integer tagId = Integer.parseInt(params.get("tagId").toString());
            int top = Integer.parseInt(params.get("top").toString());
&gt;&gt;&gt;&gt;&gt;&gt;&gt; d9cf8245b862a5771eeb53664f47ea664bb9e76c</t>
  </si>
  <si>
    <t xml:space="preserve">
         final DefaultObjectWrapperBuilder builder = new DefaultObjectWrapperBuilder(Configuration.VERSION_2_3_25);
         if (params.containsKey(HaloConst.METHOD_KEY)) {
             String method = params.get(HaloConst.METHOD_KEY).toString();
-            Integer categoryId = Integer.parseInt(params.get("categoryId").toString());
-            Integer tagId = Integer.parseInt(params.get("tagId").toString());
-            int top = Integer.parseInt(params.get("top").toString());
             switch (method) {</t>
  </si>
  <si>
    <t>D + I (delete Java code + insert comment)</t>
  </si>
  <si>
    <t>Code+Comment</t>
  </si>
  <si>
    <t xml:space="preserve">
        if (params.containsKey(HaloConst.METHOD_KEY)) {
            String method = params.get(HaloConst.METHOD_KEY).toString();
&lt;&lt;&lt;&lt;&lt;&lt;&lt; .../FSTMerge/fstmerge_tmp1647843855307/fstmerge_var1_2701431654000107129
=======
            // TODO NullPointerException
            Integer categoryId = Integer.parseInt(params.get("categoryId").toString());
            Integer tagId = Integer.parseInt(params.get("tagId").toString());
            int top = Integer.parseInt(params.get("top").toString());</t>
  </si>
  <si>
    <t xml:space="preserve">
      String method = params.get(HaloConst.METHOD_KEY).toString();
      switch (method) {
        case "latest":
        int top = Integer.parseInt(params.get("top").toString());
        env.setVariable("posts", builder.build().wrap(postService.listLatest(top)));
        break;
        case "count":
        env.setVariable("count", builder.build().wrap(postService.count()));
        break;
        case "archiveYear":
        env.setVariable("archives", builder.build().wrap(postService.listYearArchives()));
        break;
        case "archiveMonth":
        env.setVariable("archives", builder.build().wrap(postService.listMonthArchives()));
        break;
        case "listByCategoryId":
        Integer categoryId = Integer.parseInt(params.get("categoryId").toString());
        env.setVariable("posts", builder.build().wrap(postCategoryService.listPostBy(categoryId)));
        break;
        case "listByTagId":
        Integer tagId = Integer.parseInt(params.get("tagId").toString());
        env.setVariable("posts", builder.build().wrap(postTagService.listPostsBy(tagId)));
        break;
        default:
        break;
      }</t>
  </si>
  <si>
    <t xml:space="preserve">
        if (params.containsKey(HaloConst.METHOD_KEY)) {
            String method = params.get(HaloConst.METHOD_KEY).toString();
&lt;&lt;&lt;&lt;&lt;&lt;&lt; ours
=======
            // TODO NullPointerException
            Integer categoryId = Integer.parseInt(params.get("categoryId").toString());
            Integer tagId = Integer.parseInt(params.get("tagId").toString());
            int top = Integer.parseInt(params.get("top").toString());
&gt;&gt;&gt;&gt;&gt;&gt;&gt; theirs</t>
  </si>
  <si>
    <t xml:space="preserve">
        final DefaultObjectWrapperBuilder builder = new DefaultObjectWrapperBuilder(Configuration.VERSION_2_3_25);
        if (params.containsKey(HaloConst.METHOD_KEY)) {
            String method = params.get(HaloConst.METHOD_KEY).toString();
            // TODO NullPointerException</t>
  </si>
  <si>
    <t>https://github.com/alibaba/easyexcel</t>
  </si>
  <si>
    <t>easyexcel</t>
  </si>
  <si>
    <t>3f829efadce97c4e146a5d827c9076d488d4af16</t>
  </si>
  <si>
    <t>b9c0187cb001c79b824327f0e910bfaeb48b4cfd</t>
  </si>
  <si>
    <t>33e994e5312932fcdc0bc464cbbb80887b97afd3</t>
  </si>
  <si>
    <t>f69ebda8d2df5da5c1047a77a9e16447357beb2e</t>
  </si>
  <si>
    <t>src/test/java/com/alibaba/easyexcel/test/temp/simple/HgTest.java</t>
  </si>
  <si>
    <t xml:space="preserve">
@@ -2,6 +2,8 @@ package com.alibaba.easyexcel.test.temp.simple;
 import java.io.FileInputStream;
 import java.io.IOException;
+import java.io.InputStream;
+import java.net.URL;
 import java.util.List;
 import org.junit.Ignore;
@@ -24,7 +26,18 @@ public class HgTest {
     @Test
     public void hh() throws IOException {
         List&lt;Object&gt; list =
-            EasyExcel.read(new FileInputStream(""D:\\test\\折扣2007.xls"")).headRowNumber(0).sheet().doReadSync();
+            EasyExcel.read(new FileInputStream(""D:\\test\\嘉惠-中交建_2019-09-01_2019-09-30_1569055677522.xlsx"")).headRowNumber(0).sheet().doReadSync();
+        for (Object data : list) {
+            LOGGER.info(""返回数据：{}"", JSON.toJSONString(data));
+        }
+    }
+
+    @Test
+    public void hh5() throws IOException {
+        URL url = new URL(""http://hotelcontractfil.oss-cn-beijing.aliyuncs.com/2019/%E5%98%89%E6%83%A0-%E4%B8%AD%E4%BA%A4%E5%BB%BA_2019-09-01_2019-09-30_1569055677522.xlsx?Expires=1884415681&amp;OSSAccessKeyId=LTAIGZDkqZfPArBr&amp;Signature=Rf0gbO8vl3l%2Brj1KdyzHHMsUhCE%3D"");
+        InputStream is = url.openStream();
+        List&lt;Object&gt; list =
+            EasyExcel.read(is).headRowNumber(0).sheet().doReadSync();
         for (Object data : list) {
             LOGGER.info(""返回数据：{}"", JSON.toJSONString(data));
         }"</t>
  </si>
  <si>
    <t xml:space="preserve">
@@ -24,7 +24,7 @@ public class HgTest {
     @Test
     public void hh() throws IOException {
         List&lt;Object&gt; list =
-            EasyExcel.read(new FileInputStream("D:\\test\\折扣2007.xls")).headRowNumber(0).sheet().doReadSync();
+            EasyExcel.read(new FileInputStream("D:\\test\\1.xls")).headRowNumber(0).sheet().doReadSync();
         for (Object data : list) {
             LOGGER.info("返回数据：{}", JSON.toJSONString(data));
         }</t>
  </si>
  <si>
    <t xml:space="preserve">
&lt;&lt;&lt;&lt;&lt;&lt;&lt; HEAD
            EasyExcel.read(new FileInputStream("D:\\test\\嘉惠-中交建_2019-09-01_2019-09-30_1569055677522.xlsx")).headRowNumber(0).sheet().doReadSync();
        for (Object data : list) {
            LOGGER.info("返回数据：{}", JSON.toJSONString(data));
        }
    }
    @Test
    public void hh5() throws IOException {
        URL url = new URL("http://hotelcontractfil.oss-cn-beijing.aliyuncs.com/2019/%E5%98%89%E6%83%A0-%E4%B8%AD%E4%BA%A4%E5%BB%BA_2019-09-01_2019-09-30_1569055677522.xlsx?Expires=1884415681&amp;OSSAccessKeyId=LTAIGZDkqZfPArBr&amp;Signature=Rf0gbO8vl3l%2Brj1KdyzHHMsUhCE%3D");
        InputStream is = url.openStream();
        List&lt;Object&gt; list =
            EasyExcel.read(is).headRowNumber(0).sheet().doReadSync();
=======
            EasyExcel.read(new FileInputStream("D:\\test\\1.xls")).headRowNumber(0).sheet().doReadSync();
&gt;&gt;&gt;&gt;&gt;&gt;&gt; 33e994e5312932fcdc0bc464cbbb80887b97afd3</t>
  </si>
  <si>
    <t xml:space="preserve">
@@ -2,6 +2,8 @@ package com.alibaba.easyexcel.test.temp.simple;
 import java.io.FileInputStream;
 import java.io.IOException;
+import java.io.InputStream;
+import java.net.URL;
 import java.util.List;
 import org.junit.Ignore;
@@ -24,7 +26,18 @@ public class HgTest {
     @Test
     public void hh() throws IOException {
         List&lt;Object&gt; list =
-            EasyExcel.read(new FileInputStream("D:\\test\\折扣2007.xls")).headRowNumber(0).sheet().doReadSync();
+            EasyExcel.read(new FileInputStream("D:\\test\\嘉惠-中交建_2019-09-01_2019-09-30_1569055677522.xlsx")).headRowNumber(0).sheet().doReadSync();
+        for (Object data : list) {
+            LOGGER.info("返回数据：{}", JSON.toJSONString(data));
+        }
+    }
+
+    @Test
+    public void hh5() throws IOException {
+        URL url = new URL("http://hotelcontractfil.oss-cn-beijing.aliyuncs.com/2019/%E5%98%89%E6%83%A0-%E4%B8%AD%E4%BA%A4%E5%BB%BA_2019-09-01_2019-09-30_1569055677522.xlsx?Expires=1884415681&amp;OSSAccessKeyId=LTAIGZDkqZfPArBr&amp;Signature=Rf0gbO8vl3l%2Brj1KdyzHHMsUhCE%3D");
+        InputStream is = url.openStream();
+        List&lt;Object&gt; list =
+            EasyExcel.read(is).headRowNumber(0).sheet().doReadSync();
         for (Object data : list) {
             LOGGER.info("返回数据：{}", JSON.toJSONString(data));
         }</t>
  </si>
  <si>
    <t>U I vs. U(Java code)</t>
  </si>
  <si>
    <t xml:space="preserve">
    @Test
    public void hh() throws IOException {
        List&lt;Object&gt; list =
&lt;&lt;&lt;&lt;&lt;&lt;&lt; .../FSTMerge/fstmerge_tmp1647843864001/fstmerge_var1_4209020769168742716
            EasyExcel.read(new FileInputStream("D:\\test\\嘉惠-中交建_2019-09-01_2019-09-30_1569055677522.xlsx")).headRowNumber(0).sheet().doReadSync();
=======
            EasyExcel.read(new FileInputStream("D:\\test\\1.xls")).headRowNumber(0).sheet().doReadSync();
&gt;&gt;&gt;&gt;&gt;&gt;&gt; .../FSTMerge/fstmerge_tmp1647843864001/fstmerge_var2_6540986647661107980
        for (Object data : list) {
            LOGGER.info("返回数据：{}", JSON.toJSONString(data));
        }
    }</t>
  </si>
  <si>
    <t xml:space="preserve">
  @Test public void hh() throws IOException {
    List&lt;Object&gt; list = EasyExcel.read(new FileInputStream(
&lt;&lt;&lt;&lt;&lt;&lt;&lt; .../left/src/test/java/com/alibaba/easyexcel/test/temp/simple/HgTest.java
    "D:\\test\\\u5609\u60e0-\u4e2d\u4ea4\u5efa_2019-09-01_2019-09-30_1569055677522.xlsx"
=======
    "D:\\test\\1.xls"
&gt;&gt;&gt;&gt;&gt;&gt;&gt; .../right/src/test/java/com/alibaba/easyexcel/test/temp/simple/HgTest.java
    )).headRowNumber(0).sheet().doReadSync();
    for (Object data : list) {
      LOGGER.info("\u8fd4\u56de\u6570\u636e\uff1a{}", JSON.toJSONString(data));
    }
  }
  @Test public void hh5() throws IOException {
    URL url = new URL("http://hotelcontractfil.oss-cn-beijing.aliyuncs.com/2019/%E5%98%89%E6%83%A0-%E4%B8%AD%E4%BA%A4%E5%BB%BA_2019-09-01_2019-09-30_1569055677522.xlsx?Expires=1884415681&amp;OSSAccessKeyId=LTAIGZDkqZfPArBr&amp;Signature=Rf0gbO8vl3l%2Brj1KdyzHHMsUhCE%3D");
    InputStream is = url.openStream();
    List&lt;Object&gt; list = EasyExcel.read(is).headRowNumber(0).sheet().doReadSync();
    for (Object data : list) {
      LOGGER.info("\u8fd4\u56de\u6570\u636e\uff1a{}", JSON.toJSONString(data));
    }
  }</t>
  </si>
  <si>
    <t xml:space="preserve">
    @Test
    public void hh() throws IOException throws IOException {
        List&lt;Object&gt; list =
&lt;&lt;&lt;&lt;&lt;&lt;&lt; ours
            EasyExcel.read(new FileInputStream("D:\\test\\嘉惠-中交建_2019-09-01_2019-09-30_1569055677522.xlsx")).headRowNumber(0).sheet().doReadSync();
=======
            EasyExcel.read(new FileInputStream("D:\\test\\1.xls")).headRowNumber(0).sheet().doReadSync();
&gt;&gt;&gt;&gt;&gt;&gt;&gt; theirs
        for (Object data : list) {
            LOGGER.info("返回数据：{}", JSON.toJSONString(data));
        }
    }</t>
  </si>
  <si>
    <t xml:space="preserve">
  @Test public void hh() throws IOException {
    List&lt;Object&gt; list = EasyExcel.read(new FileInputStream("D:\\test\\\u5609\u60e0-\u4e2d\u4ea4\u5efa_2019-09-01_2019-09-30_1569055677522.xlsx", "D:\\test\\1.xls")).headRowNumber(0).sheet().doReadSync();
    for (Object data : list) {
      LOGGER.info("\u8fd4\u56de\u6570\u636e\uff1a{}", JSON.toJSONString(data));
    }
  }
  @Test public void hh5() throws IOException {
    URL url = new URL("http://hotelcontractfil.oss-cn-beijing.aliyuncs.com/2019/%E5%98%89%E6%83%A0-%E4%B8%AD%E4%BA%A4%E5%BB%BA_2019-09-01_2019-09-30_1569055677522.xlsx?Expires=1884415681&amp;OSSAccessKeyId=LTAIGZDkqZfPArBr&amp;Signature=Rf0gbO8vl3l%2Brj1KdyzHHMsUhCE%3D");
    InputStream is = url.openStream();
    List&lt;Object&gt; list = EasyExcel.read(is).headRowNumber(0).sheet().doReadSync();
    for (Object data : list) {
      LOGGER.info("\u8fd4\u56de\u6570\u636e\uff1a{}", JSON.toJSONString(data));
    }
  }</t>
  </si>
  <si>
    <t>due to characters cannot handle, generate meanlingless result</t>
  </si>
  <si>
    <t xml:space="preserve">
&lt;&lt;&lt;&lt;&lt;&lt;&lt; ../easyexcel/3f829efadce97c4e146a5d827c9076d488d4af16/left/src/test/java/com/alibaba/easyexcel/test/temp/simple/HgTest.java            
            EasyExcel.read(new FileInputStream(""D:\\test\\嘉惠-中交建_2019-09-01_2019-09-30_1569055677522.xlsx"")).headRowNumber(0).sheet().doReadSync();
||||||| ../easyexcel/3f829efadce97c4e146a5d827c9076d488d4af16/base/src/test/java/com/alibaba/easyexcel/test/temp/simple/HgTest.java
            EasyExcel.read(new FileInputStream("D:\\test\\折扣2007.xls")).headRowNumber(0).sheet().doReadSync();
=======
            EasyExcel.read(new FileInputStream("D:\\test\\1.xls")).headRowNumber(0).sheet().doReadSync();
&gt;&gt;&gt;&gt;&gt;&gt;&gt; ../easyexcel/3f829efadce97c4e146a5d827c9076d488d4af16/right/src/test/java/com/alibaba/easyexcel/test/temp/simple/HgTest.java</t>
  </si>
  <si>
    <t>https://github.com/mybatis/mybatis-3</t>
  </si>
  <si>
    <t>mybatis-3</t>
  </si>
  <si>
    <t>3502f7ced8ec30f6196c4253df4d22acba601c40</t>
  </si>
  <si>
    <t>70e455d7cc25d9d0bc7a16630809fefe2129b73b</t>
  </si>
  <si>
    <t>06e6db5232d64cd1092dd3b83df45f205749977f</t>
  </si>
  <si>
    <t>8fb6440058a706d31c2919f5975ecf91d25e5fc9</t>
  </si>
  <si>
    <t>src/test/java/org/apache/ibatis/jdbc/SQLTest.java</t>
  </si>
  <si>
    <t xml:space="preserve">
 package org.apache.ibatis.jdbc;
+import org.assertj.core.api.AssertionsForClassTypes;
 import org.junit.Test;
 import static org.assertj.core.api.Assertions.assertThat;</t>
  </si>
  <si>
    <t xml:space="preserve">
 package org.apache.ibatis.jdbc;
-import org.junit.Test;
+import org.junit.jupiter.api.Test;
 import static org.assertj.core.api.Assertions.assertThat;</t>
  </si>
  <si>
    <t xml:space="preserve">
&lt;&lt;&lt;&lt;&lt;&lt;&lt; HEAD
import org.assertj.core.api.AssertionsForClassTypes;
import org.junit.Test;
=======
import org.junit.jupiter.api.Test;
&gt;&gt;&gt;&gt;&gt;&gt;&gt; 06e6db5232d64cd1092dd3b83df45f205749977f
</t>
  </si>
  <si>
    <t xml:space="preserve">
-import org.junit.Test;
+import org.junit.jupiter.api.Test;
 import static org.assertj.core.api.Assertions.assertThat;</t>
  </si>
  <si>
    <t>I + U (import)</t>
  </si>
  <si>
    <t xml:space="preserve">
package org.apache.ibatis.jdbc; 
import org.junit.jupiter.api.Test; 
import static org.assertj.core.api.Assertions.assertThat; 
import static org.junit.jupiter.api.Assertions.assertEquals; 
import org.junit.Test; </t>
  </si>
  <si>
    <t>keep both sides but not remove the old one</t>
  </si>
  <si>
    <t xml:space="preserve">
package org.apache.ibatis.jdbc;
import org.assertj.core.api.AssertionsForClassTypes;
import org.junit.jupiter.api.Test;
import static org.assertj.core.api.Assertions.assertThat;</t>
  </si>
  <si>
    <t>keep both sides but remove the empty line</t>
  </si>
  <si>
    <t xml:space="preserve">
package org.apache.ibatis.jdbc;
import org.junit.jupiter.api.Test;
import org.assertj.core.api.AssertionsForClassTypes;
import static org.assertj.core.api.Assertions.assertThat;
import static org.junit.jupiter.api.Assertions.assertEquals;</t>
  </si>
  <si>
    <t>keep both sides and change order</t>
  </si>
  <si>
    <t xml:space="preserve">
&lt;&lt;&lt;&lt;&lt;&lt;&lt; ../mybatis-3/3502f7ced8ec30f6196c4253df4d22acba601c40/left/src/test/java/org/apache/ibatis/jdbc/SQLTest.java
import org.assertj.core.api.AssertionsForClassTypes;
import org.junit.Test;
||||||| ../mybatis-3/3502f7ced8ec30f6196c4253df4d22acba601c40/base/src/test/java/org/apache/ibatis/jdbc/SQLTest.java
import org.junit.Test;
=======
import org.junit.jupiter.api.Test;
&gt;&gt;&gt;&gt;&gt;&gt;&gt; ../mybatis-3/3502f7ced8ec30f6196c4253df4d22acba601c40/right/src/test/java/org/apache/ibatis/jdbc/SQLTest.java</t>
  </si>
  <si>
    <t>https://github.com/xuxueli/xxl-job</t>
  </si>
  <si>
    <t>xxl-job</t>
  </si>
  <si>
    <t>8512a34469bf574b199268d855f7fd86a18d8fcc</t>
  </si>
  <si>
    <t>4fa63e3aae9f6c438d3dc4949d533fb6a6b7db27</t>
  </si>
  <si>
    <t>6659ce1b7ddbefb7ab81d03eb80af46afc884073</t>
  </si>
  <si>
    <t>787ca40319a38a2d7ce21cc31c4e682f9ecb256d</t>
  </si>
  <si>
    <t>xxl-job-admin/src/main/java/com/xxl/job/admin/service/impl/AdminBizImpl.java</t>
  </si>
  <si>
    <t xml:space="preserve">
     @Override
     public ReturnT&lt;String&gt; registry(RegistryParam registryParam) {
-        int ret = xxlJobRegistryDao.registryUpdate(registryParam.getRegistGroup(), registryParam.getRegistryKey(), registryParam.getRegistryValue());
+        int ret = xxlJobRegistryDao.registryUpdate(registryParam.getRegistryGroup(), registryParam.getRegistryKey(), registryParam.getRegistryValue());
         if (ret &lt; 1) {
-            xxlJobRegistryDao.registrySave(registryParam.getRegistGroup(), registryParam.getRegistryKey(), registryParam.getRegistryValue());
+            xxlJobRegistryDao.registrySave(registryParam.getRegistryGroup(), registryParam.getRegistryKey(), registryParam.getRegistryValue());
</t>
  </si>
  <si>
    <t xml:space="preserve">
     @Override
     public ReturnT&lt;String&gt; registry(RegistryParam registryParam) {
-        int ret = xxlJobRegistryDao.registryUpdate(registryParam.getRegistGroup(), registryParam.getRegistryKey(), registryParam.getRegistryValue());
+
+        // valid
+        if (!StringUtils.hasText(registryParam.getRegistGroup())
+                || !StringUtils.hasText(registryParam.getRegistryKey())
+                || !StringUtils.hasText(registryParam.getRegistryValue())) {
+            return new ReturnT&lt;String&gt;(ReturnT.FAIL_CODE, "Illegal Argument.");
+        }
+
+        int ret = xxlJobRegistryDao.registryUpdate(registryParam.getRegistGroup(), registryParam.getRegistryKey(), registryParam.getRegistryValue(), new Date());
         if (ret &lt; 1) {
-            xxlJobRegistryDao.registrySave(registryParam.getRegistGroup(), registryParam.getRegistryKey(), registryParam.getRegistryValue());
+            xxlJobRegistryDao.registrySave(registryParam.getRegistGroup(), registryParam.getRegistryKey(), registryParam.getRegistryValue(), new Date());
</t>
  </si>
  <si>
    <t xml:space="preserve">&lt;&lt;&lt;&lt;&lt;&lt;&lt; HEAD
        int ret = xxlJobRegistryDao.registryUpdate(registryParam.getRegistryGroup(), registryParam.getRegistryKey(), registryParam.getRegistryValue());
        if (ret &lt; 1) {
            xxlJobRegistryDao.registrySave(registryParam.getRegistryGroup(), registryParam.getRegistryKey(), registryParam.getRegistryValue());
=======
        // valid
        if (!StringUtils.hasText(registryParam.getRegistGroup())
                || !StringUtils.hasText(registryParam.getRegistryKey())
                || !StringUtils.hasText(registryParam.getRegistryValue())) {
            return new ReturnT&lt;String&gt;(ReturnT.FAIL_CODE, "Illegal Argument.");
        }
        int ret = xxlJobRegistryDao.registryUpdate(registryParam.getRegistGroup(), registryParam.getRegistryKey(), registryParam.getRegistryValue(), new Date());
        if (ret &lt; 1) {
            xxlJobRegistryDao.registrySave(registryParam.getRegistGroup(), registryParam.getRegistryKey(), registryParam.getRegistryValue(), new Date());
&gt;&gt;&gt;&gt;&gt;&gt;&gt; 6659ce1b7ddbefb7ab81d03eb80af46afc884073
&lt;&lt;&lt;&lt;&lt;&lt;&lt; HEAD
        int ret = xxlJobRegistryDao.registryDelete(registryParam.getRegistryGroup(), registryParam.getRegistryKey(), registryParam.getRegistryValue());
=======
        // valid
        if (!StringUtils.hasText(registryParam.getRegistGroup())
                || !StringUtils.hasText(registryParam.getRegistryKey())
                || !StringUtils.hasText(registryParam.getRegistryValue())) {
            return new ReturnT&lt;String&gt;(ReturnT.FAIL_CODE, "Illegal Argument.");
        }
        int ret = xxlJobRegistryDao.registryDelete(registryParam.getRegistGroup(), registryParam.getRegistryKey(), registryParam.getRegistryValue());
&gt;&gt;&gt;&gt;&gt;&gt;&gt; 6659ce1b7ddbefb7ab81d03eb80af46afc884073
</t>
  </si>
  <si>
    <t>U vs. D I (Java code)
Origin(U vs. U)</t>
  </si>
  <si>
    <t xml:space="preserve">
    public ReturnT&lt;String&gt; registry(RegistryParam registryParam) {
&lt;&lt;&lt;&lt;&lt;&lt;&lt; .../FSTMerge/fstmerge_tmp1647843897574/fstmerge_var1_3861797917613241830
        int ret = xxlJobRegistryDao.registryUpdate(registryParam.getRegistryGroup(), registryParam.getRegistryKey(), registryParam.getRegistryValue());
        if (ret &lt; 1) {
            xxlJobRegistryDao.registrySave(registryParam.getRegistryGroup(), registryParam.getRegistryKey(), registryParam.getRegistryValue());
=======
        // valid
        if (!StringUtils.hasText(registryParam.getRegistGroup())
                || !StringUtils.hasText(registryParam.getRegistryKey())
                || !StringUtils.hasText(registryParam.getRegistryValue())) {
            return new ReturnT&lt;String&gt;(ReturnT.FAIL_CODE, "Illegal Argument.");
        }
        int ret = xxlJobRegistryDao.registryUpdate(registryParam.getRegistGroup(), registryParam.getRegistryKey(), registryParam.getRegistryValue(), new Date());
        if (ret &lt; 1) {
            xxlJobRegistryDao.registrySave(registryParam.getRegistGroup(), registryParam.getRegistryKey(), registryParam.getRegistryValue(), new Date());
&gt;&gt;&gt;&gt;&gt;&gt;&gt; .../FSTMerge/fstmerge_tmp1647843897574/fstmerge_var2_7819707114918834850
</t>
  </si>
  <si>
    <t xml:space="preserve">
  @Override public ReturnT&lt;String&gt; registry(RegistryParam registryParam) {
    if (!StringUtils.hasText(registryParam.getRegistGroup()) || !StringUtils.hasText(registryParam.getRegistryKey()) || !StringUtils.hasText(registryParam.getRegistryValue())) {
      return new ReturnT&lt;String&gt;(ReturnT.FAIL_CODE, "Illegal Argument.");
    }
    int ret = xxlJobRegistryDao.registryUpdate(registryParam.getRegistryGroup(), registryParam.getRegistryKey(), registryParam.getRegistryValue(), new Date());
    if (ret &lt; 1) {
      xxlJobRegistryDao.registrySave(registryParam.getRegistryGroup(), registryParam.getRegistryKey(), registryParam.getRegistryValue(), new Date());
      freshGroupRegistryInfo(registryParam);
    }
    return ReturnT.SUCCESS;
  }</t>
  </si>
  <si>
    <t>accept both sides and change format
(registryParam.getRegistryGroup() and registryParam.getRegistGroup() both exist)</t>
  </si>
  <si>
    <t xml:space="preserve">
    @Override
    public ReturnT&lt;String&gt; registry(RegistryParam registryParam) {
&lt;&lt;&lt;&lt;&lt;&lt;&lt; ours
        int ret = xxlJobRegistryDao.registryUpdate(registryParam.getRegistryGroup(), registryParam.getRegistryKey(), registryParam.getRegistryValue());
=======
        // valid
        if (!StringUtils.hasText(registryParam.getRegistGroup())
                || !StringUtils.hasText(registryParam.getRegistryKey())
                || !StringUtils.hasText(registryParam.getRegistryValue())) {
            return new ReturnT&lt;String&gt;(ReturnT.FAIL_CODE, "Illegal Argument.");
        }
        int ret = xxlJobRegistryDao.registryUpdate(registryParam.getRegistGroup(), registryParam.getRegistryKey(), registryParam.getRegistryValue(), new Date());
&gt;&gt;&gt;&gt;&gt;&gt;&gt; theirs
        if (ret &lt; 1) {
&lt;&lt;&lt;&lt;&lt;&lt;&lt; ours
            xxlJobRegistryDao.registrySave(registryParam.getRegistryGroup(), registryParam.getRegistryKey(), registryParam.getRegistryValue());
=======
            xxlJobRegistryDao.registrySave(registryParam.getRegistGroup(), registryParam.getRegistryKey(), registryParam.getRegistryValue(), new Date());
&gt;&gt;&gt;&gt;&gt;&gt;&gt; theirs</t>
  </si>
  <si>
    <t xml:space="preserve">
&lt;&lt;&lt;&lt;&lt;&lt;&lt; ../xxl-job/8512a34469bf574b199268d855f7fd86a18d8fcc/left/xxl-job-admin/src/main/java/com/xxl/job/admin/service/impl/AdminBizImpl.java
        int ret = xxlJobRegistryDao.registryUpdate(registryParam.getRegistryGroup(), registryParam.getRegistryKey(), registryParam.getRegistryValue());
||||||| ../xxl-job/8512a34469bf574b199268d855f7fd86a18d8fcc/base/xxl-job-admin/src/main/java/com/xxl/job/admin/service/impl/AdminBizImpl.java
        int ret = xxlJobRegistryDao.registryUpdate(registryParam.getRegistGroup(), registryParam.getRegistryKey(), registryParam.getRegistryValue());
=======
&gt;&gt;&gt;&gt;&gt;&gt;&gt; ../xxl-job/8512a34469bf574b199268d855f7fd86a18d8fcc/right/xxl-job-admin/src/main/java/com/xxl/job/admin/service/impl/AdminBizImpl.java</t>
  </si>
  <si>
    <t>https://github.com/dianping/cat</t>
  </si>
  <si>
    <t>cat</t>
  </si>
  <si>
    <t>1bd24982129971bf0ce1b4c4be113149820497d0</t>
  </si>
  <si>
    <t>e21236bbbd564e79bda7f5b0a1dc90f3938c4b27</t>
  </si>
  <si>
    <t>214441a6bc79a9d7916c65e8c16e1ebff530cd6f</t>
  </si>
  <si>
    <t>be96942019a77f52148d799513397da50ec11aeb</t>
  </si>
  <si>
    <t>cat-home/src/main/java/com/dianping/cat/report/page/network/JspViewer.java</t>
  </si>
  <si>
    <t xml:space="preserve">
                         return JspFile.NETWORK.getPath();
                 case AGGREGATION:
                         return JspFile.DASHBOARD.getPath();
+                case NETTOPOLOGY:
+                        return JspFile.NETTOPOLOGY.getPath();
                 }
                 throw new RuntimeException("Unknown action: " + action);</t>
  </si>
  <si>
    <t xml:space="preserve">
                 case NETWORK:
                         return JspFile.NETWORK.getPath();
                 case AGGREGATION:
-                        return JspFile.DASHBOARD.getPath();
+                        return JspFile.AGGREGATION.getPath();
                 }
                 throw new RuntimeException("Unknown action: " + action);</t>
  </si>
  <si>
    <t xml:space="preserve">
&lt;&lt;&lt;&lt;&lt;&lt;&lt; HEAD
                        return JspFile.DASHBOARD.getPath();
                case NETTOPOLOGY:
                        return JspFile.NETTOPOLOGY.getPath();
=======
                        return JspFile.AGGREGATION.getPath();
&gt;&gt;&gt;&gt;&gt;&gt;&gt; 214441a6bc79a9d7916c65e8c16e1ebff530cd6f</t>
  </si>
  <si>
    <t>I + U (Java code)</t>
  </si>
  <si>
    <t xml:space="preserve">
		case AGGREGATION:
&lt;&lt;&lt;&lt;&lt;&lt;&lt; .../FSTMerge/fstmerge_tmp1647843917672/fstmerge_var1_5074790302008225803
			return JspFile.DASHBOARD.getPath();
		case NETTOPOLOGY:
			return JspFile.NETTOPOLOGY.getPath();
=======
			return JspFile.AGGREGATION.getPath();
&gt;&gt;&gt;&gt;&gt;&gt;&gt; .../FSTMerge/fstmerge_tmp1647843917672/fstmerge_var2_1183113780613528719
		}</t>
  </si>
  <si>
    <t xml:space="preserve">
      case AGGREGATION:
      case NETTOPOLOGY:
      return 
&lt;&lt;&lt;&lt;&lt;&lt;&lt; .../left/cat-home/src/main/java/com/dianping/cat/report/page/network/JspViewer.java
      JspFile.NETTOPOLOGY
=======
      JspFile.AGGREGATION
&gt;&gt;&gt;&gt;&gt;&gt;&gt; .../right/cat-home/src/main/java/com/dianping/cat/report/page/network/JspViewer.java
      .getPath();</t>
  </si>
  <si>
    <t xml:space="preserve">
		case AGGREGATION:
&lt;&lt;&lt;&lt;&lt;&lt;&lt; ours
			return JspFile.DASHBOARD.getPath();
		case NETTOPOLOGY:
			return JspFile.NETTOPOLOGY.getPath();
=======
			return JspFile.AGGREGATION.getPath();
&gt;&gt;&gt;&gt;&gt;&gt;&gt; theirs
		}</t>
  </si>
  <si>
    <t xml:space="preserve">
      case AGGREGATION:
      case NETTOPOLOGY:
      return 
&lt;&lt;&lt;&lt;&lt;&lt;&lt; .../left/cat-home/src/main/java/com/dianping/cat/report/page/network/JspViewer.java
      JspFile.NETTOPOLOGY
=======
      JspFile.AGGREGATION
&gt;&gt;&gt;&gt;&gt;&gt;&gt; .../right/cat-home/src/main/java/com/dianping/cat/report/page/network/JspViewer.java
      .getPath();
    }</t>
  </si>
  <si>
    <t xml:space="preserve">
                case AGGREGATION:
                        return JspFile.AGGREGATION.getPath();
                case NETTOPOLOGY:
                        return JspFile.NETTOPOLOGY.getPath();
                }</t>
  </si>
  <si>
    <t>https://github.com/openzipkin/zipkin</t>
  </si>
  <si>
    <t>zipkin</t>
  </si>
  <si>
    <t>b062c246194be436fc04051327f315afa74054d8</t>
  </si>
  <si>
    <t>3a00ceea1a91a26e02796d2d1f157660d4ab4bb7</t>
  </si>
  <si>
    <t>e63bc61396804397083ac53bc999a7c72f29b90d</t>
  </si>
  <si>
    <t>559a625f75844d91c2c6d9f46ce2abe2083b3269</t>
  </si>
  <si>
    <t>zipkin-anormdb/src/main/scala/com/twitter/zipkin/storage/anormdb/AnormStorage.scala</t>
  </si>
  <si>
    <t xml:space="preserve">
     val results: Seq[Seq[Span]] = traceIds.map { traceId =&gt;
       spans.filter(_.traceId == traceId).map { span =&gt;
-        val spanAnnos = annos.filter(_.traceId == span.traceId).map { anno =&gt;
+        val spanAnnos = annos.filter(a =&gt;
+          a.traceId == span.traceId &amp;&amp; a.spanId == span.spanId).map { anno =&gt;
           val host:Option[Endpoint] = (anno.ipv4, anno.port) match {
             case (Some(ipv4), Some(port)) =&gt; Some(Endpoint(ipv4, port.toShort, anno.serviceName))
             case _ =&gt; None
@@ -202,7 +203,8 @@ case class AnormStorage(db: DB, openCon: Option[Connection] = None) extends Stor
           }
           Annotation(anno.timestamp, anno.value, host, duration)
         }</t>
  </si>
  <si>
    <t xml:space="preserve">
     val results: Seq[Seq[Span]] = traceIds.map { traceId =&gt;
       spans.filter(_.traceId == traceId).map { span =&gt;
-        val spanAnnos = annos.filter(_.traceId == span.traceId).map { anno =&gt;
-          val host:Option[Endpoint] = (anno.ipv4, anno.port) match {
-            case (Some(ipv4), Some(port)) =&gt; Some(Endpoint(ipv4, port.toShort, anno.serviceName))
-            case _ =&gt; None
+        val spanAnnos = annos.filter { a =&gt;
+            a.traceId == span.traceId &amp;&amp; a.spanId == span.spanId
           }</t>
  </si>
  <si>
    <t xml:space="preserve">
&lt;&lt;&lt;&lt;&lt;&lt;&lt; HEAD
        val spanAnnos = annos.filter(a =&gt;
          a.traceId == span.traceId &amp;&amp; a.spanId == span.spanId).map { anno =&gt;
          val host:Option[Endpoint] = (anno.ipv4, anno.port) match {
            case (Some(ipv4), Some(port)) =&gt; Some(Endpoint(ipv4, port.toShort, anno.serviceName))
            case _ =&gt; None
=======
        val spanAnnos = annos.filter { a =&gt;
            a.traceId == span.traceId &amp;&amp; a.spanId == span.spanId
&gt;&gt;&gt;&gt;&gt;&gt;&gt; e63bc61396804397083ac53bc999a7c72f29b90d</t>
  </si>
  <si>
    <t>D I vs. D I (scala)
Origin(U vs. U)</t>
  </si>
  <si>
    <t xml:space="preserve">
&lt;&lt;&lt;&lt;&lt;&lt;&lt; ../zipkin/b062c246194be436fc04051327f315afa74054d8/left/zipkin-anormdb/src/main/scala/com/twitter/zipkin/storage/anormdb/AnormStorage.scala
        val spanAnnos = annos.filter(a =&gt;
          a.traceId == span.traceId &amp;&amp; a.spanId == span.spanId).map { anno =&gt;
||||||| ../zipkin/b062c246194be436fc04051327f315afa74054d8/base/zipkin-anormdb/src/main/scala/com/twitter/zipkin/storage/anormdb/AnormStorage.scala
        val spanAnnos = annos.filter(_.traceId == span.traceId).map { anno =&gt;          
=======
        val spanAnnos = annos.filter { a =&gt;
            a.traceId == span.traceId &amp;&amp; a.spanId == span.spanId
&gt;&gt;&gt;&gt;&gt;&gt;&gt; ../zipkin/b062c246194be436fc04051327f315afa74054d8/right/zipkin-anormdb/src/main/scala/com/twitter/zipkin/storage/anormdb/AnormStorage.scala</t>
  </si>
  <si>
    <t>https://github.com/EnterpriseQualityCoding/FizzBuzzEnterpriseEdition</t>
  </si>
  <si>
    <t>FizzBuzzEnterpriseEdition</t>
  </si>
  <si>
    <t>d8bfc0a4cf56bbe4d5fb853147408334142a335f</t>
  </si>
  <si>
    <t>c23a9fdd65e3316040f61d3e2f0ed3d1b94ae988</t>
  </si>
  <si>
    <t>443536655c7fc758f1afd7558cc1546554e9f4c7</t>
  </si>
  <si>
    <t>8a53efdf66a294ca715e7ea105c6c99c6e4afbde</t>
  </si>
  <si>
    <t>com/seriouscompany/business/java/fizzbuzz/packagenamingpackage/printers/NewLinePrinter.java</t>
  </si>
  <si>
    <t xml:space="preserve">
--- a/com/seriouscompany/business/java/fizzbuzz/packagenamingpackage/printers/NewLinePrinter.java
+++ /dev/null</t>
  </si>
  <si>
    <t xml:space="preserve">
--- a/com/seriouscompany/business/java/fizzbuzz/packagenamingpackage/printers/NewLinePrinter.java
+++ b/com/seriouscompany/business/java/fizzbuzz/packagenamingpackage/printers/NewLinePrinter.java</t>
  </si>
  <si>
    <t xml:space="preserve">
CONFLICT (modify/delete): com/seriouscompany/business/java/fizzbuzz/packagenamingpackage/printers/NewLinePrinter.java deleted in HEAD and modified in 443536655c7fc758f1afd7558cc1546554e9f4c7. Version 443536655c7fc758f1afd7558cc1546554e9f4c7 of com/seriouscompany/business/java/fizzbuzz/packagenamingpackage/printers/NewLinePrinter.java left in tree.</t>
  </si>
  <si>
    <t>D vs. U (java file)</t>
  </si>
  <si>
    <t xml:space="preserve">
	&lt;&lt;&lt;&lt;&lt;&lt;&lt; .../FSTMerge/fstmerge_tmp1647893314466/fstmerge_var1_4685707952243482235
=======
public void printNewLine() {
		NewLineStringReturner myNewLineStringReturner = new NewLineStringReturner();
		String myNewLineString = myNewLineStringReturner.getReturnString();
		System.out.print(myNewLineString);
	}
&gt;&gt;&gt;&gt;&gt;&gt;&gt; .../FSTMerge/fstmerge_tmp1647893314466/fstmerge_var2_8656780562543613558
</t>
  </si>
  <si>
    <t>https://github.com/dbeaver/dbeaver</t>
  </si>
  <si>
    <t>dbeaver</t>
  </si>
  <si>
    <t>75e472bab0fa1e708a36c18abd2547da44793937</t>
  </si>
  <si>
    <t>a4a3242b9af65ba250bca344ed008cd643b535f0</t>
  </si>
  <si>
    <t>974bdea5aaf828485d979c23470fc47edc97d714</t>
  </si>
  <si>
    <t>a3f59b66ed76feafbf701b86f1532556f3771499</t>
  </si>
  <si>
    <t>docs/license_header.txt</t>
  </si>
  <si>
    <t xml:space="preserve">
"
+
+   Contributors:
+      Serge Rider - initial API and implementation"</t>
  </si>
  <si>
    <t xml:space="preserve">
+
+   Contributors:
+      Serge Rider - initial API and implementation
+      John Smith - German localization
+
+   Notes:
+      Any important notes (legal or implementation related)</t>
  </si>
  <si>
    <t>&lt;&lt;&lt;&lt;&lt;&lt;&lt; HEAD
=======
      John Smith - German localization
   Notes:
      Any important notes (legal or implementation related)
&gt;&gt;&gt;&gt;&gt;&gt;&gt; 974bdea5aaf828485d979c23470fc47edc97d714</t>
  </si>
  <si>
    <t xml:space="preserve">
@@ -1,5 +1,5 @@
    DBeaver - Universal Database Manager
-   Copyright (C) 2010-2019 Serge Rider (serge@jkiss.org)
+   Copyright (C) 2010-2019 DBeaver Corp and others
    Licensed under the Apache License, Version 2.0 (the "License");
    you may not use this file except in compliance with the License.
@@ -12,3 +12,10 @@
    WITHOUT WARRANTIES OR CONDITIONS OF ANY KIND, either express or implied.
    See the License for the specific language governing permissions and
    limitations under the License.
+
+   Contributors:
+      Serge Rider - initial API and implementation
+      John Smith - German localization
+
+   Notes:
+      Any important notes (legal or implementation related)</t>
  </si>
  <si>
    <t>I vs. I (insert contributors)</t>
  </si>
  <si>
    <t xml:space="preserve">
   Contributors:
      Serge Rider - initial API and implementation
</t>
  </si>
  <si>
    <t>keep left + adding an empty line at the end</t>
  </si>
  <si>
    <t xml:space="preserve">
   Contributors:
      Serge Rider - initial API and implementation
      John Smith - German localization
   Notes:
      Any important notes (legal or implementation related)</t>
  </si>
  <si>
    <t>https://github.com/brettwooldridge/HikariCP</t>
  </si>
  <si>
    <t>HikariCP</t>
  </si>
  <si>
    <t>68a52f143194e3d2fc7a14a005c64a58aca0d5a7</t>
  </si>
  <si>
    <t>6f49960d1346fc0f085a568c2eaacb3ba7680547</t>
  </si>
  <si>
    <t>b78fde91212e8ead54374dc452ddb207970bfdf6</t>
  </si>
  <si>
    <t>1a64ab2357573700c780d4123a548a399ce9b870</t>
  </si>
  <si>
    <t>src/main/java/com/zaxxer/hikari/pool/HikariPool.java</t>
  </si>
  <si>
    <t xml:space="preserve"> 
       this.addConnectionExecutor = createThreadPoolExecutor(config.getMaximumPoolSize(), "Hikari connection adder (pool " + poolName + ")", config.getThreadFactory(), new ThreadPoolExecutor.DiscardPolicy());
-      this.closeConnectionExecutor = createThreadPoolExecutor(4, "Hikari connection closer (pool " + poolName + ")", config.getThreadFactory(), new ThreadPoolExecutor.CallerRunsPolicy());
+      this.closeConnectionExecutor = createThreadPoolExecutor(1 + (config.getMaximumPoolSize() / 2), "Hikari connection closer (pool " + poolName + ")", config.getThreadFactory(), new ThreadPoolExecutor.CallerRunsPolicy());
+
+      if (config.getMetricsTrackerFactory() != null) {
+         setMetricsTrackerFactory(config.getMetricsTrackerFactory());
+      }
+      else {
+         setMetricRegistry(config.getMetricRegistry());
+      }
+
+      setHealthCheckRegistry(config.getHealthCheckRegistry());
+
+      registerMBeans(this);
+
+      checkFailFast();
       if (config.getScheduledExecutorService() == null) {</t>
  </si>
  <si>
    <t xml:space="preserve">
-      this.addConnectionExecutor = createThreadPoolExecutor(config.getMaximumPoolSize(), "Hikari connection adder (pool " + poolName + ")", config.getThreadFactory(), new ThreadPoolExecutor.DiscardPolicy());
-      this.closeConnectionExecutor = createThreadPoolExecutor(4, "Hikari connection closer (pool " + poolName + ")", config.getThreadFactory(), new ThreadPoolExecutor.CallerRunsPolicy());
+      ThreadFactory threadFactory = config.getThreadFactory();
+      this.addConnectionExecutor = createThreadPoolExecutor(config.getMaximumPoolSize(), "Hikari connection adder (pool " + poolName + ")", threadFactory, new ThreadPoolExecutor.DiscardPolicy());
+      this.closeConnectionExecutor = createThreadPoolExecutor(1 + config.getMaximumPoolSize() / 2, "Hikari connection closer (pool " + poolName + ")", threadFactory, new ThreadPoolExecutor.CallerRunsPolicy());
       if (config.getScheduledExecutorService() == null) {</t>
  </si>
  <si>
    <t>&lt;&lt;&lt;&lt;&lt;&lt;&lt; HEAD
      this.addConnectionExecutor = createThreadPoolExecutor(config.getMaximumPoolSize(), "Hikari connection adder (pool " + poolName + ")", config.getThreadFactory(), new ThreadPoolExecutor.DiscardPolicy());
      this.closeConnectionExecutor = createThreadPoolExecutor(1 + (config.getMaximumPoolSize() / 2), "Hikari connection closer (pool " + poolName + ")", config.getThreadFactory(), new ThreadPoolExecutor.CallerRunsPolicy());
      if (config.getMetricsTrackerFactory() != null) {
         setMetricsTrackerFactory(config.getMetricsTrackerFactory());
      }
      else {
         setMetricRegistry(config.getMetricRegistry());
      }
      setHealthCheckRegistry(config.getHealthCheckRegistry());
      registerMBeans(this);
      checkFailFast();
=======
      ThreadFactory threadFactory = config.getThreadFactory();
      this.addConnectionExecutor = createThreadPoolExecutor(config.getMaximumPoolSize(), "Hikari connection adder (pool " + poolName + ")", threadFactory, new ThreadPoolExecutor.DiscardPolicy());
      this.closeConnectionExecutor = createThreadPoolExecutor(1 + config.getMaximumPoolSize() / 2, "Hikari connection closer (pool " + poolName + ")", threadFactory, new ThreadPoolExecutor.CallerRunsPolicy());
&gt;&gt;&gt;&gt;&gt;&gt;&gt; b78fde91212e8ead54374dc452ddb207970bfdf6</t>
  </si>
  <si>
    <t xml:space="preserve">
-      this.addConnectionExecutor = createThreadPoolExecutor(config.getMaximumPoolSize(), "Hikari connection adder (pool " + poolName + ")", config.getThreadFactory(), new ThreadPoolExecutor.DiscardPolicy());
-      this.closeConnectionExecutor = createThreadPoolExecutor(4, "Hikari connection closer (pool " + poolName + ")", config.getThreadFactory(), new ThreadPoolExecutor.CallerRunsPolicy());
+      if (config.getMetricsTrackerFactory() != null) {
+         setMetricsTrackerFactory(config.getMetricsTrackerFactory());
+      }
+      else {
+         setMetricRegistry(config.getMetricRegistry());
+      }
+
+      setHealthCheckRegistry(config.getHealthCheckRegistry());
+
+      registerMBeans(this);
+
+      checkFailFast();
+
+      ThreadFactory threadFactory = config.getThreadFactory();
+      this.addConnectionExecutor = createThreadPoolExecutor(config.getMaximumPoolSize(), "Hikari connection adder (pool " + poolName + ")", threadFactory, new ThreadPoolExecutor.DiscardPolicy());
+      this.closeConnectionExecutor = createThreadPoolExecutor(1 + (config.getMaximumPoolSize() / 2), "Hikari connection closer (pool " + poolName + ")", threadFactory, new ThreadPoolExecutor.CallerRunsPolicy());
       if (config.getScheduledExecutorService() == null) {</t>
  </si>
  <si>
    <t xml:space="preserve">U I vs. D I (Java code)
Origin(U I vs. U)
</t>
  </si>
  <si>
    <t xml:space="preserve">accept both sides and combine edits in one line closeConnectionExecutor </t>
  </si>
  <si>
    <t xml:space="preserve">
    this.addConnectionExecutor = createThreadPoolExecutor(config.getMaximumPoolSize(), "Hikari connection adder (pool " + poolName + ")", threadFactory, new ThreadPoolExecutor.DiscardPolicy());
    this.closeConnectionExecutor = createThreadPoolExecutor(
&lt;&lt;&lt;&lt;&lt;&lt;&lt; .../left/src/main/java/com/zaxxer/hikari/pool/HikariPool.java
    1 + (config.getMaximumPoolSize() / 2)
=======
    1 + config.getMaximumPoolSize() / 2
&gt;&gt;&gt;&gt;&gt;&gt;&gt; .../right/src/main/java/com/zaxxer/hikari/pool/HikariPool.java
    , "Hikari connection closer (pool " + poolName + ")", threadFactory, new ThreadPoolExecutor.CallerRunsPolicy());
    if (config.getMetricsTrackerFactory() != null) {
      setMetricsTrackerFactory(config.getMetricsTrackerFactory());
    } else {
      setMetricRegistry(config.getMetricRegistry());
    }
    setHealthCheckRegistry(config.getHealthCheckRegistry());
    registerMBeans(this);</t>
  </si>
  <si>
    <t xml:space="preserve">
      this.connectionBag = new ConcurrentBag&lt;&gt;(this);
      this.totalConnections = new AtomicInteger();
      this.suspendResumeLock = config.isAllowPoolSuspension() ? new SuspendResumeLock() : SuspendResumeLock.FAUX_LOCK;
&lt;&lt;&lt;&lt;&lt;&lt;&lt; ours
      this.addConnectionExecutor = createThreadPoolExecutor(config.getMaximumPoolSize(), "Hikari connection adder (pool " + poolName + ")", config.getThreadFactory(), new ThreadPoolExecutor.DiscardPolicy());
      this.closeConnectionExecutor = createThreadPoolExecutor(1 + (config.getMaximumPoolSize() / 2), "Hikari connection closer (pool " + poolName + ")", config.getThreadFactory(), new ThreadPoolExecutor.CallerRunsPolicy());
=======
      ThreadFactory threadFactory = config.getThreadFactory();
      this.addConnectionExecutor = createThreadPoolExecutor(config.getMaximumPoolSize(), "Hikari connection adder (pool " + poolName + ")", threadFactory, new ThreadPoolExecutor.DiscardPolicy());
      this.closeConnectionExecutor = createThreadPoolExecutor(1 + config.getMaximumPoolSize() / 2, "Hikari connection closer (pool " + poolName + ")", threadFactory, new ThreadPoolExecutor.CallerRunsPolicy());
      if (config.getScheduledExecutorService() == null) {
         threadFactory = threadFactory != null ? threadFactory : new DefaultThreadFactory("Hikari housekeeper (pool " + poolName + ")", true);
         this.houseKeepingExecutorService = new ScheduledThreadPoolExecutor(1, threadFactory, new ThreadPoolExecutor.DiscardPolicy());
         this.houseKeepingExecutorService.setExecuteExistingDelayedTasksAfterShutdownPolicy(false);
         this.houseKeepingExecutorService.setRemoveOnCancelPolicy(true);
      }
      else {
         this.houseKeepingExecutorService = config.getScheduledExecutorService();
      }
      this.houseKeepingExecutorService.scheduleAtFixedRate(new HouseKeeper(), HOUSEKEEPING_PERIOD_MS, HOUSEKEEPING_PERIOD_MS, TimeUnit.MILLISECONDS);
      this.leakTask = new ProxyLeakTask(config.getLeakDetectionThreshold(), houseKeepingExecutorService);
&gt;&gt;&gt;&gt;&gt;&gt;&gt; theirs
</t>
  </si>
  <si>
    <t xml:space="preserve">
    this.addConnectionExecutor = createThreadPoolExecutor(config.getMaximumPoolSize(), "Hikari connection adder (pool " + poolName + ")", threadFactory, new ThreadPoolExecutor.DiscardPolicy());
    this.closeConnectionExecutor = createThreadPoolExecutor(
&lt;&lt;&lt;&lt;&lt;&lt;&lt; .../left/src/main/java/com/zaxxer/hikari/pool/HikariPool.java
    1 + (config.getMaximumPoolSize() / 2)
=======
    1 + config.getMaximumPoolSize() / 2
&gt;&gt;&gt;&gt;&gt;&gt;&gt; .../right/src/main/java/com/zaxxer/hikari/pool/HikariPool.java
    , "Hikari connection closer (pool " + poolName + ")", threadFactory, new ThreadPoolExecutor.CallerRunsPolicy());
    if (config.getMetricsTrackerFactory() != null) {
      setMetricsTrackerFactory(config.getMetricsTrackerFactory());
    } else {
      setMetricRegistry(config.getMetricRegistry());
    }
    setHealthCheckRegistry(config.getHealthCheckRegistry());
    registerMBeans(this);
    c</t>
  </si>
  <si>
    <t xml:space="preserve">
&lt;&lt;&lt;&lt;&lt;&lt;&lt; ../HikariCP/68a52f143194e3d2fc7a14a005c64a58aca0d5a7/left/src/main/java/com/zaxxer/hikari/pool/HikariPool.java
      this.addConnectionExecutor = createThreadPoolExecutor(config.getMaximumPoolSize(), "Hikari connection adder (pool " + poolName + ")", config.getThreadFactory(), new ThreadPoolExecutor.DiscardPolicy());
      this.closeConnectionExecutor = createThreadPoolExecutor(1 + (config.getMaximumPoolSize() / 2), "Hikari connection closer (pool " + poolName + ")", config.getThreadFactory(), new ThreadPoolExecutor.CallerRunsPolicy());
||||||| ../HikariCP/68a52f143194e3d2fc7a14a005c64a58aca0d5a7/base/src/main/java/com/zaxxer/hikari/pool/HikariPool.java
      this.addConnectionExecutor = createThreadPoolExecutor(config.getMaximumPoolSize(), "Hikari connection adder (pool " + poolName + ")", config.getThreadFactory(), new ThreadPoolExecutor.DiscardPolicy());
      this.closeConnectionExecutor = createThreadPoolExecutor(4, "Hikari connection closer (pool " + poolName + ")", config.getThreadFactory(), new ThreadPoolExecutor.CallerRunsPolicy());
=======
      ThreadFactory threadFactory = config.getThreadFactory();
      this.addConnectionExecutor = createThreadPoolExecutor(config.getMaximumPoolSize(), "Hikari connection adder (pool " + poolName + ")", threadFactory, new ThreadPoolExecutor.DiscardPolicy());
      this.closeConnectionExecutor = createThreadPoolExecutor(1 + config.getMaximumPoolSize() / 2, "Hikari connection closer (pool " + poolName + ")", threadFactory, new ThreadPoolExecutor.CallerRunsPolicy());
&gt;&gt;&gt;&gt;&gt;&gt;&gt; ../HikariCP/68a52f143194e3d2fc7a14a005c64a58aca0d5a7/right/src/main/java/com/zaxxer/hikari/pool/HikariPool.java</t>
  </si>
  <si>
    <t>https://github.com/redisson/redisson</t>
  </si>
  <si>
    <t>redisson</t>
  </si>
  <si>
    <t>cd8d6005527a5909fe38268c97a636f7de6cb92a</t>
  </si>
  <si>
    <t>f299957b01383424c77e1db3b588ae66fe7168b8</t>
  </si>
  <si>
    <t>5b3bb847121b9c40b9ab3de3e28f92935677b418</t>
  </si>
  <si>
    <t>a704017ace43dd2ff09e6a7b55b7a67541c3ec62</t>
  </si>
  <si>
    <t>redisson/pom.xml</t>
  </si>
  <si>
    <t xml:space="preserve">
     &lt;parent&gt;
         &lt;groupId&gt;org.redisson&lt;/groupId&gt;
         &lt;artifactId&gt;redisson-parent&lt;/artifactId&gt;
-        &lt;version&gt;2.9.2-SNAPSHOT&lt;/version&gt;
+        &lt;version&gt;3.4.2-SNAPSHOT&lt;/version&gt;
         &lt;relativePath&gt;../&lt;/relativePath&gt;
     &lt;/parent&gt;</t>
  </si>
  <si>
    <t xml:space="preserve">
     &lt;parent&gt;
         &lt;groupId&gt;org.redisson&lt;/groupId&gt;
         &lt;artifactId&gt;redisson-parent&lt;/artifactId&gt;
-        &lt;version&gt;2.9.2-SNAPSHOT&lt;/version&gt;
+        &lt;version&gt;2.9.3-SNAPSHOT&lt;/version&gt;
         &lt;relativePath&gt;../&lt;/relativePath&gt;
     &lt;/parent&gt;</t>
  </si>
  <si>
    <t>&lt;&lt;&lt;&lt;&lt;&lt;&lt; HEAD
        &lt;version&gt;3.4.2-SNAPSHOT&lt;/version&gt;
=======
        &lt;version&gt;2.9.3-SNAPSHOT&lt;/version&gt;
&gt;&gt;&gt;&gt;&gt;&gt;&gt; 5b3bb847121b9c40b9ab3de3e28f92935677b418</t>
  </si>
  <si>
    <t>U vs. U (pom.xml) L &gt; R version</t>
  </si>
  <si>
    <t xml:space="preserve">
      &lt;groupId&gt;org.redisson&lt;/groupId&gt;
      &lt;artifactId&gt;redisson-parent&lt;/artifactId&gt;
      &lt;version&gt;3.4.2-SNAPSHOT&lt;/version&gt;
      &lt;relativePath&gt;../&lt;/relativePath&gt;</t>
  </si>
  <si>
    <t>keep left and change format</t>
  </si>
  <si>
    <t xml:space="preserve">
&lt;&lt;&lt;&lt;&lt;&lt;&lt; ../redisson/cd8d6005527a5909fe38268c97a636f7de6cb92a/left/redisson/pom.xml
        &lt;version&gt;3.4.2-SNAPSHOT&lt;/version&gt;
||||||| ../redisson/cd8d6005527a5909fe38268c97a636f7de6cb92a/base/redisson/pom.xml
        &lt;version&gt;2.9.2-SNAPSHOT&lt;/version&gt;
=======
        &lt;version&gt;2.9.3-SNAPSHOT&lt;/version&gt;
&gt;&gt;&gt;&gt;&gt;&gt;&gt; ../redisson/cd8d6005527a5909fe38268c97a636f7de6cb92a/right/redisson/pom.xml</t>
  </si>
  <si>
    <t>https://github.com/LMAX-Exchange/disruptor</t>
  </si>
  <si>
    <t>disruptor</t>
  </si>
  <si>
    <t>b5332d410a81d2a2142728caaf34f1ac598b9832</t>
  </si>
  <si>
    <t>5f67b3d6de1b22af100d83a4d8c5e7c6f61975a9</t>
  </si>
  <si>
    <t>720d9e676e09a15f4b1b6729cf6f2e1d5ab3c456</t>
  </si>
  <si>
    <t>af41074f2561bf9a51411163820768d271c13606</t>
  </si>
  <si>
    <t>src/test/java/com/lmax/disruptor/RingBufferEventMatcher.java</t>
  </si>
  <si>
    <t xml:space="preserve">
-import static org.hamcrest.CoreMatchers.allOf;
-import static org.hamcrest.CoreMatchers.is;
-
 import org.hamcrest.Description;
 import org.hamcrest.Factory;
 import org.hamcrest.Matcher;
 import org.hamcrest.TypeSafeMatcher;</t>
  </si>
  <si>
    <t xml:space="preserve">
-import static org.hamcrest.CoreMatchers.allOf;
+//import static org.hamcrest.CoreMatchers.allOf;
 import static org.hamcrest.CoreMatchers.is;</t>
  </si>
  <si>
    <t>&lt;&lt;&lt;&lt;&lt;&lt;&lt; HEAD
=======
//import static org.hamcrest.CoreMatchers.allOf;
import static org.hamcrest.CoreMatchers.is;
&gt;&gt;&gt;&gt;&gt;&gt;&gt; 720d9e676e09a15f4b1b6729cf6f2e1d5ab3c456</t>
  </si>
  <si>
    <t xml:space="preserve">D vs. U(import)
</t>
  </si>
  <si>
    <t xml:space="preserve">
import static org.hamcrest.CoreMatchers.is; 
import org.hamcrest.Description; 
import org.hamcrest.Factory; 
import org.hamcrest.Matcher; 
import org.hamcrest.TypeSafeMatcher; </t>
  </si>
  <si>
    <t>similar to right, remove one line but not adding the comment</t>
  </si>
  <si>
    <t>R+M</t>
  </si>
  <si>
    <t xml:space="preserve">
package com.lmax.disruptor;
import org.hamcrest.Description;
import static org.hamcrest.CoreMatchers.is;
import org.hamcrest.Factory;
import org.hamcrest.Matcher;
import org.hamcrest.TypeSafeMatcher;</t>
  </si>
  <si>
    <t>only right but not adding the comment</t>
  </si>
  <si>
    <t xml:space="preserve">
package com.lmax.disruptor;
// import static org.hamcrest.CoreMatchers.allOf;
import static org.hamcrest.CoreMatchers.is;
import org.hamcrest.Description;
import org.hamcrest.Factory;
import org.hamcrest.Matcher;
import org.hamcrest.TypeSafeMatcher;</t>
  </si>
  <si>
    <t>keep right and change format(white space after//)</t>
  </si>
  <si>
    <t xml:space="preserve">
&lt;&lt;&lt;&lt;&lt;&lt;&lt; ../disruptor/b5332d410a81d2a2142728caaf34f1ac598b9832/left/src/test/java/com/lmax/disruptor/RingBufferEventMatcher.java
||||||| ../disruptor/b5332d410a81d2a2142728caaf34f1ac598b9832/base/src/test/java/com/lmax/disruptor/RingBufferEventMatcher.java
import static org.hamcrest.CoreMatchers.allOf;
import static org.hamcrest.CoreMatchers.is;
=======
//import static org.hamcrest.CoreMatchers.allOf;
import static org.hamcrest.CoreMatchers.is;
&gt;&gt;&gt;&gt;&gt;&gt;&gt; ../disruptor/b5332d410a81d2a2142728caaf34f1ac598b9832/right/src/test/java/com/lmax/disruptor/RingBufferEventMatcher.java</t>
  </si>
  <si>
    <t>https://github.com/alibaba/spring-cloud-alibaba</t>
  </si>
  <si>
    <t>spring-cloud-alibaba</t>
  </si>
  <si>
    <t>3afd0177e5d5dd527e39e63ed0289eeed2fb9ce6</t>
  </si>
  <si>
    <t>1c759ec8d5717b935e0faf3d05ae61e8d7e23c0c</t>
  </si>
  <si>
    <t>f96869e1d26699ba60d21a95c7a5497bfe7962fa</t>
  </si>
  <si>
    <t>252b33f562d88439dccbefe83c8ea696321fbf25</t>
  </si>
  <si>
    <t xml:space="preserve">         &lt;module&gt;spring-cloud-alicloud-oss&lt;/module&gt;
+        &lt;module&gt;spring-cloud-alibaba-sentinel-zuul&lt;/module&gt;
     &lt;/modules&gt;</t>
  </si>
  <si>
    <t xml:space="preserve">
         &lt;module&gt;spring-cloud-alicloud-oss&lt;/module&gt;
+        &lt;module&gt;spring-cloud-alicloud-acm&lt;/module&gt;
+        &lt;module&gt;spring-cloud-alicloud-ans&lt;/module&gt;
+        &lt;module&gt;spring-cloud-alicloud-schedulerx&lt;/module&gt;
+        &lt;module&gt;spring-cloud-alicloud-sms&lt;/module&gt;</t>
  </si>
  <si>
    <t>&lt;&lt;&lt;&lt;&lt;&lt;&lt; HEAD
        &lt;module&gt;spring-cloud-alibaba-sentinel-zuul&lt;/module&gt;
=======
        &lt;module&gt;spring-cloud-alicloud-acm&lt;/module&gt;
        &lt;module&gt;spring-cloud-alicloud-ans&lt;/module&gt;
        &lt;module&gt;spring-cloud-alicloud-schedulerx&lt;/module&gt;
        &lt;module&gt;spring-cloud-alicloud-sms&lt;/module&gt;
&gt;&gt;&gt;&gt;&gt;&gt;&gt; f96869e1d26699ba60d21a95c7a5497bfe7962fa</t>
  </si>
  <si>
    <t xml:space="preserve">
         &lt;module&gt;spring-cloud-alicloud-oss&lt;/module&gt;
+        &lt;module&gt;spring-cloud-alicloud-acm&lt;/module&gt;
+        &lt;module&gt;spring-cloud-alicloud-ans&lt;/module&gt;
+        &lt;module&gt;spring-cloud-alicloud-schedulerx&lt;/module&gt;
+        &lt;module&gt;spring-cloud-alicloud-sms&lt;/module&gt;
+        &lt;module&gt;spring-cloud-alibaba-sentinel-zuul&lt;/module&gt;
     &lt;/modules&gt;</t>
  </si>
  <si>
    <t>I vs. I (xml)</t>
  </si>
  <si>
    <t xml:space="preserve">
   &lt;modules&gt;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   &lt;module&gt;spring-cloud-alibaba-dependencies&lt;/module&gt;
   &lt;/modules&gt;</t>
  </si>
  <si>
    <t xml:space="preserve">
&lt;&lt;&lt;&lt;&lt;&lt;&lt; ../spring-cloud-alibaba/3afd0177e5d5dd527e39e63ed0289eeed2fb9ce6/left/pom.xml
        &lt;module&gt;spring-cloud-alibaba-sentinel-zuul&lt;/module&gt;
||||||| ../spring-cloud-alibaba/3afd0177e5d5dd527e39e63ed0289eeed2fb9ce6/base/pom.xml
=======
        &lt;module&gt;spring-cloud-alicloud-acm&lt;/module&gt;        
&gt;&gt;&gt;&gt;&gt;&gt;&gt; ../spring-cloud-alibaba/3afd0177e5d5dd527e39e63ed0289eeed2fb9ce6/right/pom.xml</t>
  </si>
  <si>
    <t>https://github.com/linlinjava/litemall</t>
  </si>
  <si>
    <t>litemall</t>
  </si>
  <si>
    <t>104523c63b50a049228e5ddb2aacbacd70462a00</t>
  </si>
  <si>
    <t>70c31ee4dd0db97e65620f96ff1c241bd6fa4937</t>
  </si>
  <si>
    <t>4ee32ff6487e780a7855fd6526a13fe80be153b2</t>
  </si>
  <si>
    <t>3cb559bb87278b25baa461cff30cc9c96aa4049c</t>
  </si>
  <si>
    <t>doc/project.md</t>
  </si>
  <si>
    <t xml:space="preserve">
   * 定时任务（待定）
-  * 参数管理（待定）
-  * 系统日志（待定）
+  * 参数管理
+  * 操作日志
 * 统计管理
   * 用户统计
   * 订单统计</t>
  </si>
  <si>
    <t xml:space="preserve">
   * 定时任务（待定）
-  * 参数管理（待定）
-  * 系统日志（待定）
-* 统计管理
+  * 操作日志
+* 配置管理
+  * 商场配置
+  * 小程序配置
+  * 运费配置
+  * 订单配置
+* 统计报表
   * 用户统计
   * 订单统计
   * 商品统计</t>
  </si>
  <si>
    <t xml:space="preserve">
* 系统管理
  * 管理员
  * 对象存储
  * 权限管理
  * 定时任务（待定）
&lt;&lt;&lt;&lt;&lt;&lt;&lt; HEAD
  * 参数管理
  * 操作日志
* 统计管理
=======
  * 操作日志
* 配置管理
  * 商场配置
  * 小程序配置
  * 运费配置
  * 订单配置
* 统计报表
&gt;&gt;&gt;&gt;&gt;&gt;&gt; 4ee32ff6487e780a7855fd6526a13fe80be153b2
  * 用户统计
  * 订单统计
  * 商品统计</t>
  </si>
  <si>
    <t xml:space="preserve">
@@ -98,11 +126,15 @@ litemall是一个简单的商场系统，基于现有的开源项目，重新实
 * 系统管理
   * 管理员
   * 对象存储
-  * 权限管理（待定）
+  * 权限管理
   * 定时任务（待定）
-  * 参数管理（待定）
-  * 系统日志（待定）
-* 统计管理
+  * 操作日志
+* 配置管理
+  * 商场配置
+  * 小程序配置
+  * 运费配置
+  * 订单配置
+* 统计报表
   * 用户统计
   * 订单统计
   * 商品统计</t>
  </si>
  <si>
    <t>U vs. D I (md)</t>
  </si>
  <si>
    <t xml:space="preserve">
&lt;&lt;&lt;&lt;&lt;&lt;&lt; ../litemall/104523c63b50a049228e5ddb2aacbacd70462a00/left/doc/project.md
  * 参数管理
  * 操作日志
* 统计管理
||||||| ../litemall/104523c63b50a049228e5ddb2aacbacd70462a00/base/doc/project.md
  * 参数管理（待定）
  * 系统日志（待定）
* 统计管理
=======
  * 操作日志
* 配置管理
&gt;&gt;&gt;&gt;&gt;&gt;&gt; ../litemall/104523c63b50a049228e5ddb2aacbacd70462a00/right/doc/project.md</t>
  </si>
  <si>
    <t>https://github.com/Bigkoo/Android-PickerView</t>
  </si>
  <si>
    <t>Android-PickerView</t>
  </si>
  <si>
    <t>862fc3a6b76b453fd943fb1b5c36755f2ec50b29</t>
  </si>
  <si>
    <t>a30495493177e773ee191054e0375834587ba2af</t>
  </si>
  <si>
    <t>3ef0e323e8ec6fd092540ac9a1c5a7b50054c8a5</t>
  </si>
  <si>
    <t>6558f305752b245014be0716faf8c37af5283c86</t>
  </si>
  <si>
    <t>pickerview/src/main/java/com/bigkoo/pickerview/TimePickerView.java</t>
  </si>
  <si>
    <t xml:space="preserve">
 import android.widget.RelativeLayout;
 import android.widget.TextView;
+import com.bigkoo.pickerview.listener.CustomListener;
 import com.bigkoo.pickerview.view.BasePickerView;
 import com.bigkoo.pickerview.view.WheelTime;</t>
  </si>
  <si>
    <t xml:space="preserve">
 import android.widget.RelativeLayout;
 import android.widget.TextView;
+import com.bigkoo.pickerview.lib.WheelView;
 import com.bigkoo.pickerview.view.BasePickerView;
 import com.bigkoo.pickerview.view.WheelTime;</t>
  </si>
  <si>
    <t>&lt;&lt;&lt;&lt;&lt;&lt;&lt; HEAD
import com.bigkoo.pickerview.listener.CustomListener;
=======
import com.bigkoo.pickerview.lib.WheelView;
&gt;&gt;&gt;&gt;&gt;&gt;&gt; 3ef0e323e8ec6fd092540ac9a1c5a7b50054c8a5</t>
  </si>
  <si>
    <t xml:space="preserve">
 import android.widget.RelativeLayout;
 import android.widget.TextView;
+import com.bigkoo.pickerview.listener.CustomListener;
+import com.bigkoo.pickerview.lib.WheelView;
 import com.bigkoo.pickerview.view.BasePickerView;
 import com.bigkoo.pickerview.view.WheelTime;</t>
  </si>
  <si>
    <t>I vs. I (import)</t>
  </si>
  <si>
    <t xml:space="preserve">
import com.bigkoo.pickerview.lib.WheelView; 
import com.bigkoo.pickerview.listener.CustomListener; </t>
  </si>
  <si>
    <t>accept both sides but put different location</t>
  </si>
  <si>
    <t xml:space="preserve">
import android.widget.TextView;
import com.bigkoo.pickerview.listener.CustomListener;
import com.bigkoo.pickerview.lib.WheelView;
import com.bigkoo.pickerview.view.BasePickerView;</t>
  </si>
  <si>
    <t xml:space="preserve">
import android.widget.TextView;
import com.bigkoo.pickerview.listener.CustomListener;
import com.bigkoo.pickerview.lib.WheelView;
import com.bigkoo.pickerview.view.BasePickerView;</t>
  </si>
  <si>
    <t>accept both sides but remove a empty line</t>
  </si>
  <si>
    <t xml:space="preserve">
&lt;&lt;&lt;&lt;&lt;&lt;&lt; ../Android-PickerView/862fc3a6b76b453fd943fb1b5c36755f2ec50b29/left/pickerview/src/main/java/com/bigkoo/pickerview/TimePickerView.java
import com.bigkoo.pickerview.listener.CustomListener;
||||||| ../Android-PickerView/862fc3a6b76b453fd943fb1b5c36755f2ec50b29/base/pickerview/src/main/java/com/bigkoo/pickerview/TimePickerView.java
=======
import com.bigkoo.pickerview.lib.WheelView;
&gt;&gt;&gt;&gt;&gt;&gt;&gt; ../Android-PickerView/862fc3a6b76b453fd943fb1b5c36755f2ec50b29/right/pickerview/src/main/java/com/bigkoo/pickerview/TimePickerView.java</t>
  </si>
  <si>
    <t>https://github.com/alibaba/nacos</t>
  </si>
  <si>
    <t>nacos</t>
  </si>
  <si>
    <t>e63aba60705ac49bfc01f1f72fdb62076b611ccf</t>
  </si>
  <si>
    <t>5a0dc77a73a6a7057468bac0c6f5e95c7aba40ba</t>
  </si>
  <si>
    <t>2d36cae9d7ddf66ec560d135b28c196899549010</t>
  </si>
  <si>
    <t>746035c11aba0aad102052113321b46f09c6becb</t>
  </si>
  <si>
    <t>console/src/main/resources/static/src/pages/ConfigurationManagement/ListeningToQuery/ListeningToQuery.js</t>
  </si>
  <si>
    <t xml:space="preserve">
@@ -100,7 +100,7 @@ class ListeningToQuery extends React.Component {
                     }
                     self.setState({
                         dataSource: dataSoureTmp || [],
-                        total: data.length
+                        total: dataSoureTmp.length || 0
                     });
                 }
             },</t>
  </si>
  <si>
    <t xml:space="preserve">
--- a/console/src/main/resources/static/src/pages/ConfigurationManagement/ListeningToQuery/ListeningToQuery.js
+++ /dev/null</t>
  </si>
  <si>
    <t xml:space="preserve">
CONFLICT (modify/delete): console/src/main/resources/static/src/pages/ConfigurationManagement/ListeningToQuery/ListeningToQuery.js deleted in 2d36cae9d7ddf66ec560d135b28c196899549010 and modified in HEAD. Version HEAD of console/src/main/resources/static/src/pages/ConfigurationManagement/ListeningToQuery/ListeningToQuery.js left in tree.</t>
  </si>
  <si>
    <t>U vs. D (JS)</t>
  </si>
  <si>
    <t xml:space="preserve">
&lt;&lt;&lt;&lt;&lt;&lt;&lt; ../nacos/e63aba60705ac49bfc01f1f72fdb62076b611ccf/left/console/src/main/resources/static/src/pages/ConfigurationManagement/ListeningToQuery/ListeningToQuery.js
                        total: dataSoureTmp.length || 0
||||||| ../nacos/e63aba60705ac49bfc01f1f72fdb62076b611ccf/base/console/src/main/resources/static/src/pages/ConfigurationManagement/ListeningToQuery/ListeningToQuery.js
                        total: data.length
=======
&gt;&gt;&gt;&gt;&gt;&gt;&gt; ../nacos/e63aba60705ac49bfc01f1f72fdb62076b611ccf/right/console/src/main/resources/static/src/pages/ConfigurationManagement/ListeningToQuery/ListeningToQuery.js</t>
  </si>
  <si>
    <t>https://github.com/zhihu/Matisse</t>
  </si>
  <si>
    <t>Matisse</t>
  </si>
  <si>
    <t>93d0051c349d40604dc104299f78c6f63263cd92</t>
  </si>
  <si>
    <t>aea8c3f92a221364ab5a5394b8767b9793ae53d9</t>
  </si>
  <si>
    <t>1a4e5645f86009b3012b666b1d7b08a32cafc7c3</t>
  </si>
  <si>
    <t>c68e3860b2d94a2ba47461edf17ab602821270df</t>
  </si>
  <si>
    <t>sample/src/main/java/com/zhihu/matisse/sample/SampleActivity.java</t>
  </si>
  <si>
    <t xml:space="preserve">
                             switch (v.getId()) {
                                 case R.id.zhihu:
                                     Matisse.from(SampleActivity.this)
-                                            .choose(MimeType.ofAll(), false)
+                                            .choose(MimeType.ofImage(), false)
                                             .countable(true)
                                             .capture(true)
                                             .captureStrategy(
</t>
  </si>
  <si>
    <t xml:space="preserve">
                             switch (v.getId()) {
                                 case R.id.zhihu:
                                     Matisse.from(SampleActivity.this)
-                                            .choose(MimeType.ofAll(), false)
+                                            .choose(MimeType.of(MimeType.GIF), true)
                                             .countable(true)
                                             .capture(true)
                                             .captureStrategy(</t>
  </si>
  <si>
    <t xml:space="preserve">
                            switch (v.getId()) {
                                case R.id.zhihu:
                                    Matisse.from(SampleActivity.this)
&lt;&lt;&lt;&lt;&lt;&lt;&lt; HEAD
                                            .choose(MimeType.ofImage(), false)
=======
                                            .choose(MimeType.of(MimeType.GIF), true)
&gt;&gt;&gt;&gt;&gt;&gt;&gt; 1a4e5645f86009b3012b666b1d7b08a32cafc7c3
</t>
  </si>
  <si>
    <t>U vs. U (expression, .choose(MimeType.ofAll(), false)...</t>
  </si>
  <si>
    <t xml:space="preserve">
                    @Override
                    public void onNext(Boolean aBoolean) {
                        if (aBoolean) {
                            switch (v.getId()) {
                                case R.id.zhihu:
                                    Matisse.from(SampleActivity.this)
&lt;&lt;&lt;&lt;&lt;&lt;&lt; .../FSTMerge/fstmerge_tmp1647844272254/fstmerge_var1_1470981282580056483
                                            .choose(MimeType.ofImage(), false)
=======
                                            .choose(MimeType.of(MimeType.GIF), true)
&gt;&gt;&gt;&gt;&gt;&gt;&gt; .../FSTMerge/fstmerge_tmp1647844272254/fstmerge_var2_6846798324976130785
                                            .countable(true)
                                            .capture(true)</t>
  </si>
  <si>
    <t xml:space="preserve">
      @Override public void onNext(Boolean aBoolean) {
        if (aBoolean) {
          switch (v.getId()) {
            case R.id.zhihu:
            Matisse.from(SampleActivity.this).choose(MimeType.
&lt;&lt;&lt;&lt;&lt;&lt;&lt; .../left/sample/src/main/java/com/zhihu/matisse/sample/SampleActivity.java
            ofImage()
=======
            of(MimeType.GIF)
&gt;&gt;&gt;&gt;&gt;&gt;&gt; .../right/sample/src/main/java/com/zhihu/matisse/sample/SampleActivity.java
            , true).countable(true).capture(true).captureStrategy(new CaptureStrategy(true, "com.zhihu.matisse.sample.fileprovider", "test")).maxSelectable(9).addFilter(new GifSizeFilter(320, 320, 5 * Filter.K * Filter.K)).gridExpectedSize(getResources().getDimensionPixelSize(R.dimen.grid_expected_size)).restrictOrientation(ActivityInfo.SCREEN_ORIENTATION_PORTRAIT).thumbnailScale(0.85f).imageEngine(new Glide4Engine()).setOnSelectedListener(new OnSelectedListener() {
              </t>
  </si>
  <si>
    <t xml:space="preserve">
                    @Override
                    public void onNext(Boolean aBoolean) {
                        if (aBoolean) {
                            switch (v.getId()) {
                                case R.id.zhihu:
                                    Matisse.from(SampleActivity.this)
&lt;&lt;&lt;&lt;&lt;&lt;&lt; ours
                                            .choose(MimeType.ofImage(), false)
=======
                                            .choose(MimeType.of(MimeType.GIF), true)
&gt;&gt;&gt;&gt;&gt;&gt;&gt; theirs
                                            .countable(true)</t>
  </si>
  <si>
    <t xml:space="preserve">
      @Override public void onNext(Boolean aBoolean) {
        if (aBoolean) {
          switch (v.getId()) {
            case R.id.zhihu:
            Matisse.from(SampleActivity.this).choose(MimeType.
&lt;&lt;&lt;&lt;&lt;&lt;&lt; .../left/sample/src/main/java/com/zhihu/matisse/sample/SampleActivity.java
            ofImage()
=======
            of(MimeType.GIF)
&gt;&gt;&gt;&gt;&gt;&gt;&gt; .../right/sample/src/main/java/com/zhihu/matisse/sample/SampleActivity.java
            , true).countable(true).capture(true).captureStrategy(new CaptureStrategy(true, "com.zhihu.matisse.sample.fileprovider", "test")).maxSelectable(9).addFilter(new GifSizeFilter(320, 320, 5 * Filter.K * Filter.K)).gridExpectedSize(getResources().getDimensionPixelSize(R.dimen.grid_expected_size)).restrictOrientation(ActivityInfo.SCREEN_ORIENTATION_PORTRAIT).thumbnailScale(0.85f).imageEngine(new Glide4Engine()).setOnSelectedListener(new OnSelectedListener() {
              @Override public void onSelected(@NonNull List&lt;Uri&gt; uriList, @NonNull List&lt;String&gt; pathList) {
                Log.e("onSelected", "onSelected: pathList=" + pathList);
              }</t>
  </si>
  <si>
    <t xml:space="preserve">
&lt;&lt;&lt;&lt;&lt;&lt;&lt; ../Matisse/93d0051c349d40604dc104299f78c6f63263cd92/left/sample/src/main/java/com/zhihu/matisse/sample/SampleActivity.java
                                            .choose(MimeType.ofImage(), false)
||||||| ../Matisse/93d0051c349d40604dc104299f78c6f63263cd92/base/sample/src/main/java/com/zhihu/matisse/sample/SampleActivity.java
                                            .choose(MimeType.ofAll(), false)
=======
                                            .choose(MimeType.of(MimeType.GIF), true)
&gt;&gt;&gt;&gt;&gt;&gt;&gt; ../Matisse/93d0051c349d40604dc104299f78c6f63263cd92/right/sample/src/main/java/com/zhihu/matisse/sample/SampleActivity.java</t>
  </si>
  <si>
    <t>https://github.com/eclipse-vertx/vert.x</t>
  </si>
  <si>
    <t>vert.x</t>
  </si>
  <si>
    <t>e332ea4823585c958870b74acfaa5591847dff52</t>
  </si>
  <si>
    <t>96be3b3c9132b94486d5162a4e7378ef65e16287</t>
  </si>
  <si>
    <t>cc121536e839bf1043e533f5aac116056b7e091d</t>
  </si>
  <si>
    <t>099e0e5aad4fd6d323f2a25e2dff15ac948c269a</t>
  </si>
  <si>
    <t>build.xml</t>
  </si>
  <si>
    <t xml:space="preserve">
@@ -234,6 +234,7 @@
     &lt;junit printsummary="yes" timeout="120000" showoutput="true"&gt;
       &lt;sysproperty key="java.util.logging.config.file" value="${conf-dir}/logging.properties"/&gt;
       &lt;sysproperty key="jruby.home" value="${env.JRUBY_HOME}"/&gt;
+      &lt;sysproperty key="vertx.mods" value="./src/tests/mod-test"/&gt;
       &lt;classpath refid="test-classpath"/&gt;
       &lt;batchtest haltonfailure="yes" haltonerror="yes" fork="yes" todir="${test-results}"&gt;
         &lt;formatter type="plain" usefile="yes"/&gt;</t>
  </si>
  <si>
    <t xml:space="preserve">
@@ -234,6 +240,9 @@
     &lt;junit printsummary="yes" timeout="120000" showoutput="true"&gt;
       &lt;sysproperty key="java.util.logging.config.file" value="${conf-dir}/logging.properties"/&gt;
       &lt;sysproperty key="jruby.home" value="${env.JRUBY_HOME}"/&gt;
+      &lt;sysproperty key="jython.home" value="${env.JYTHON_HOME}"/&gt;
+      &lt;sysproperty key="python.path" value="src/main/python:src/tests/python:src/tests/framework/python:${env.JYTHON_HOME}/Lib"/&gt;
+      &lt;sysproperty key="vertx.mods" value="${dist-build}/mods"/&gt;
       &lt;classpath refid="test-classpath"/&gt;
       &lt;batchtest haltonfailure="yes" haltonerror="yes" fork="yes" todir="${test-results}"&gt;
         &lt;formatter type="plain" usefile="yes"/&gt;</t>
  </si>
  <si>
    <t xml:space="preserve">  &lt;target name="internal-tests" depends="compile-tests"&gt;
    &lt;delete dir="${test-results}"/&gt;
    &lt;mkdir dir="${test-results}"/&gt;
    &lt;junit printsummary="yes" timeout="120000" showoutput="true"&gt;
      &lt;sysproperty key="java.util.logging.config.file" value="${conf-dir}/logging.properties"/&gt;
      &lt;sysproperty key="jruby.home" value="${env.JRUBY_HOME}"/&gt;
&lt;&lt;&lt;&lt;&lt;&lt;&lt; HEAD
      &lt;sysproperty key="vertx.mods" value="./src/tests/mod-test"/&gt;
=======
      &lt;sysproperty key="jython.home" value="${env.JYTHON_HOME}"/&gt;
      &lt;sysproperty key="python.path" value="src/main/python:src/tests/python:src/tests/framework/python:${env.JYTHON_HOME}/Lib"/&gt;
      &lt;sysproperty key="vertx.mods" value="${dist-build}/mods"/&gt;
&gt;&gt;&gt;&gt;&gt;&gt;&gt; cc121536e839bf1043e533f5aac116056b7e091d</t>
  </si>
  <si>
    <t xml:space="preserve">
@@ -235,6 +241,8 @@
       &lt;sysproperty key="java.util.logging.config.file" value="${conf-dir}/logging.properties"/&gt;
       &lt;sysproperty key="jruby.home" value="${env.JRUBY_HOME}"/&gt;
+      &lt;sysproperty key="vertx.mods" value="./src/tests/mod-test"/&gt;
+      &lt;sysproperty key="jython.home" value="${env.JYTHON_HOME}"/&gt;
+      &lt;sysproperty key="python.path" value="src/main/python:src/tests/python:src/tests/framework/python:${env.JYTHON_HOME}/Lib"/&gt;
       &lt;classpath refid="test-classpath"/&gt;
       &lt;batchtest haltonfailure="yes" haltonerror="yes" fork="yes" todir="${test-results}"&gt;
         &lt;formatter type="plain" usefile="yes"/&gt;</t>
  </si>
  <si>
    <t>I vs. I (sysproperty)</t>
  </si>
  <si>
    <t>L+R+M (remove part of the right edit)</t>
  </si>
  <si>
    <t xml:space="preserve">
&lt;&lt;&lt;&lt;&lt;&lt;&lt; ../vert.x/e332ea4823585c958870b74acfaa5591847dff52/left/build.xml
      &lt;sysproperty key="vertx.mods" value="./src/tests/mod-test"/&gt;
||||||| ../vert.x/e332ea4823585c958870b74acfaa5591847dff52/base/build.xml
=======
      &lt;sysproperty key="jython.home" value="${env.JYTHON_HOME}"/&gt;      
&gt;&gt;&gt;&gt;&gt;&gt;&gt; ../vert.x/e332ea4823585c958870b74acfaa5591847dff52/right/build.xml</t>
  </si>
  <si>
    <t>https://github.com/looly/hutool</t>
  </si>
  <si>
    <t>hutool</t>
  </si>
  <si>
    <t>9c4731ec5d288dabf8e0a139952d5e97b3efc86f</t>
  </si>
  <si>
    <t>bf07c5f7ca034a08ce077ec9caceef7494da3c2d</t>
  </si>
  <si>
    <t>7843077e6f762ca0eb93785035ae837688eeec64</t>
  </si>
  <si>
    <t>fe42c86eeda4baa5f7bc7c9d7f29c008b071f0b8</t>
  </si>
  <si>
    <t>CHANGELOG.md</t>
  </si>
  <si>
    <t xml:space="preserve">
-## 4.5.13
+## 4.5.14
 ### 新特性
+* 【poi】          增加TableUtil
 ### Bug修复
+* 【core】        修复ZipUtil.zlib压缩识别问题（感谢@【上海】 沙漏）</t>
  </si>
  <si>
    <t xml:space="preserve">
-## 4.5.13
+## 4.5.14
 ### 新特性
+* 【log】           调整log模块层次结构，兼容slf4j的API（issue#IY8DX@Gitee）
+* 【core】         Convert.toXXX带默认值换成convertQuietly实现，避免异常（issue#403@Gitee）
 ### Bug修复
+* 【log】           解决行号错误问题</t>
  </si>
  <si>
    <t xml:space="preserve">
### 新特性
&lt;&lt;&lt;&lt;&lt;&lt;&lt; HEAD
* 【poi】          增加TableUtil
### Bug修复
* 【core】        修复ZipUtil.zlib压缩识别问题（感谢@【上海】 沙漏）
=======
* 【log】           调整log模块层次结构，兼容slf4j的API（issue#IY8DX@Gitee）
* 【core】         Convert.toXXX带默认值换成convertQuietly实现，避免异常（issue#403@Gitee）
### Bug修复
* 【log】           解决行号错误问题
&gt;&gt;&gt;&gt;&gt;&gt;&gt; 7843077e6f762ca0eb93785035ae837688eeec64</t>
  </si>
  <si>
    <t xml:space="preserve">
-## 4.5.13
+## 4.5.14
 ### 新特性
+* 【poi】          增加TableUtil
 ### Bug修复
+* 【core】        修复ZipUtil.zlib压缩识别问题（感谢@【上海】 沙漏）
+* 【log】           调整log模块层次结构，兼容slf4j的API（issue#IY8DX@Gitee）
+* 【core】         Convert.toXXX带默认值换成convertQuietly实现，避免异常（issue#403@Gitee）
+* 【log】           解决行号错误问题</t>
  </si>
  <si>
    <t>I vs. I (text)</t>
  </si>
  <si>
    <t xml:space="preserve">
### 新特性
&lt;&lt;&lt;&lt;&lt;&lt;&lt; ../hutool/9c4731ec5d288dabf8e0a139952d5e97b3efc86f/left/CHANGELOG.md
* 【poi】          增加TableUtil
||||||| ../hutool/9c4731ec5d288dabf8e0a139952d5e97b3efc86f/base/CHANGELOG.md
=======
* 【log】           调整log模块层次结构，兼容slf4j的API（issue#IY8DX@Gitee）
&gt;&gt;&gt;&gt;&gt;&gt;&gt; ../hutool/9c4731ec5d288dabf8e0a139952d5e97b3efc86f/right/CHANGELOG.md</t>
  </si>
  <si>
    <t>https://github.com/apache/rocketmq</t>
  </si>
  <si>
    <t>rocketmq</t>
  </si>
  <si>
    <t>94634fbbd5c7f0e87c0933cb0afa1ca388dd0ba7</t>
  </si>
  <si>
    <t>1ad3de87bb2df2f970bbfee551f3f42594aaa020</t>
  </si>
  <si>
    <t>84552bd2d26d710035b1b25c931450dbd13f6015</t>
  </si>
  <si>
    <t>5f8a754514ce3789508561d87888c0fe75e42f97</t>
  </si>
  <si>
    <t>docs/en/Operations_Trace.md</t>
  </si>
  <si>
    <t xml:space="preserve">
@@ -1,8 +1,6 @@
 # Message Trace
-## Introduction
-This document focuses on how to quickly deploy and use RocketMQ clusters that support message trace features
 ## 1. Key Attributes of Message Trace Data</t>
  </si>
  <si>
    <t xml:space="preserve">
@@ -1,10 +1,8 @@
 # Message Trace
-## Introduction
-
 This document focuses on how to quickly deploy and use RocketMQ clusters that support message trace features
-## 1. Key Attributes of Message Trace Data
+## 1 Key Attributes of Message Trace Data</t>
  </si>
  <si>
    <t>&lt;&lt;&lt;&lt;&lt;&lt;&lt; HEAD
=======
This document focuses on how to quickly deploy and use RocketMQ clusters that support message trace features
&gt;&gt;&gt;&gt;&gt;&gt;&gt; 84552bd2d26d710035b1b25c931450dbd13f6015</t>
  </si>
  <si>
    <t xml:space="preserve">
@@ -1,10 +1,6 @@
 # Message Trace
-## Introduction
-
-This document focuses on how to quickly deploy and use RocketMQ clusters that support message trace features
-
-## 1. Key Attributes of Message Trace Data
+## 1 Key Attributes of Message Trace Data</t>
  </si>
  <si>
    <t>D vs. D(text)</t>
  </si>
  <si>
    <t>accepting both sides and deleting one empty line</t>
  </si>
  <si>
    <t xml:space="preserve">
# Message Trace
## 1 Key Attributes of Message Trace Data</t>
  </si>
  <si>
    <t>https://github.com/prestodb/presto</t>
  </si>
  <si>
    <t>presto</t>
  </si>
  <si>
    <t>f50b46c76e43b9d1a1e4103524480055ae2fdbed</t>
  </si>
  <si>
    <t>76cc94dd55f4685f8f88c9281f79ed7f1166a5fb</t>
  </si>
  <si>
    <t>14c94b8b6557b09a59d5c42f89c32c851b948a61</t>
  </si>
  <si>
    <t>5a4c5206384b4fddb3b52ac7eace5e0236d38d90</t>
  </si>
  <si>
    <t>presto-hive/src/test/java/com/facebook/presto/hive/parquet/ParquetTester.java</t>
  </si>
  <si>
    <t xml:space="preserve">
+    void testMaxReadBytes(ObjectInspector objectInspector, Iterable&lt;?&gt; writeValues, Iterable&lt;?&gt; readValues, Type type, DataSize maxReadBlockSize)
+            throws Exception
+    {
+        assertMaxReadBytes(
+                singletonList(objectInspector),
+                new Iterable&lt;?&gt;[] {writeValues},
+                new Iterable&lt;?&gt;[] {readValues},
+                TEST_COLUMN,
+                singletonList(type),
+                Optional.empty(),
+                maxReadBlockSize);
+    }</t>
  </si>
  <si>
    <t xml:space="preserve">
+    void testMaxReadBytes(ObjectInspector objectInspector, Iterable&lt;?&gt; writeValues, Iterable&lt;?&gt; readValues, Type type, DataSize maxReadBlockSize)
+            throws Exception
+    {
+        assertMaxReadBytes(singletonList(objectInspector), new Iterable&lt;?&gt;[] {writeValues}, new Iterable&lt;?&gt;[] {
+                readValues}, TEST_COLUMN, singletonList(type), Optional.empty(), maxReadBlockSize);
+    }</t>
  </si>
  <si>
    <t xml:space="preserve">    void testMaxReadBytes(ObjectInspector objectInspector, Iterable&lt;?&gt; writeValues, Iterable&lt;?&gt; readValues, Type type, DataSize maxReadBlockSize)
            throws Exception
    {
&lt;&lt;&lt;&lt;&lt;&lt;&lt; HEAD
        assertMaxReadBytes(
                singletonList(objectInspector),
                new Iterable&lt;?&gt;[] {writeValues},
                new Iterable&lt;?&gt;[] {readValues},
                TEST_COLUMN,
                singletonList(type),
                Optional.empty(),
                maxReadBlockSize);
=======
        assertMaxReadBytes(singletonList(objectInspector), new Iterable&lt;?&gt;[] {writeValues}, new Iterable&lt;?&gt;[] {
                readValues}, TEST_COLUMN, singletonList(type), Optional.empty(), maxReadBlockSize);
&gt;&gt;&gt;&gt;&gt;&gt;&gt; 14c94b8b6557b09a59d5c42f89c32c851b948a61</t>
  </si>
  <si>
    <t>I vs. I (the inserted Java code partially overlap, and partially differ)</t>
  </si>
  <si>
    <t>L (actually L is equal to R syntactically)</t>
  </si>
  <si>
    <t xml:space="preserve">
  void testMaxReadBytes(ObjectInspector objectInspector, Iterable&lt;?&gt; writeValues, Iterable&lt;?&gt; readValues, Type type, DataSize maxReadBlockSize) throws Exception {
    assertMaxReadBytes(singletonList(objectInspector), new Iterable&lt;?&gt;[] { writeValues }, new Iterable&lt;?&gt;[] { readValues }, TEST_COLUMN, singletonList(type), Optional.empty(), maxReadBlockSize);
  }</t>
  </si>
  <si>
    <t>convert to single line</t>
  </si>
  <si>
    <t xml:space="preserve">
     void testMaxReadBytes(ObjectInspector objectInspector, Iterable&lt;?&gt; writeValues, Iterable&lt;?&gt; readValues, Type type, DataSize maxReadBlockSize)
            throws Exception
            throws Exception
    {
        assertMaxReadBytes(singletonList(objectInspector), new Iterable&lt;?&gt;[] {writeValues}, new Iterable&lt;?&gt;[] {
                readValues}, TEST_COLUMN, singletonList(type), Optional.empty(), maxReadBlockSize);
    }</t>
  </si>
  <si>
    <t>similar to right but duplicated one statement</t>
  </si>
  <si>
    <t xml:space="preserve">
            throws Exception
    {
&lt;&lt;&lt;&lt;&lt;&lt;&lt; ../presto/f50b46c76e43b9d1a1e4103524480055ae2fdbed/left/presto-hive/src/test/java/com/facebook/presto/hive/parquet/ParquetTester.java
    {
        assertMaxReadBytes(
                singletonList(objectInspector),
                new Iterable&lt;?&gt;[] {writeValues},
                new Iterable&lt;?&gt;[] {readValues},
                TEST_COLUMN,
                singletonList(type),
                Optional.empty(),
                maxReadBlockSize);
    }
    void assertMaxReadBytes(
            List&lt;ObjectInspector&gt; objectInspectors,
            Iterable&lt;?&gt;[] writeValues,
            Iterable&lt;?&gt;[] readValues,
            List&lt;String&gt; columnNames,
            List&lt;Type&gt; columnTypes,
            Optional&lt;MessageType&gt; parquetSchema,
            DataSize maxReadBlockSize)
||||||| ../presto/f50b46c76e43b9d1a1e4103524480055ae2fdbed/base/presto-hive/src/test/java/com/facebook/presto/hive/parquet/ParquetTester.java
=======
        assertMaxReadBytes(singletonList(objectInspector), new Iterable&lt;?&gt;[] {writeValues}, new Iterable&lt;?&gt;[] {
                readValues}, TEST_COLUMN, singletonList(type), Optional.empty(), maxReadBlockSize);
    }
    void assertMaxReadBytes(
            List&lt;ObjectInspector&gt; objectInspectors,
            Iterable&lt;?&gt;[] writeValues,
            Iterable&lt;?&gt;[] readValues,
            List&lt;String&gt; columnNames,
            List&lt;Type&gt; columnTypes,
            Optional&lt;MessageType&gt; parquetSchema,
            DataSize maxReadBlockSize)
            throws Exception
    {
        WriterVersion version = PARQUET_1_0;
        CompressionCodecName compressionCodecName = UNCOMPRESSED;
        HiveClientConfig config = new HiveClientConfig().setHiveStorageFormat(HiveStorageFormat.PARQUET).setUseParquetColumnNames(false).setParquetMaxReadBlockSize(maxReadBlockSize);
        ConnectorSession session = new TestingConnectorSession(new HiveSessionProperties(config, new OrcFileWriterConfig(), new ParquetFileWriterConfig()).getSessionProperties());
&gt;&gt;&gt;&gt;&gt;&gt;&gt; ../presto/f50b46c76e43b9d1a1e4103524480055ae2fdbed/right/presto-hive/src/test/java/com/facebook/presto/hive/parquet/ParquetTester.java</t>
  </si>
  <si>
    <t>https://github.com/mockito/mockito</t>
  </si>
  <si>
    <t>mockito</t>
  </si>
  <si>
    <t>0711d24a49fc770ce365c0a44466a56f7a7d8857</t>
  </si>
  <si>
    <t>8db0d43eb5bcba604151a3c08d204d596cca56ab</t>
  </si>
  <si>
    <t>645723eb5810d3c0a84d6df976751448db924b0a</t>
  </si>
  <si>
    <t>abc2a3f90cc64de69e4a5091ae6e474e64f53bd3</t>
  </si>
  <si>
    <t>version.properties</t>
  </si>
  <si>
    <t xml:space="preserve">
-version=2.2.10
+version=3.0.0-beta.1
 mockito.testng.version=1.0</t>
  </si>
  <si>
    <t xml:space="preserve">
-version=2.2.10
+version=2.2.12
 mockito.testng.version=1.0</t>
  </si>
  <si>
    <t>&lt;&lt;&lt;&lt;&lt;&lt;&lt; HEAD
version=3.0.0-beta.1
=======
version=2.2.12
&gt;&gt;&gt;&gt;&gt;&gt;&gt; 645723eb5810d3c0a84d6df976751448db924b0a</t>
  </si>
  <si>
    <t>U vs. U (version no) L &gt; R version</t>
  </si>
  <si>
    <t xml:space="preserve">
version=3.0.0-beta.1
mockito.testng.version=1.0
</t>
  </si>
  <si>
    <t xml:space="preserve">
&lt;&lt;&lt;&lt;&lt;&lt;&lt; ../mockito/0711d24a49fc770ce365c0a44466a56f7a7d8857/left/version.properties
version=3.0.0-beta.1
||||||| ../mockito/0711d24a49fc770ce365c0a44466a56f7a7d8857/base/version.properties
version=2.2.10
=======
version=2.2.12
&gt;&gt;&gt;&gt;&gt;&gt;&gt; ../mockito/0711d24a49fc770ce365c0a44466a56f7a7d8857/right/version.properties</t>
  </si>
  <si>
    <t>https://github.com/apache/incubator-shardingsphere</t>
  </si>
  <si>
    <t>incubator-shardingsphere</t>
  </si>
  <si>
    <t>7fe148b3e7a334097504b76000f6fa8374f2ddba</t>
  </si>
  <si>
    <t>96ec6266e55c88cdbbda720d4a7bad91b26596dd</t>
  </si>
  <si>
    <t>b6fb6c39135ca75dae3e7e34ed1ed72a838f0b6b</t>
  </si>
  <si>
    <t>e0f10e2fda60811a92b7c18f74c329c60bbb28f5</t>
  </si>
  <si>
    <t>sharding-proxy/src/main/java/io/shardingsphere/proxy/config/RuleRegistry.java</t>
  </si>
  <si>
    <t xml:space="preserve">
 package io.shardingsphere.proxy.config;
-import com.zaxxer.hikari.HikariConfig;
-import com.zaxxer.hikari.HikariDataSource;
 import io.shardingsphere.core.constant.ShardingProperties;
</t>
  </si>
  <si>
    <t xml:space="preserve">
 package io.shardingsphere.proxy.config;
+import com.google.common.util.concurrent.ListeningExecutorService;
+import com.google.common.util.concurrent.MoreExecutors;
 import com.zaxxer.hikari.HikariConfig;
 import com.zaxxer.hikari.HikariDataSource;
 import io.shardingsphere.core.constant.ShardingProperties;
</t>
  </si>
  <si>
    <t xml:space="preserve">
package io.shardingsphere.proxy.config;
&lt;&lt;&lt;&lt;&lt;&lt;&lt; HEAD
=======
import com.google.common.util.concurrent.ListeningExecutorService;
import com.google.common.util.concurrent.MoreExecutors;
import com.zaxxer.hikari.HikariConfig;
import com.zaxxer.hikari.HikariDataSource;
&gt;&gt;&gt;&gt;&gt;&gt;&gt; b6fb6c39135ca75dae3e7e34ed1ed72a838f0b6b</t>
  </si>
  <si>
    <t>D + I(import)</t>
  </si>
  <si>
    <t xml:space="preserve">
package io.shardingsphere.proxy.config; 
import io.shardingsphere.core.constant.ShardingProperties; 
import io.shardingsphere.core.constant.ShardingPropertiesConstant; 
import io.shardingsphere.core.constant.TransactionType; 
import io.shardingsphere.core.exception.ShardingException; 
import io.shardingsphere.core.metadata.ShardingMetaData; 
import io.shardingsphere.core.rule.MasterSlaveRule; 
import io.shardingsphere.core.rule.ShardingRule; 
import io.shardingsphere.core.yaml.proxy.YamlProxyConfiguration; 
import io.shardingsphere.proxy.metadata.ProxyShardingMetaData; 
import lombok.Getter; 
import javax.sql.DataSource; 
import java.io.File; 
import java.io.IOException; 
import java.sql.SQLException; 
import java.util.Collections; 
import java.util.Map; 
import java.util.Properties; 
import java.util.concurrent.ExecutorService; 
import java.util.concurrent.Executors; </t>
  </si>
  <si>
    <t xml:space="preserve">
package io.shardingsphere.proxy.config;
import com.google.common.util.concurrent.ListeningExecutorService;
import com.google.common.util.concurrent.MoreExecutors;
import io.shardingsphere.core.constant.ShardingProperties;
import io.shardingsphere.core.constant.ShardingPropertiesConstant;
import io.shardingsphere.core.constant.TransactionType;
import io.shardingsphere.core.exception.ShardingException;
import io.shardingsphere.core.metadata.ShardingMetaData;
import io.shardingsphere.core.rule.MasterSlaveRule;
import io.shardingsphere.core.rule.ShardingRule;
import io.shardingsphere.core.yaml.proxy.YamlProxyConfiguration;
import io.shardingsphere.proxy.metadata.ProxyShardingMetaData;
import lombok.Getter;
import javax.sql.DataSource;
import java.io.File;
import java.io.IOException;
import java.util.Collections;
import java.util.Map;
import java.util.Properties;
import java.util.concurrent.Executors;</t>
  </si>
  <si>
    <t>accept both sides and remove an empyt line before inserted location</t>
  </si>
  <si>
    <t xml:space="preserve">
package io.shardingsphere.proxy.config;
import com.google.common.util.concurrent.ListeningExecutorService;
import com.google.common.util.concurrent.MoreExecutors;
import com.zaxxer.hikari.HikariConfig;
import com.zaxxer.hikari.HikariDataSource;
import io.shardingsphere.core.constant.ShardingProperties;
import io.shardingsphere.core.constant.ShardingPropertiesConstant;
import io.shardingsphere.core.constant.TransactionType;
import io.shardingsphere.core.exception.ShardingException;
import io.shardingsphere.core.metadata.ShardingMetaData;
import io.shardingsphere.core.rule.MasterSlaveRule;
import io.shardingsphere.core.rule.ShardingRule;
import io.shardingsphere.core.yaml.proxy.YamlProxyConfiguration;
import io.shardingsphere.core.yaml.sharding.DataSourceParameter;
import io.shardingsphere.proxy.metadata.ProxyShardingMetaData;
import lombok.Getter;
import javax.sql.DataSource;
import java.io.File;
import java.io.IOException;
import java.util.Collections;
import java.util.HashMap;
import java.util.Map;
import java.util.Properties;
import java.util.concurrent.Executors;</t>
  </si>
  <si>
    <t>only R</t>
  </si>
  <si>
    <t xml:space="preserve">
package io.shardingsphere.proxy.config;
import com.google.common.util.concurrent.ListeningExecutorService;
import com.google.common.util.concurrent.MoreExecutors;
import io.shardingsphere.core.constant.ShardingProperties;</t>
  </si>
  <si>
    <t>https://github.com/iBotPeaches/Apktool</t>
  </si>
  <si>
    <t>Apktool</t>
  </si>
  <si>
    <t>15600ffab4b050591d4a96445d5e184e74d693d5</t>
  </si>
  <si>
    <t>35d435f60bdd4080f830872184f389622aaf5859</t>
  </si>
  <si>
    <t>f01d4ea4944e6c3404fd0cab25839b4068455e25</t>
  </si>
  <si>
    <t>9505ed30b94f82ad4b2382623883969f5fc3fd23</t>
  </si>
  <si>
    <t>changes/index.md</t>
  </si>
  <si>
    <t xml:space="preserve">
@@ -18,6 +18,7 @@ description: Apktool - Changelog / Roadmap
  * Fixed issue with apktool locking access to input files. ([Issue 1160](https://github.com/iBotPeaches/Apktool/issues/1160)) Thanks MarcMil
  * Add support for animated vector drawables. ([Issue 1456](https://github.com/iBotPeaches/Apktool/issues/1456))
  * Fixes decoding brightness. ([Issue 1508](https://github.com/iBotPeaches/Apktool/issues/1508)) Thanks phhusson
+ * Prevent unknown file decode outside of archive. ([Issue 1498](https://github.com/iBotPeaches/Apktool/issues/1498)) / Thanks mkilling
 </t>
  </si>
  <si>
    <t xml:space="preserve">
@@ -18,6 +18,7 @@ description: Apktool - Changelog / Roadmap
  * Fixed issue with apktool locking access to input files. ([Issue 1160](https://github.com/iBotPeaches/Apktool/issues/1160)) Thanks MarcMil
  * Add support for animated vector drawables. ([Issue 1456](https://github.com/iBotPeaches/Apktool/issues/1456))
  * Fixes decoding brightness. ([Issue 1508](https://github.com/iBotPeaches/Apktool/issues/1508)) Thanks phhusson
+ * Fixes improper decoding of optical bounds in images. ([Issue 1511](https://github.com/iBotPeaches/Apktool/issues/1508)) Thanks phhusson
 </t>
  </si>
  <si>
    <t xml:space="preserve">
&lt;&lt;&lt;&lt;&lt;&lt;&lt; HEAD
 * Prevent unknown file decode outside of archive. ([Issue 1498](https://github.com/iBotPeaches/Apktool/issues/1498)) / Thanks mkilling
=======
 * Fixes improper decoding of optical bounds in images. ([Issue 1511](https://github.com/iBotPeaches/Apktool/issues/1508)) Thanks phhusson
&gt;&gt;&gt;&gt;&gt;&gt;&gt; f01d4ea4944e6c3404fd0cab25839b4068455e25</t>
  </si>
  <si>
    <t xml:space="preserve">
@@ -18,6 +18,8 @@ description: Apktool - Changelog / Roadmap
  * Fixed issue with apktool locking access to input files. ([Issue 1160](https://github.com/iBotPeaches/Apktool/issues/1160)) Thanks MarcMil
  * Add support for animated vector drawables. ([Issue 1456](https://github.com/iBotPeaches/Apktool/issues/1456))
  * Fixes decoding brightness. ([Issue 1508](https://github.com/iBotPeaches/Apktool/issues/1508)) Thanks phhusson
+ * Prevent unknown file decode outside of archive. ([Issue 1498](https://github.com/iBotPeaches/Apktool/issues/1498)) / Thanks mkilling
+ * Fixes improper decoding of optical bounds in images. ([Issue 1511](https://github.com/iBotPeaches/Apktool/issues/1508)) Thanks phhusson
 </t>
  </si>
  <si>
    <t>I vs. I (md)</t>
  </si>
  <si>
    <t xml:space="preserve">
&lt;&lt;&lt;&lt;&lt;&lt;&lt; ../Apktool/15600ffab4b050591d4a96445d5e184e74d693d5/left/changes/index.md
 * Prevent unknown file decode outside of archive. ([Issue 1498](https://github.com/iBotPeaches/Apktool/issues/1498)) / Thanks mkilling
||||||| ../Apktool/15600ffab4b050591d4a96445d5e184e74d693d5/base/changes/index.md
=======
 * Fixes improper decoding of optical bounds in images. ([Issue 1511](https://github.com/iBotPeaches/Apktool/issues/1508)) Thanks phhusson
&gt;&gt;&gt;&gt;&gt;&gt;&gt; ../Apktool/15600ffab4b050591d4a96445d5e184e74d693d5/right/changes/index.md</t>
  </si>
  <si>
    <t>https://github.com/Yalantis/uCrop</t>
  </si>
  <si>
    <t>uCrop</t>
  </si>
  <si>
    <t>3fa048191562dc21c73c4dd5121a27828b8c49a6</t>
  </si>
  <si>
    <t>830d92485d294717c46de0301832d76dfa16813d</t>
  </si>
  <si>
    <t>10bb33350b121d903840842c46c7f73c91d9414f</t>
  </si>
  <si>
    <t>9ee30674115272009de7d0731220b724cdebb86d</t>
  </si>
  <si>
    <t>ucrop/src/main/res/values/styles.xml</t>
  </si>
  <si>
    <t xml:space="preserve">
@@ -36,8 +38,19 @@
         &lt;item name="android:layout_width"&gt;wrap_content&lt;/item&gt;
         &lt;item name="android:layout_height"&gt;wrap_content&lt;/item&gt;
         &lt;item name="android:layout_centerHorizontal"&gt;true&lt;/item&gt;
+        &lt;item name="android:textStyle"&gt;bold&lt;/item&gt;
+        &lt;item name="android:textColor"&gt;@color/ucrop_color_widget_background&lt;/item&gt;
         &lt;item name="android:layout_marginTop"&gt;@dimen/ucrop_margit_top_widget_text&lt;/item&gt;
-        &lt;item name="android:textColor"&gt;@color/ucrop_color_widget_text&lt;/item&gt;
+        &lt;item name="android:textSize"&gt;@dimen/ucrop_text_size_widget_text&lt;/item&gt;
+    &lt;/style&gt;</t>
  </si>
  <si>
    <t xml:space="preserve">
@@ -36,9 +38,20 @@
         &lt;item name="android:layout_width"&gt;wrap_content&lt;/item&gt;
         &lt;item name="android:layout_height"&gt;wrap_content&lt;/item&gt;
         &lt;item name="android:layout_centerHorizontal"&gt;true&lt;/item&gt;
-        &lt;item name="android:layout_marginTop"&gt;@dimen/ucrop_margit_top_widget_text&lt;/item&gt;
+        &lt;item name="android:textStyle"&gt;bold&lt;/item&gt;
         &lt;item name="android:textColor"&gt;@color/ucrop_color_widget_text&lt;/item&gt;
+        &lt;item name="android:layout_marginTop"&gt;@dimen/ucrop_margin_top_widget_text&lt;/item&gt;
         &lt;item name="android:textSize"&gt;@dimen/ucrop_text_size_widget_text&lt;/item&gt;
     &lt;/style&gt;</t>
  </si>
  <si>
    <t xml:space="preserve">
    &lt;style name="ucrop_TextViewWidgetText"&gt;
        &lt;item name="android:layout_width"&gt;wrap_content&lt;/item&gt;
        &lt;item name="android:layout_height"&gt;wrap_content&lt;/item&gt;
        &lt;item name="android:layout_centerHorizontal"&gt;true&lt;/item&gt;
        &lt;item name="android:textStyle"&gt;bold&lt;/item&gt;
&lt;&lt;&lt;&lt;&lt;&lt;&lt; HEAD
        &lt;item name="android:textColor"&gt;@color/ucrop_color_widget_background&lt;/item&gt;
        &lt;item name="android:layout_marginTop"&gt;@dimen/ucrop_margit_top_widget_text&lt;/item&gt;
        &lt;item name="android:textSize"&gt;@dimen/ucrop_text_size_widget_text&lt;/item&gt;
    &lt;/style&gt;
    &lt;style name="ucrop_TextViewWidget"&gt;
        &lt;item name="android:layout_width"&gt;wrap_content&lt;/item&gt;
        &lt;item name="android:layout_height"&gt;wrap_content&lt;/item&gt;
        &lt;item name="android:layout_centerHorizontal"&gt;true&lt;/item&gt;
        &lt;item name="android:layout_marginTop"&gt;@dimen/ucrop_margit_top_widget_text&lt;/item&gt;
        &lt;item name="android:textColor"&gt;@color/ucrop_color_widget_active&lt;/item&gt;
        &lt;item name="android:textStyle"&gt;bold&lt;/item&gt;
=======
        &lt;item name="android:textColor"&gt;@color/ucrop_color_widget_text&lt;/item&gt;
        &lt;item name="android:layout_marginTop"&gt;@dimen/ucrop_margin_top_widget_text&lt;/item&gt;
&gt;&gt;&gt;&gt;&gt;&gt;&gt; 10bb33350b121d903840842c46c7f73c91d9414f
        &lt;item name="android:textSize"&gt;@dimen/ucrop_text_size_widget_text&lt;/item&gt;
    &lt;/style&gt;
    &lt;style name="ucrop_TextViewWidget"&gt;
        &lt;item name="android:layout_width"&gt;wrap_content&lt;/item&gt;
        &lt;item name="android:layout_height"&gt;wrap_content&lt;/item&gt;
        &lt;item name="android:layout_centerHorizontal"&gt;true&lt;/item&gt;
        &lt;item name="android:layout_marginTop"&gt;@dimen/ucrop_margin_top_controls_text&lt;/item&gt;
        &lt;item name="android:textColor"&gt;@color/ucrop_color_widget_active&lt;/item&gt;
        &lt;item name="android:textStyle"&gt;bold&lt;/item&gt;
        &lt;item name="android:textSize"&gt;@dimen/ucrop_text_size_controls_text&lt;/item&gt;
    &lt;/style&gt;
</t>
  </si>
  <si>
    <t xml:space="preserve">
     &lt;style name="ucrop_WrapperRotateButton"&gt;
         &lt;item name="android:layout_width"&gt;@dimen/ucrop_size_wrapper_rotate_button&lt;/item&gt;
         &lt;item name="android:layout_height"&gt;@dimen/ucrop_size_wrapper_rotate_button&lt;/item&gt;
-        &lt;item name="android:background"&gt;?attr/selectableItemBackgroundBorderless&lt;/item&gt;
+        &lt;item name="background"&gt;?attr/selectableItemBackgroundBorderless&lt;/item&gt;
         &lt;item name="android:clickable"&gt;true&lt;/item&gt;
     &lt;/style&gt;
@@ -36,9 +38,20 @@
         &lt;item name="android:layout_width"&gt;wrap_content&lt;/item&gt;
         &lt;item name="android:layout_height"&gt;wrap_content&lt;/item&gt;
         &lt;item name="android:layout_centerHorizontal"&gt;true&lt;/item&gt;
-        &lt;item name="android:layout_marginTop"&gt;@dimen/ucrop_margit_top_widget_text&lt;/item&gt;
+        &lt;item name="android:textStyle"&gt;bold&lt;/item&gt;
         &lt;item name="android:textColor"&gt;@color/ucrop_color_widget_text&lt;/item&gt;
+        &lt;item name="android:layout_marginTop"&gt;@dimen/ucrop_margin_top_widget_text&lt;/item&gt;
         &lt;item name="android:textSize"&gt;@dimen/ucrop_text_size_widget_text&lt;/item&gt;
     &lt;/style&gt;
+    &lt;style name="ucrop_TextViewWidget"&gt;
+        &lt;item name="android:layout_width"&gt;wrap_content&lt;/item&gt;
+        &lt;item name="android:layout_height"&gt;wrap_content&lt;/item&gt;
+        &lt;item name="android:layout_centerHorizontal"&gt;true&lt;/item&gt;
+        &lt;item name="android:layout_marginTop"&gt;@dimen/ucrop_margin_top_controls_text&lt;/item&gt;
+        &lt;item name="android:textColor"&gt;@color/ucrop_color_widget_active&lt;/item&gt;
+        &lt;item name="android:textStyle"&gt;bold&lt;/item&gt;
+        &lt;item name="android:textSize"&gt;@dimen/ucrop_text_size_controls_text&lt;/item&gt;
+    &lt;/style&gt;</t>
  </si>
  <si>
    <t>U I + D I (items)
Origin(I D + I D)</t>
  </si>
  <si>
    <t xml:space="preserve">
&lt;?xml version="1.0" encoding="UTF-8"?&gt;
&lt;resources&gt;
   &lt;style name="ucrop_ImageViewWidgetIcon"&gt;
      &lt;item name="android:layout_width"&gt;wrap_content&lt;/item&gt;
      &lt;item name="android:layout_height"&gt;wrap_content&lt;/item&gt;
      &lt;item name="android:layout_gravity"&gt;center&lt;/item&gt;
      &lt;item name="android:scaleType"&gt;fitCenter&lt;/item&gt;
      &lt;item name="android:duplicateParentState"&gt;true&lt;/item&gt;
   &lt;/style&gt;
   &lt;style name="ucrop_WrapperIconState"&gt;
      &lt;item name="android:layout_width"&gt;0dp&lt;/item&gt;
      &lt;item name="android:layout_height"&gt;match_parent&lt;/item&gt;
      &lt;item name="android:layout_weight"&gt;1&lt;/item&gt;
      &lt;item name="background"&gt;?attr/selectableItemBackground&lt;/item&gt;
      &lt;item name="android:clickable"&gt;true&lt;/item&gt;
      &lt;item name="android:gravity"&gt;center&lt;/item&gt;
      &lt;item name="android:orientation"&gt;vertical&lt;/item&gt;
      &lt;item name="android:background"&gt;?attr/selectableItemBackground&lt;/item&gt;
   &lt;/style&gt;
   &lt;style name="ucrop_WrapperRotateButton"&gt;
      &lt;item name="android:layout_width"&gt;@dimen/ucrop_size_wrapper_rotate_button&lt;/item&gt;
      &lt;item name="android:layout_height"&gt;@dimen/ucrop_size_wrapper_rotate_button&lt;/item&gt;
      &lt;item name="background"&gt;?attr/selectableItemBackgroundBorderless&lt;/item&gt;
      &lt;item name="android:clickable"&gt;true&lt;/item&gt;
      &lt;item name="android:background"&gt;?attr/selectableItemBackgroundBorderless&lt;/item&gt;
   &lt;/style&gt;
   &lt;style name="ucrop_TextViewCropAspectRatio"&gt;
      &lt;item name="android:layout_width"&gt;wrap_content&lt;/item&gt;
      &lt;item name="android:layout_height"&gt;@dimen/ucrop_height_crop_aspect_ratio_text&lt;/item&gt;
      &lt;item name="android:layout_gravity"&gt;center&lt;/item&gt;
      &lt;item name="android:duplicateParentState"&gt;true&lt;/item&gt;
      &lt;item name="android:textColor"&gt;@color/ucrop_scale_text_view_selector&lt;/item&gt;
   &lt;/style&gt;
   &lt;style name="ucrop_TextViewWidgetText"&gt;
      &lt;item name="android:layout_width"&gt;wrap_content&lt;/item&gt;
      &lt;item name="android:layout_height"&gt;wrap_content&lt;/item&gt;
      &lt;item name="android:layout_centerHorizontal"&gt;true&lt;/item&gt;
      &lt;item name="android:textStyle"&gt;bold&lt;/item&gt;
      &lt;item name="android:textColor"&gt;@color/ucrop_color_widget_background&lt;/item&gt;
      &lt;item name="android:layout_marginTop"&gt;@dimen/ucrop_margit_top_widget_text&lt;/item&gt;
      &lt;item name="android:textSize"&gt;@dimen/ucrop_text_size_widget_text&lt;/item&gt;
   &lt;/style&gt;
   &lt;style name="ucrop_TextViewWidget"&gt;
      &lt;item name="android:layout_width"&gt;wrap_content&lt;/item&gt;
      &lt;item name="android:layout_height"&gt;wrap_content&lt;/item&gt;
      &lt;item name="android:layout_centerHorizontal"&gt;true&lt;/item&gt;
      &lt;item name="android:layout_marginTop"&gt;@dimen/ucrop_margit_top_widget_text&lt;/item&gt;
      &lt;item name="android:textColor"&gt;@color/ucrop_color_widget_active&lt;/item&gt;
      &lt;item name="android:textStyle"&gt;bold&lt;/item&gt;
      &lt;item name="android:textSize"&gt;@dimen/ucrop_text_size_widget_text&lt;/item&gt;
   &lt;/style&gt;
&lt;/resources&gt;</t>
  </si>
  <si>
    <t>accept both sides but still keep deleted parts</t>
  </si>
  <si>
    <t xml:space="preserve">
&lt;&lt;&lt;&lt;&lt;&lt;&lt; ../uCrop/3fa048191562dc21c73c4dd5121a27828b8c49a6/left/ucrop/src/main/res/values/styles.xml
    &lt;/style&gt;
||||||| ../uCrop/3fa048191562dc21c73c4dd5121a27828b8c49a6/base/ucrop/src/main/res/values/styles.xml
=======
        &lt;item name="android:layout_marginTop"&gt;@dimen/ucrop_margin_top_widget_text&lt;/item&gt;
&gt;&gt;&gt;&gt;&gt;&gt;&gt; ../uCrop/3fa048191562dc21c73c4dd5121a27828b8c49a6/right/ucrop/src/main/res/values/styles.xml</t>
  </si>
  <si>
    <t>https://github.com/medcl/elasticsearch-analysis-ik</t>
  </si>
  <si>
    <t>elasticsearch-analysis-ik</t>
  </si>
  <si>
    <t>ca2bfe57320fbf2bbef20c9ca69b9d78f4912710</t>
  </si>
  <si>
    <t>3bd1490225b3454e89a9b114df909cf03cc2216e</t>
  </si>
  <si>
    <t>5ec0bd5bd6b20980f56fa2345681961f4525dd33</t>
  </si>
  <si>
    <t>3f0214a8e370379baf12313e3c96f58872640362</t>
  </si>
  <si>
    <t>src/main/java/org/wltea/analyzer/sample/LuceneIndexAndSearchDemo.java</t>
  </si>
  <si>
    <t xml:space="preserve">
-    public static ESLogger logger= Loggers.getLogger("ik-analyzer");
+    public static final ESLogger logger= Loggers.getLogger("ik-analyzer");</t>
  </si>
  <si>
    <t xml:space="preserve">
-    public static ESLogger logger= Loggers.getLogger("ik-analyzer");
-        
+        public static ESLogger logger= Loggers.getLogger("ik-analyzer");
+</t>
  </si>
  <si>
    <t xml:space="preserve">
&lt;&lt;&lt;&lt;&lt;&lt;&lt; HEAD
    public static final ESLogger logger= Loggers.getLogger("ik-analyzer");
=======
        public static ESLogger logger= Loggers.getLogger("ik-analyzer");
&gt;&gt;&gt;&gt;&gt;&gt;&gt; 5ec0bd5bd6b20980f56fa2345681961f4525dd33</t>
  </si>
  <si>
    <t xml:space="preserve">U vs. U (Java code)
</t>
  </si>
  <si>
    <t xml:space="preserve">
public  class  LuceneIndexAndSearchDemo {
    public static final ESLogger logger= Loggers.getLogger("ik-analyzer");</t>
  </si>
  <si>
    <t>keep left and insert a empty line</t>
  </si>
  <si>
    <t xml:space="preserve">
public class LuceneIndexAndSearchDemo {
  public static final ESLogger logger = Loggers.getLogger("ik-analyzer");</t>
  </si>
  <si>
    <t>keep left and add white space, remove empty line</t>
  </si>
  <si>
    <t xml:space="preserve">
public class LuceneIndexAndSearchDemo {
    public static final ESLogger logger= Loggers.getLogger("ik-analyzer");</t>
  </si>
  <si>
    <t xml:space="preserve">
&lt;&lt;&lt;&lt;&lt;&lt;&lt; ..s/elasticsearch-analysis-ik/ca2bfe57320fbf2bbef20c9ca69b9d78f4912710/left/src/main/java/org/wltea/analyzer/sample/LuceneIndexAndSearchDemo.java
    public static final ESLogger logger= Loggers.getLogger("ik-analyzer");
||||||| ..s/elasticsearch-analysis-ik/ca2bfe57320fbf2bbef20c9ca69b9d78f4912710/base/src/main/java/org/wltea/analyzer/sample/LuceneIndexAndSearchDemo.java
    public static ESLogger logger= Loggers.getLogger("ik-analyzer");
=======
    public static ESLogger logger= Loggers.getLogger("ik-analyzer");
&gt;&gt;&gt;&gt;&gt;&gt;&gt; ..s/elasticsearch-analysis-ik/ca2bfe57320fbf2bbef20c9ca69b9d78f4912710/right/src/main/java/org/wltea/analyzer/sample/LuceneIndexAndSearchDemo.java</t>
  </si>
  <si>
    <t>https://github.com/Netflix/eureka</t>
  </si>
  <si>
    <t>eureka</t>
  </si>
  <si>
    <t>30315c7abfe51c84c2ca27ac5e16fa8784f69620</t>
  </si>
  <si>
    <t>8f074ae43340bee2b954836b1e0770f36970395b</t>
  </si>
  <si>
    <t>5d9df8e40e6ccd4684b486cc0fa3c2b5844aa82b</t>
  </si>
  <si>
    <t>5ae1104f9af62789772662c63d6b0bfee26a5001</t>
  </si>
  <si>
    <t>eureka2-core/src/test/java/com/netflix/eureka2/registry/NotifyingInstanceInfoHolderTest.java</t>
  </si>
  <si>
    <t xml:space="preserve"> 
-import java.util.UUID;
-
+import static com.netflix.eureka2.metric.client.EurekaClientMetricFactory.clientMetrics;
 import static org.hamcrest.MatcherAssert.assertThat;
 import static org.hamcrest.Matchers.equalTo;
 import static org.hamcrest.Matchers.not;</t>
  </si>
  <si>
    <t xml:space="preserve">
-import java.util.UUID;
-
 import static org.hamcrest.MatcherAssert.assertThat;
 import static org.hamcrest.Matchers.equalTo;
 import static org.hamcrest.Matchers.not;</t>
  </si>
  <si>
    <t xml:space="preserve">
&lt;&lt;&lt;&lt;&lt;&lt;&lt; HEAD
import static com.netflix.eureka2.metric.client.EurekaClientMetricFactory.clientMetrics;
=======
&gt;&gt;&gt;&gt;&gt;&gt;&gt; 5d9df8e40e6ccd4684b486cc0fa3c2b5844aa82b</t>
  </si>
  <si>
    <t xml:space="preserve">
 package com.netflix.eureka2.registry;
 import com.netflix.eureka2.interests.NotificationsSubject;
-import com.netflix.eureka2.metric.SerializedTaskInvokerMetrics;
-import com.netflix.eureka2.registry.instance.InstanceInfo;
 import com.netflix.eureka2.registry.NotifyingInstanceInfoHolder.NotificationTaskInvoker;
+import com.netflix.eureka2.registry.instance.InstanceInfo;
 import com.netflix.eureka2.testkit.data.builder.SampleInstanceInfo;
 import org.junit.Rule;
 import org.junit.Test;
 import org.junit.rules.ExternalResource;
 import rx.schedulers.Schedulers;
-import java.util.UUID;
-
+import static com.netflix.eureka2.metric.client.EurekaClientMetricFactory.clientMetrics;
 import static org.hamcrest.MatcherAssert.assertThat;
 import static org.hamcrest.Matchers.equalTo;
 import static org.hamcrest.Matchers.not;</t>
  </si>
  <si>
    <t>I + N (import)
Origin(D I vs. D)</t>
  </si>
  <si>
    <t>L (L includes R)</t>
  </si>
  <si>
    <t xml:space="preserve">
import static com.netflix.eureka2.metric.client.EurekaClientMetricFactory.clientMetrics;
</t>
  </si>
  <si>
    <t>keep left and insert at different location</t>
  </si>
  <si>
    <t xml:space="preserve">
import rx.schedulers.Schedulers;
import static com.netflix.eureka2.metric.client.EurekaClientMetricFactory.clientMetrics;</t>
  </si>
  <si>
    <t>keep left and remove a empty line</t>
  </si>
  <si>
    <t xml:space="preserve">
import static com.netflix.eureka2.metric.client.EurekaClientMetricFactory.clientMetrics;</t>
  </si>
  <si>
    <t xml:space="preserve">
&lt;&lt;&lt;&lt;&lt;&lt;&lt; ../eureka/30315c7abfe51c84c2ca27ac5e16fa8784f69620/left/eureka2-core/src/test/java/com/netflix/eureka2/registry/NotifyingInstanceInfoHolderTest.java
import static com.netflix.eureka2.metric.client.EurekaClientMetricFactory.clientMetrics;
||||||| ../eureka/30315c7abfe51c84c2ca27ac5e16fa8784f69620/base/eureka2-core/src/test/java/com/netflix/eureka2/registry/NotifyingInstanceInfoHolderTest.java
import java.util.UUID;
=======
&gt;&gt;&gt;&gt;&gt;&gt;&gt; ../eureka/30315c7abfe51c84c2ca27ac5e16fa8784f69620/right/eureka2-core/src/test/java/com/netflix/eureka2/registry/NotifyingInstanceInfoHolderTest.java</t>
  </si>
  <si>
    <t>https://github.com/Netflix/zuul</t>
  </si>
  <si>
    <t>zuul</t>
  </si>
  <si>
    <t>73f55bf8d4e1fff53759d097238d8dc38d132c63</t>
  </si>
  <si>
    <t>e45e8e1c8caf6482530a4b04d27d17a6abfedc53</t>
  </si>
  <si>
    <t>cddd3e70b88e3dad43d7291a886ebab2f5a717c2</t>
  </si>
  <si>
    <t>92242957040c00ac84e312363cd9f55727d1ec75</t>
  </si>
  <si>
    <t>zuul-simple-webapp/src/main/groovy/filters/route/SimpleHostRequest.groovy</t>
  </si>
  <si>
    <t xml:space="preserve">
--- a/zuul-simple-webapp/src/main/groovy/filters/route/SimpleHostRequest.groovy
+++ b/zuul-simple-webapp/src/main/groovy/filters/route/SimpleHostRequest.groovy
@@ -220,17 +220,17 @@ class SimpleHostRoutingFilter extends ZuulFilter {
         switch (verb) {
             case 'POST':
-                httpRequest = new HttpPost(uri + getQueryString())
+                httpRequest = new HttpPost(uri + getSanitizedQueryString())
                 InputStreamEntity entity = new InputStreamEntity(requestEntity, request.getContentLength())
                 httpRequest.setEntity(entity)
                 break
             case 'PUT':
-                httpRequest = new HttpPut(uri + getQueryString())
+                httpRequest = new HttpPut(uri + getSanitizedQueryString())
                 InputStreamEntity entity = new InputStreamEntity(requestEntity, request.getContentLength())
                 httpRequest.setEntity(entity)
                 break;
             default:
-                httpRequest = new BasicHttpRequest(verb, uri + getQueryString())
+                httpRequest = new BasicHttpRequest(verb, uri + getSanitizedQueryString())
         }
         try {
@@ -250,10 +250,21 @@ class SimpleHostRoutingFilter extends ZuulFilter {
         return httpclient.execute(httpHost, httpRequest);
     }
+    String getSanitizedQueryString() {
+        String encoding = "UTF-8"
+        String currentQueryString = getQueryString()
+        if (currentQueryString.equals("")) {
+            return ""
+        }
+
+        String decodedQueryString = URLDecoder.decode(currentQueryString, encoding)
+        return new URI(null, null, null, decodedQueryString, null).toString()
+    }
+
     String getQueryString() {
         HttpServletRequest request = RequestContext.currentContext.getRequest();
         String query = request.getQueryString()
-        return (query != null) ? "?${query}" : "";
+        return (query != null) ? query : "";
     }
     HttpHost getHttpHost() {</t>
  </si>
  <si>
    <t xml:space="preserve">
--- a/zuul-simple-webapp/src/main/groovy/filters/route/SimpleHostRequest.groovy
+++ /dev/null</t>
  </si>
  <si>
    <t xml:space="preserve">
CONFLICT (modify/delete): zuul-simple-webapp/src/main/groovy/filters/route/SimpleHostRequest.groovy deleted in cddd3e70b88e3dad43d7291a886ebab2f5a717c2 and modified in HEAD. Version HEAD of zuul-simple-webapp/src/main/groovy/filters/route/SimpleHostRequest.groovy left in tree.</t>
  </si>
  <si>
    <t xml:space="preserve">
&lt;&lt;&lt;&lt;&lt;&lt;&lt; ../eureka/30315c7abfe51c84c2ca27ac5e16fa8784f69620/left/eureka2-core/src/test/java/com/netflix/eureka2/registry/NotifyingInstanceInfoHolderTest.java
                httpRequest = new HttpPost(uri + getSanitizedQueryString())
||||||| ../eureka/30315c7abfe51c84c2ca27ac5e16fa8784f69620/base/eureka2-core/src/test/java/com/netflix/eureka2/registry/NotifyingInstanceInfoHolderTest.java
                httpRequest = new HttpPost(uri + getQueryString())
=======
&gt;&gt;&gt;&gt;&gt;&gt;&gt; ../eureka/30315c7abfe51c84c2ca27ac5e16fa8784f69620/right/eureka2-core/src/test/java/com/netflix/eureka2/registry/NotifyingInstanceInfoHolderTest.java</t>
  </si>
  <si>
    <t>https://github.com/xetorthio/jedis</t>
  </si>
  <si>
    <t>jedis</t>
  </si>
  <si>
    <t>b013a74c44b526ba9f824cc7eb2087714d9b6eaf</t>
  </si>
  <si>
    <t>f62548931caa8352675c65e3232812c90e975d95</t>
  </si>
  <si>
    <t>d3362da12c774be493b63c9b0584eb29e6ec0a50</t>
  </si>
  <si>
    <t>08f843221528ab7fb92ef43469cfe2406c1eefb1</t>
  </si>
  <si>
    <t>src/main/java/redis/clients/jedis/ShardedJedis.java</t>
  </si>
  <si>
    <t xml:space="preserve">
     public void disconnect() throws IOException {
         for (JedisShardInfo jedis : getAllShards()) {
+            jedis.getResource().quit();
             jedis.getResource().disconnect();
         }
     }
 </t>
  </si>
  <si>
    <t xml:space="preserve">-    public void disconnect() throws IOException {
-        for (JedisShardInfo jedis : getAllShards()) {
-            jedis.getResource().disconnect();
-        }
-    }
</t>
  </si>
  <si>
    <t xml:space="preserve">
&lt;&lt;&lt;&lt;&lt;&lt;&lt; HEAD
    public void disconnect() throws IOException {
        for (JedisShardInfo jedis : getAllShards()) {
            jedis.getResource().quit();
            jedis.getResource().disconnect();
        }
    }
=======
&gt;&gt;&gt;&gt;&gt;&gt;&gt; d3362da12c774be493b63c9b0584eb29e6ec0a50</t>
  </si>
  <si>
    <t xml:space="preserve">     public void disconnect() throws IOException {
         for (JedisShardInfo jedis : getAllShards()) {
+            jedis.getResource().quit();
             jedis.getResource().disconnect();
         }
     }</t>
  </si>
  <si>
    <t>I vs. D (Java code inside method disconnect())</t>
  </si>
  <si>
    <t xml:space="preserve">only left </t>
  </si>
  <si>
    <t xml:space="preserve">
    &lt;&lt;&lt;&lt;&lt;&lt;&lt; .../FSTMerge/fstmerge_tmp1647844869255/fstmerge_var1_3337247407234505723
public void disconnect() throws IOException {
        for (JedisShardInfo jedis : getAllShards()) {
            jedis.getResource().quit();
            jedis.getResource().disconnect();
        }
    }
=======
&gt;&gt;&gt;&gt;&gt;&gt;&gt; .../FSTMerge/fstmerge_tmp1647844869255/fstmerge_var2_2657935689454163454
</t>
  </si>
  <si>
    <t xml:space="preserve">
&lt;&lt;&lt;&lt;&lt;&lt;&lt; .../left/src/main/java/redis/clients/jedis/ShardedJedis.java
  public void disconnect() throws IOException {
    for (JedisShardInfo jedis : getAllShards()) {
      jedis.getResource().quit();
      jedis.getResource().disconnect();
    }
  }
=======
&gt;&gt;&gt;&gt;&gt;&gt;&gt; Unknown file: This is a bug in JDime.</t>
  </si>
  <si>
    <t>…</t>
  </si>
  <si>
    <t xml:space="preserve">
    public ShardedJedis(List&lt;JedisShardInfo&gt; shards, Hashing algo, Pattern keyTagPattern) {
        super(shards, algo, keyTagPattern);
    }
            jedis.getResource().quit();
    public String set(String key, String value) {
        Jedis j = getShard(key);
        return j.set(key, value);
    }</t>
  </si>
  <si>
    <t>https://github.com/pagehelper/Mybatis-PageHelper</t>
  </si>
  <si>
    <t>Mybatis-PageHelper</t>
  </si>
  <si>
    <t>964a5ebebae2922f93d80ac9403670905686c88c</t>
  </si>
  <si>
    <t>31fec6b6c8d9b71a5fc3f62e4c34c66f6ce3a2ea</t>
  </si>
  <si>
    <t>901c85e5074545f743adb240eac57ca539dc1065</t>
  </si>
  <si>
    <t>dc402bfeb7b81f586104642efdb1f8cdb1f79dd1</t>
  </si>
  <si>
    <t>src/main/java/com/github/pagehelper/util/BaseSqlUtil.java</t>
  </si>
  <si>
    <t xml:space="preserve">
--- a/src/main/java/com/github/pagehelper/util/BaseSqlUtil.java
+++ b/src/main/java/com/github/pagehelper/util/BaseSqlUtil.java
@@ -1,7 +1,6 @@
 package com.github.pagehelper.util;
 import com.github.pagehelper.Page;
-import com.github.pagehelper.PageRowBounds;
 import com.github.pagehelper.cache.Cache;
 import com.github.pagehelper.cache.CacheFactory;
 import com.github.pagehelper.dialect.*;
@@ -39,7 +38,7 @@ public class BaseSqlUtil {
         //注册别名
         dialectAliasMap.put("hsqldb", HsqldbDialect.class);
         dialectAliasMap.put("h2", HsqldbDialect.class);
-        dialectAliasMap.put("postgreSQL", HsqldbDialect.class);
+        dialectAliasMap.put("postgresql", HsqldbDialect.class);
         dialectAliasMap.put("mysql", MySqlDialect.class);
         dialectAliasMap.put("mariadb", MySqlDialect.class);
@@ -51,6 +50,7 @@ public class BaseSqlUtil {
         dialectAliasMap.put("sqlserver", SqlServerDialect.class);
         dialectAliasMap.put("sqlserver2012", SqlServer2012Dialect.class);
+        dialectAliasMap.put("derby", SqlServer2012Dialect.class);
     }
     //缓存count查询的ms
@@ -68,7 +68,7 @@ public class BaseSqlUtil {
     public static String fromJdbcUrl(String jdbcUrl) {
         for (String dialect : dialectAliasMap.keySet()) {
-            if (jdbcUrl.indexOf(":" + dialect + ":") != -1) {
+            if (jdbcUrl.indexOf(":" + dialect.toLowerCase() + ":") != -1) {
                 return dialect;
             }
         }
@@ -271,11 +271,6 @@ public class BaseSqlUtil {
                     //offsetAsPageNum=false的时候，由于PageNum问题，不能使用reasonable，这里会强制为false
                     page.setReasonable(false);
                 }
-                if (rowBounds instanceof PageRowBounds) {
-                    page.setCount(true);
-                } else {
-                    page.setCount(false);
-                }
             } else {
                 try {
                     page = getPageFromObject(parameterObject);
diff --git a/src/test/java/com/github/pagehelper/mapper/CountryMapper.xml b/src/test/java/com/github/pagehelper/mapper/CountryMapper.xml
index abef76c..fc4312d 100644</t>
  </si>
  <si>
    <t xml:space="preserve">
--- a/src/main/java/com/github/pagehelper/util/BaseSqlUtil.java
+++ /dev/null</t>
  </si>
  <si>
    <t xml:space="preserve">
CONFLICT (modify/delete): src/main/java/com/github/pagehelper/util/BaseSqlUtil.java deleted in 901c85e5074545f743adb240eac57ca539dc1065 and modified in HEAD. Version HEAD of src/main/java/com/github/pagehelper/util/BaseSqlUtil.java left in tree.</t>
  </si>
  <si>
    <t xml:space="preserve">
    &lt;&lt;&lt;&lt;&lt;&lt;&lt; .../FSTMerge/fstmerge_tmp1647893923300/fstmerge_var1_4388216067069696802
public static String fromJdbcUrl(String jdbcUrl) {
        for (String dialect : dialectAliasMap.keySet()) {
            if (jdbcUrl.indexOf(":" + dialect.toLowerCase() + ":") != -1) {
                return dialect;
            }
        }
        return null;
    }
=======
&gt;&gt;&gt;&gt;&gt;&gt;&gt; .../FSTMerge/fstmerge_tmp1647893923300/fstmerge_var2_3649538470593998761
</t>
  </si>
  <si>
    <t xml:space="preserve">
&lt;&lt;&lt;&lt;&lt;&lt;&lt; ../Mybatis-PageHelper/964a5ebebae2922f93d80ac9403670905686c88c/left/src/main/java/com/github/pagehelper/util/BaseSqlUtil.java
||||||| ../Mybatis-PageHelper/964a5ebebae2922f93d80ac9403670905686c88c/left/src/main/java/com/github/pagehelper/util/BaseSqlUtil.java
import com.github.pagehelper.PageRowBounds;
=======
&gt;&gt;&gt;&gt;&gt;&gt;&gt; ../Mybatis-PageHelper/964a5ebebae2922f93d80ac9403670905686c88c/left/src/main/java/com/github/pagehelper/util/BaseSqlUtil.java</t>
  </si>
  <si>
    <t>https://github.com/code4craft/webmagic</t>
  </si>
  <si>
    <t>webmagic</t>
  </si>
  <si>
    <t>b7f3c4bba0bafb703221526062428cb17f86cf5b</t>
  </si>
  <si>
    <t>d8f978fd20c6711309ae2b5a7f54f1deea543dd6</t>
  </si>
  <si>
    <t>89c6e52863ccf8c32b5e8cca940241a32c8d2ca4</t>
  </si>
  <si>
    <t>047cb8ff8f009b14ff9c7d36ab6dc04c39a472f2</t>
  </si>
  <si>
    <t>webmagic-core/src/main/java/us/codecraft/webmagic/Site.java</t>
  </si>
  <si>
    <t xml:space="preserve">
 import com.google.common.collect.Table;
 import org.apache.http.HttpHost;
+import us.codecraft.webmagic.proxy.Proxy;
+import us.codecraft.webmagic.proxy.SimpleProxyPool;
 import us.codecraft.webmagic.proxy.ProxyPool;
 import us.codecraft.webmagic.utils.UrlUtils;</t>
  </si>
  <si>
    <t xml:space="preserve">
 import com.google.common.collect.Table;
 import org.apache.http.HttpHost;
+import org.apache.http.auth.UsernamePasswordCredentials;
 import us.codecraft.webmagic.proxy.ProxyPool;
 import us.codecraft.webmagic.utils.UrlUtils;</t>
  </si>
  <si>
    <t xml:space="preserve">
&lt;&lt;&lt;&lt;&lt;&lt;&lt; HEAD
import us.codecraft.webmagic.proxy.Proxy;
import us.codecraft.webmagic.proxy.SimpleProxyPool;
=======
import org.apache.http.auth.UsernamePasswordCredentials;
&gt;&gt;&gt;&gt;&gt;&gt;&gt; 89c6e52863ccf8c32b5e8cca940241a32c8d2ca4</t>
  </si>
  <si>
    <t xml:space="preserve">
 import com.google.common.collect.Table;
 import org.apache.http.HttpHost;
+import us.codecraft.webmagic.proxy.Proxy;
+import us.codecraft.webmagic.proxy.SimpleProxyPool;
+import org.apache.http.auth.UsernamePasswordCredentials;
 import us.codecraft.webmagic.proxy.ProxyPool;
 import us.codecraft.webmagic.utils.UrlUtils;</t>
  </si>
  <si>
    <t xml:space="preserve">
import com.google.common.collect.HashBasedTable; 
import com.google.common.collect.Table; 
import org.apache.http.HttpHost; 
import org.apache.http.auth.UsernamePasswordCredentials; 
import us.codecraft.webmagic.proxy.ProxyPool; 
import us.codecraft.webmagic.utils.UrlUtils; 
import java.util.*; 
import us.codecraft.webmagic.proxy.Proxy; 
import us.codecraft.webmagic.proxy.SimpleProxyPool; </t>
  </si>
  <si>
    <t>accept both sides but in different locations</t>
  </si>
  <si>
    <t xml:space="preserve">
import com.google.common.collect.HashBasedTable;
import com.google.common.collect.Table;
import org.apache.http.HttpHost;
import us.codecraft.webmagic.proxy.Proxy;
import org.apache.http.auth.UsernamePasswordCredentials;
import us.codecraft.webmagic.proxy.SimpleProxyPool;
import us.codecraft.webmagic.proxy.ProxyPool;
import us.codecraft.webmagic.utils.UrlUtils;
import java.util.*;</t>
  </si>
  <si>
    <t>accept both sides but remove empty line</t>
  </si>
  <si>
    <t xml:space="preserve">
import com.google.common.collect.HashBasedTable;
import com.google.common.collect.Table;
import org.apache.http.HttpHost;
import us.codecraft.webmagic.proxy.Proxy;
import us.codecraft.webmagic.proxy.SimpleProxyPool;
import org.apache.http.auth.UsernamePasswordCredentials;
import us.codecraft.webmagic.proxy.ProxyPool;
import us.codecraft.webmagic.utils.UrlUtils;
import java.util.*;</t>
  </si>
  <si>
    <t xml:space="preserve">
&lt;&lt;&lt;&lt;&lt;&lt;&lt; ../webmagic/b7f3c4bba0bafb703221526062428cb17f86cf5b/left/webmagic-core/src/main/java/us/codecraft/webmagic/Site.java
import us.codecraft.webmagic.proxy.Proxy;
import us.codecraft.webmagic.proxy.SimpleProxyPool;
||||||| ../webmagic/b7f3c4bba0bafb703221526062428cb17f86cf5b/base/webmagic-core/src/main/java/us/codecraft/webmagic/Site.java
=======
import org.apache.http.auth.UsernamePasswordCredentials;
&gt;&gt;&gt;&gt;&gt;&gt;&gt; ../webmagic/b7f3c4bba0bafb703221526062428cb17f86cf5b/right/webmagic-core/src/main/java/us/codecraft/webmagic/</t>
  </si>
  <si>
    <t>https://github.com/perwendel/spark</t>
  </si>
  <si>
    <t>spark</t>
  </si>
  <si>
    <t>24e7b2651b40c1ea792aa33e7c62db4e841f81f2</t>
  </si>
  <si>
    <t>e175fad21f38c0dbe951c5bdb0b11f5c9a2e1f0d</t>
  </si>
  <si>
    <t>6b4ffca9873e98507f6f1d3d55f78995799945e6</t>
  </si>
  <si>
    <t>8e4284cdd02ef7777a3cbcc629f12b1e6396faf8</t>
  </si>
  <si>
    <t>src/main/java/spark/Spark.java</t>
  </si>
  <si>
    <t xml:space="preserve">
     public static void halt() {
-        throw new HaltException();
+        getInstance().halt();
     }</t>
  </si>
  <si>
    <t xml:space="preserve">
-    public static void halt() {
+    public static HaltException halt() {
         throw new HaltException();
     }</t>
  </si>
  <si>
    <t xml:space="preserve">
&lt;&lt;&lt;&lt;&lt;&lt;&lt; HEAD
    public static void halt() {
        getInstance().halt();
=======
    public static HaltException halt() {
        throw new HaltException();
&gt;&gt;&gt;&gt;&gt;&gt;&gt; 6b4ffca9873e98507f6f1d3d55f78995799945e6</t>
  </si>
  <si>
    <t>D I + U (Java code)
Origin(U + U)</t>
  </si>
  <si>
    <t xml:space="preserve">
    &lt;&lt;&lt;&lt;&lt;&lt;&lt; .../FSTMerge/fstmerge_tmp1647844940839/fstmerge_var1_9217867634427539746
public static void halt() {
        getInstance().halt();
=======
public static HaltException halt() {
        throw new HaltException();
&gt;&gt;&gt;&gt;&gt;&gt;&gt; .../FSTMerge/fstmerge_tmp1647844940839/fstmerge_var2_847969141776521228
    }</t>
  </si>
  <si>
    <t xml:space="preserve">
  public static HaltException halt() {
    getInstance().halt();
  }</t>
  </si>
  <si>
    <t>accept both sides but change indentation</t>
  </si>
  <si>
    <t xml:space="preserve">
    public static HaltException halt() {
        getInstance().halt();
    }</t>
  </si>
  <si>
    <t>https://github.com/GoogleContainerTools/jib</t>
  </si>
  <si>
    <t>jib</t>
  </si>
  <si>
    <t>a3c4fdfba5a095ea5d8e3e57571a19f584bbdf91</t>
  </si>
  <si>
    <t>fa03bb18be2a7fb0426f0ca01f5e0feaf7410d8e</t>
  </si>
  <si>
    <t>9459d94959aa42a34bd236027fe8428c23a0210e</t>
  </si>
  <si>
    <t>5d00a085cefa6b7b4020dd4d9ee0ddfbb4198f6f</t>
  </si>
  <si>
    <t>jib-maven-plugin/pom.xml</t>
  </si>
  <si>
    <t xml:space="preserve">
   &lt;properties&gt;
     &lt;project.build.sourceEncoding&gt;UTF-8&lt;/project.build.sourceEncoding&gt;
     &lt;project.reporting.outputEncoding&gt;UTF-8&lt;/project.reporting.outputEncoding&gt;
-    &lt;maven.compiler.source&gt;1.8&lt;/maven.compiler.source&gt;
-    &lt;maven.compiler.target&gt;1.8&lt;/maven.compiler.target&gt;
+    &lt;maven.compiler.release&gt;11&lt;/maven.compiler.release&gt;
   &lt;/properties&gt;</t>
  </si>
  <si>
    <t xml:space="preserve">
   &lt;properties&gt;
     &lt;project.build.sourceEncoding&gt;UTF-8&lt;/project.build.sourceEncoding&gt;
     &lt;project.reporting.outputEncoding&gt;UTF-8&lt;/project.reporting.outputEncoding&gt;
-    &lt;maven.compiler.source&gt;1.8&lt;/maven.compiler.source&gt;
-    &lt;maven.compiler.target&gt;1.8&lt;/maven.compiler.target&gt;
+    &lt;!-- Use &lt;maven.compiler.release&gt; instead when migrating to JDK 11. --&gt;
+    &lt;maven.compiler.source&gt;8&lt;/maven.compiler.source&gt;
+    &lt;maven.compiler.target&gt;8&lt;/maven.compiler.target&gt;
   &lt;/properties&gt;</t>
  </si>
  <si>
    <t xml:space="preserve">
  &lt;properties&gt;
    &lt;project.build.sourceEncoding&gt;UTF-8&lt;/project.build.sourceEncoding&gt;
    &lt;project.reporting.outputEncoding&gt;UTF-8&lt;/project.reporting.outputEncoding&gt;
&lt;&lt;&lt;&lt;&lt;&lt;&lt; HEAD
    &lt;maven.compiler.release&gt;11&lt;/maven.compiler.release&gt;
=======
    &lt;!-- Use &lt;maven.compiler.release&gt; instead when migrating to JDK 11. --&gt;
    &lt;maven.compiler.source&gt;8&lt;/maven.compiler.source&gt;
    &lt;maven.compiler.target&gt;8&lt;/maven.compiler.target&gt;
&gt;&gt;&gt;&gt;&gt;&gt;&gt; 9459d94959aa42a34bd236027fe8428c23a0210e
  &lt;/properties&gt;</t>
  </si>
  <si>
    <t>D U vs. D I (properties) L &gt; R version
Origin(U vs. U)</t>
  </si>
  <si>
    <t xml:space="preserve">
   &lt;properties&gt;
      &lt;project.build.sourceEncoding&gt;UTF-8&lt;/project.build.sourceEncoding&gt;
      &lt;project.reporting.outputEncoding&gt;UTF-8&lt;/project.reporting.outputEncoding&gt;
      &lt;maven.compiler.source&gt;1.8&lt;/maven.compiler.source&gt;
      &lt;maven.compiler.target&gt;1.8&lt;/maven.compiler.target&gt;
      &lt;maven.compiler.release&gt;11&lt;/maven.compiler.release&gt;
   &lt;/properties&gt;</t>
  </si>
  <si>
    <t>left side but keep deleted part</t>
  </si>
  <si>
    <t xml:space="preserve">
&lt;&lt;&lt;&lt;&lt;&lt;&lt; ../jib/a3c4fdfba5a095ea5d8e3e57571a19f584bbdf91/left/jib-maven-plugin/pom.xml
    &lt;maven.compiler.release&gt;11&lt;/maven.compiler.release&gt;
||||||| ../jib/a3c4fdfba5a095ea5d8e3e57571a19f584bbdf91/base/jib-maven-plugin/pom.xml
    &lt;maven.compiler.source&gt;1.8&lt;/maven.compiler.source&gt;
    &lt;maven.compiler.target&gt;1.8&lt;/maven.compiler.target&gt;
=======
    &lt;!-- Use &lt;maven.compiler.release&gt; instead when migrating to JDK 11. --&gt;
    &lt;maven.compiler.source&gt;8&lt;/maven.compiler.source&gt;
    &lt;maven.compiler.target&gt;8&lt;/maven.compiler.target&gt;
&gt;&gt;&gt;&gt;&gt;&gt;&gt; ../jib/a3c4fdfba5a095ea5d8e3e57571a19f584bbdf91/right/jib-maven-plugin/pom.xml</t>
  </si>
  <si>
    <t>https://github.com/java-decompiler/jd-gui</t>
  </si>
  <si>
    <t>jd-gui</t>
  </si>
  <si>
    <t>2ae4688ea65a52a7921c36e3b993b502c2d34fee</t>
  </si>
  <si>
    <t>b3ef034b5805dbf1fd6ec9e7c2cacbccef18bd7c</t>
  </si>
  <si>
    <t>515fca849636b669651ac4d97a62ff78278df730</t>
  </si>
  <si>
    <t>9fbddd599b64f023eb3b2b5d4218ff86b78e67c6</t>
  </si>
  <si>
    <t>services/src/main/java/org/jd/gui/service/indexer/ZipFileIndexerProvider.java</t>
  </si>
  <si>
    <t xml:space="preserve">
-    @Override public String[] getSelectors() { return appendSelectors("*:file:*.zip", "*:file:*.jar", "*:file:*.war", "*:file:*.ear", "*:file:*.aar", "*:file:*.jmod"); }
+    @Override public String[] getSelectors() { return appendSelectors("*:file:*.zip", "*:file:*.jar", "*:file:*.war", "*:file:*.ear", "*:file:*.aar", "*:file:*.jmod", "*:file:*.kar"); }
 </t>
  </si>
  <si>
    <t xml:space="preserve">
-    @Override public String[] getSelectors() { return appendSelectors("*:file:*.zip", "*:file:*.jar", "*:file:*.war", "*:file:*.ear", "*:file:*.aar", "*:file:*.jmod"); }
+    @Override public String[] getSelectors() { return appendSelectors("*:file:*.zip", "*:file:*.jar", "*:file:*.war", "*:file:*.ear", "*:file:*.aar"); }
 </t>
  </si>
  <si>
    <t xml:space="preserve">
&lt;&lt;&lt;&lt;&lt;&lt;&lt; HEAD
    @Override public String[] getSelectors() { return appendSelectors("*:file:*.zip", "*:file:*.jar", "*:file:*.war", "*:file:*.ear", "*:file:*.aar", "*:file:*.jmod", "*:file:*.kar"); }
=======
    @Override public String[] getSelectors() { return appendSelectors("*:file:*.zip", "*:file:*.jar", "*:file:*.war", "*:file:*.ear", "*:file:*.aar"); }
&gt;&gt;&gt;&gt;&gt;&gt;&gt; 515fca849636b669651ac4d97a62ff78278df730</t>
  </si>
  <si>
    <t xml:space="preserve">
-    @Override public String[] getSelectors() { return appendSelectors("*:file:*.zip", "*:file:*.jar", "*:file:*.war", "*:file:*.ear", "*:file:*.aar", "*:file:*.jmod"); }
+    @Override public String[] getSelectors() { return appendSelectors("*:file:*.zip", "*:file:*.jar", "*:file:*.war", "*:file:*.ear", "*:file:*.aar", "*:file:*.kar"); }
</t>
  </si>
  <si>
    <t xml:space="preserve">U vs. U (distinct update on the same Java code)
</t>
  </si>
  <si>
    <t>accept both sides in a single line</t>
  </si>
  <si>
    <t xml:space="preserve">
    &lt;&lt;&lt;&lt;&lt;&lt;&lt; .../FSTMerge/fstmerge_tmp1647844962348/fstmerge_var1_7108736533575183763
@Override public String[] getSelectors() { return appendSelectors("*:file:*.zip", "*:file:*.jar", "*:file:*.war", "*:file:*.ear", "*:file:*.aar", "*:file:*.jmod", "*:file:*.kar"); }
=======
@Override public String[] getSelectors() { return appendSelectors("*:file:*.zip", "*:file:*.jar", "*:file:*.war", "*:file:*.ear", "*:file:*.aar"); }
&gt;&gt;&gt;&gt;&gt;&gt;&gt; .../FSTMerge/fstmerge_tmp1647844962348/fstmerge_var2_4979442207149184191
</t>
  </si>
  <si>
    <t xml:space="preserve">
  @Override public String[] getSelectors() {
    return appendSelectors("*:file:*.zip", "*:file:*.jar", "*:file:*.war", "*:file:*.ear", "*:file:*.aar", "*:file:*.kar");
  }</t>
  </si>
  <si>
    <t>accept both sides but in a single line</t>
  </si>
  <si>
    <t xml:space="preserve">
    @Override
public String[] getSelectors()&lt;&lt;&lt;&lt;&lt;&lt;&lt; ours
     { return appendSelectors("*:file:*.zip", "*:file:*.jar", "*:file:*.war", "*:file:*.ear", "*:file:*.aar", "*:file:*.jmod", "*:file:*.kar"); }
=======
     { return appendSelectors("*:file:*.zip", "*:file:*.jar", "*:file:*.war", "*:file:*.ear", "*:file:*.aar"); }
&gt;&gt;&gt;&gt;&gt;&gt;&gt; theirs</t>
  </si>
  <si>
    <t xml:space="preserve">
&lt;&lt;&lt;&lt;&lt;&lt;&lt; ../jd-gui/2ae4688ea65a52a7921c36e3b993b502c2d34fee/left/services/src/main/java/org/jd/gui/service/indexer/ZipFileIndexerProvider.java
    @Override public String[] getSelectors() { return appendSelectors("*:file:*.zip", "*:file:*.jar", "*:file:*.war", "*:file:*.ear", "*:file:*.aar", "*:file:*.jmod", "*:file:*.kar"); }
||||||| ../jd-gui/2ae4688ea65a52a7921c36e3b993b502c2d34fee/base/services/src/main/java/org/jd/gui/service/indexer/ZipFileIndexerProvider.java
    @Override public String[] getSelectors() { return appendSelectors("*:file:*.zip", "*:file:*.jar", "*:file:*.war", "*:file:*.ear", "*:file:*.aar", "*:file:*.jmod"); }
=======
    @Override public String[] getSelectors() { return appendSelectors("*:file:*.zip", "*:file:*.jar", "*:file:*.war", "*:file:*.ear", "*:file:*.aar"); }
&gt;&gt;&gt;&gt;&gt;&gt;&gt; ../jd-gui/2ae4688ea65a52a7921c36e3b993b502c2d34fee/right/services/src/main/java/org/jd/gui/service/indexer/ZipFileIndexerProvider.java</t>
  </si>
  <si>
    <t>https://github.com/baomidou/mybatis-plus</t>
  </si>
  <si>
    <t>mybatis-plus</t>
  </si>
  <si>
    <t>0f82c09311ba979ee4cf7bd625207b9c69625809</t>
  </si>
  <si>
    <t>c9c0dca576015efa2ac5d7e9122c327970cf2725</t>
  </si>
  <si>
    <t>232f442e7760bd1aac52bcec9a6b93657dbeeee0</t>
  </si>
  <si>
    <t>2a17ecd5680d838cc6a70fa0213a8bcda12f0353</t>
  </si>
  <si>
    <t>mybatis-plus-core/src/main/java/com/baomidou/mybatisplus/core/enums/SqlMethod.java</t>
  </si>
  <si>
    <t xml:space="preserve">
-    SELECT_BY_ID("selectById", "根据ID 查询一条数据", "SELECT %s FROM %s WHERE %s=#{%s}"),
-    SELECT_BY_MAP("selectByMap", "根据columnMap 查询一条数据", "&lt;script&gt;\nSELECT %s FROM %s %s\n&lt;/script&gt;"),
-    SELECT_BATCH_BY_IDS("selectBatchIds", "根据ID集合，批量查询数据", "&lt;script&gt;\nSELECT %s FROM %s WHERE %s IN (%s)\n&lt;/script&gt;"),
-    SELECT_ONE("selectOne", "查询满足条件一条数据", "&lt;script&gt;\nSELECT %s FROM %s %s %s\n&lt;/script&gt;"),
-    SELECT_COUNT("selectCount", "查询满足条件总记录数", "&lt;script&gt;\nSELECT COUNT(%s) FROM %s %s %s\n&lt;/script&gt;"),
-    SELECT_LIST("selectList", "查询满足条件所有数据", "&lt;script&gt;\nSELECT %s FROM %s %s %s\n&lt;/script&gt;"),
-    SELECT_PAGE("selectPage", "查询满足条件所有数据（并翻页）", "&lt;script&gt;\nSELECT %s FROM %s %s %s\n&lt;/script&gt;"),
-    SELECT_MAPS("selectMaps", "查询满足条件所有数据", "&lt;script&gt;\nSELECT %s FROM %s %s %s\n&lt;/script&gt;"),
-    SELECT_MAPS_PAGE("selectMapsPage", "查询满足条件所有数据（并翻页）", "&lt;script&gt;\nSELECT %s FROM %s %s %s\n&lt;/script&gt;"),
-    SELECT_OBJS("selectObjs", "查询满足条件所有数据", "&lt;script&gt;\nSELECT %s FROM %s %s %s\n&lt;/script&gt;"),
+    SELECT_BY_ID("selectById", "根据ID 查询一条数据", " %s SELECT %s FROM %s WHERE %s=#{%s}"),
+    SELECT_BY_MAP("selectByMap", "根据columnMap 查询一条数据", "&lt;script&gt;\n %s SELECT %s FROM %s %s\n&lt;/script&gt;"),
+    SELECT_BATCH_BY_IDS("selectBatchIds", "根据ID集合，批量查询数据", "&lt;script&gt;\n %s SELECT %s FROM %s WHERE %s IN (%s)\n&lt;/script&gt;"),
+    SELECT_ONE("selectOne", "查询满足条件一条数据", "&lt;script&gt;\n %s SELECT %s FROM %s %s %s\n&lt;/script&gt;"),
+    SELECT_COUNT("selectCount", "查询满足条件总记录数", "&lt;script&gt;\n %s SELECT COUNT(%s) FROM %s %s %s\n&lt;/script&gt;"),
+    SELECT_LIST("selectList", "查询满足条件所有数据", "&lt;script&gt;\n %s SELECT %s FROM %s %s %s\n&lt;/script&gt;"),
+    SELECT_PAGE("selectPage", "查询满足条件所有数据（并翻页）", "&lt;script&gt;\n %s SELECT %s FROM %s %s %s\n&lt;/script&gt;"),
+    SELECT_MAPS("selectMaps", "查询满足条件所有数据", "&lt;script&gt;\n %s SELECT %s FROM %s %s %s\n&lt;/script&gt;"),
+    SELECT_MAPS_PAGE("selectMapsPage", "查询满足条件所有数据（并翻页）", "&lt;script&gt;\n %s SELECT %s FROM %s %s %s\n&lt;/script&gt;"),
+    SELECT_OBJS("selectObjs", "查询满足条件所有数据", "&lt;script&gt;\n %s SELECT %s FROM %s %s %s\n&lt;/script&gt;"),
</t>
  </si>
  <si>
    <t xml:space="preserve">
-    SELECT_BY_ID("selectById", "根据ID 查询一条数据", "SELECT %s FROM %s WHERE %s=#{%s}"),
-    SELECT_BY_MAP("selectByMap", "根据columnMap 查询一条数据", "&lt;script&gt;\nSELECT %s FROM %s %s\n&lt;/script&gt;"),
-    SELECT_BATCH_BY_IDS("selectBatchIds", "根据ID集合，批量查询数据", "&lt;script&gt;\nSELECT %s FROM %s WHERE %s IN (%s)\n&lt;/script&gt;"),
-    SELECT_ONE("selectOne", "查询满足条件一条数据", "&lt;script&gt;\nSELECT %s FROM %s %s %s\n&lt;/script&gt;"),
-    SELECT_COUNT("selectCount", "查询满足条件总记录数", "&lt;script&gt;\nSELECT COUNT(%s) FROM %s %s %s\n&lt;/script&gt;"),
-    SELECT_LIST("selectList", "查询满足条件所有数据", "&lt;script&gt;\nSELECT %s FROM %s %s %s\n&lt;/script&gt;"),
-    SELECT_PAGE("selectPage", "查询满足条件所有数据（并翻页）", "&lt;script&gt;\nSELECT %s FROM %s %s %s\n&lt;/script&gt;"),
-    SELECT_MAPS("selectMaps", "查询满足条件所有数据", "&lt;script&gt;\nSELECT %s FROM %s %s %s\n&lt;/script&gt;"),
-    SELECT_MAPS_PAGE("selectMapsPage", "查询满足条件所有数据（并翻页）", "&lt;script&gt;\nSELECT %s FROM %s %s %s\n&lt;/script&gt;"),
-    SELECT_OBJS("selectObjs", "查询满足条件所有数据", "&lt;script&gt;\nSELECT %s FROM %s %s %s\n&lt;/script&gt;"),
+    SELECT_BY_ID("selectById", "根据ID 查询一条数据", " %s SELECT %s FROM %s WHERE %s=#{%s}"),
+    SELECT_BY_MAP("selectByMap", "根据columnMap 查询一条数据", "&lt;script&gt;\n %s SELECT %s FROM %s %s\n&lt;/script&gt;"),
+    SELECT_BATCH_BY_IDS("selectBatchIds", "根据ID集合，批量查询数据", "&lt;script&gt;\n %s SELECT %s FROM %s WHERE %s IN (%s)" +
+            "\n&lt;/script&gt;"),
+    SELECT_ONE("selectOne", "查询满足条件一条数据", "&lt;script&gt;\n %s SELECT %s FROM %s %s %s\n&lt;/script&gt;"),
+    SELECT_COUNT("selectCount", "查询满足条件总记录数", "&lt;script&gt;\n %s SELECT COUNT(%s) FROM %s %s %s\n&lt;/script&gt;"),
+    SELECT_LIST("selectList", "查询满足条件所有数据", "&lt;script&gt;\n %s SELECT %s FROM %s %s %s\n&lt;/script&gt;"),
+    SELECT_PAGE("selectPage", "查询满足条件所有数据（并翻页）", "&lt;script&gt;\n %s SELECT %s FROM %s %s %s\n&lt;/script&gt;"),
+    SELECT_MAPS("selectMaps", "查询满足条件所有数据", "&lt;script&gt;\n %s SELECT %s FROM %s %s %s\n&lt;/script&gt;"),
+    SELECT_MAPS_PAGE("selectMapsPage", "查询满足条件所有数据（并翻页）", "&lt;script&gt;\n %s SELECT %s FROM %s %s %s\n&lt;/script&gt;"),
+    SELECT_OBJS("selectObjs", "查询满足条件所有数据", "&lt;script&gt;\n %s SELECT %s FROM %s %s %s\n&lt;/script&gt;"),
</t>
  </si>
  <si>
    <t xml:space="preserve">
&lt;&lt;&lt;&lt;&lt;&lt;&lt; HEAD
    SELECT_BATCH_BY_IDS("selectBatchIds", "根据ID集合，批量查询数据", "&lt;script&gt;\n %s SELECT %s FROM %s WHERE %s IN (%s)\n&lt;/script&gt;"),
=======
    SELECT_BATCH_BY_IDS("selectBatchIds", "根据ID集合，批量查询数据", "&lt;script&gt;\n %s SELECT %s FROM %s WHERE %s IN (%s)" +
            "\n&lt;/script&gt;"),
&gt;&gt;&gt;&gt;&gt;&gt;&gt; 232f442e7760bd1aac52bcec9a6b93657dbeeee0</t>
  </si>
  <si>
    <t>U vs. D I  (SQL expression)
Origin(U vs. U)</t>
  </si>
  <si>
    <t xml:space="preserve">
/*
 * Copyright (c) 2011-2020, baomidou (jobob@qq.com).
 * &lt;p&gt;
 * Licensed under the Apache License, Version 2.0 (the "License"); you may not
 * use this file except in compliance with the License. You may obtain a copy of
 * the License at
 * &lt;p&gt;
 * https://www.apache.org/licenses/LICENSE-2.0
 * &lt;p&gt;
 * Unless required by applicable law or agreed to in writing, software
 * distributed under the License is distributed on an "AS IS" BASIS, WITHOUT
 * WARRANTIES OR CONDITIONS OF ANY KIND, either express or implied. See the
 * License for the specific language governing permissions and limitations under
 * the License.
 */
package com.baomidou.mybatisplus.core.enums; 
/**
 * MybatisPlus 支持 SQL 方法
 *
 * @author hubin
 * @since 2016-01-23
 */
public enum  SqlMethod {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 , 
    /**
     * 插入
     */
    INSERT_ONE("insert", "插入一条数据（选择字段插入）", "&lt;script&gt;\nINSERT INTO %s %s VALUES %s\n&lt;/script&gt;"); 
    private final String method; 
    private final String desc; 
    private final String sql; 
    SqlMethod(String method, String desc, String sql) {
        this.method = method;
        this.desc = desc;
        this.sql = sql;
    }
    public String getMethod() {
        return method;
    }
    public String getDesc() {
        return desc;
    }
    public String getSql() {
        return sql;
    }
}
</t>
  </si>
  <si>
    <t xml:space="preserve">
  SELECT_BATCH_BY_IDS("selectBatchIds", "\u6839\u636eID\u96c6\u5408\uff0c\u6279\u91cf\u67e5\u8be2\u6570\u636e", 
&lt;&lt;&lt;&lt;&lt;&lt;&lt; .../left/mybatis-plus-core/src/main/java/com/baomidou/mybatisplus/core/enums/SqlMethod.java
  "&lt;script&gt;\n %s SELECT %s FROM %s WHERE %s IN (%s)\n&lt;/script&gt;"
=======
  "&lt;script&gt;\n %s SELECT %s FROM %s WHERE %s IN (%s)" + "\n&lt;/script&gt;"
&gt;&gt;&gt;&gt;&gt;&gt;&gt; .../right/mybatis-plus-core/src/main/java/com/baomidou/mybatisplus/core/enums/SqlMethod.java
  ),</t>
  </si>
  <si>
    <t xml:space="preserve">
    SELECT_BY_ID/**
     * 查询
     */
    ("selectById", "根据ID 查询一条数据", " %s SELECT %s FROM %s WHERE %s=#{%s}"),    SELECT_BY_MAP("selectByMap", "根据columnMap 查询一条数据", "&lt;script&gt;\n %s SELECT %s FROM %s %s\n&lt;/script&gt;"),SELECT_BATCH_BY_IDS&lt;&lt;&lt;&lt;&lt;&lt;&lt; ours
    ("selectBatchIds", "根据ID集合，批量查询数据", "&lt;script&gt;\n %s SELECT %s FROM %s WHERE %s IN (%s)\n&lt;/script&gt;")
=======
    ("selectBatchIds", "根据ID集合，批量查询数据", "&lt;script&gt;\n %s SELECT %s FROM %s WHERE %s IN (%s)" + "\n&lt;/script&gt;")
&gt;&gt;&gt;&gt;&gt;&gt;&gt; theirs,    SELECT_ONE("selectOne", "查询满足条件一条数据", "&lt;script&gt;\n %s SELECT %s FROM %s %s %s\n&lt;/script&gt;"),    SELECT_COUNT("selectCount", "查询满足条件总记录数", "&lt;script&gt;\n %s SELECT COUNT(%s) FROM %s %s %s\n&lt;/script&gt;"),    SELECT_LIST("selectList", "查询满足条件所有数据", "&lt;script&gt;\n %s SELECT %s FROM %s %s %s\n&lt;/script&gt;"),    SELECT_PAGE("selectPage", "查询满足条件所有数据（并翻页）", "&lt;script&gt;\n %s SELECT %s FROM %s %s %s\n&lt;/script&gt;"),    SELECT_MAPS("selectMaps", "查询满足条件所有数据", "&lt;script&gt;\n %s SELECT %s FROM %s %s %s\n&lt;/script&gt;"),    SELECT_MAPS_PAGE("selectMapsPage", "查询满足条件所有数据（并翻页）", "&lt;script&gt;\n %s SELECT %s FROM %s %s %s\n&lt;/script&gt;"),    SELECT_OBJS("selectObjs", "查询满足条件所有数据", "&lt;script&gt;\n %s SELECT %s FROM %s %s %s\n&lt;/script&gt;"),    /**
     * 逻辑删除 -&gt; 查询</t>
  </si>
  <si>
    <t xml:space="preserve">
SELECT_BATCH_BY_IDS("selectBatchIds", "\u6839\u636eID\u96c6\u5408\uff0c\u6279\u91cf\u67e5\u8be2\u6570\u636e", "&lt;script&gt;\n %s SELECT %s FROM %s WHERE %s IN (%s)\n&lt;/script&gt;", "&lt;script&gt;\n %s SELECT %s FROM %s WHERE %s IN (%s)" + "\n&lt;/script&gt;"),</t>
  </si>
  <si>
    <t>accept both side in one line</t>
  </si>
  <si>
    <t xml:space="preserve">
&lt;&lt;&lt;&lt;&lt;&lt;&lt; ../mybatis-plus/0f82c09311ba979ee4cf7bd625207b9c69625809/left/mybatis-plus-core/src/main/java/com/baomidou/mybatisplus/core/enums/SqlMethod.java
    SELECT_BATCH_BY_IDS("selectBatchIds", "根据ID集合，批量查询数据", "&lt;script&gt;\n %s SELECT %s FROM %s WHERE %s IN (%s)\n&lt;/script&gt;"),
    SELECT_ONE("selectOne", "查询满足条件一条数据", "&lt;script&gt;\n %s SELECT %s FROM %s %s %s\n&lt;/script&gt;"),
    SELECT_COUNT("selectCount", "查询满足条件总记录数", "&lt;script&gt;\n %s SELECT COUNT(%s) FROM %s %s %s\n&lt;/script&gt;"),
    SELECT_LIST("selectList", "查询满足条件所有数据", "&lt;script&gt;\n %s SELECT %s FROM %s %s %s\n&lt;/script&gt;"),
    SELECT_PAGE("selectPage", "查询满足条件所有数据（并翻页）", "&lt;script&gt;\n %s SELECT %s FROM %s %s %s\n&lt;/script&gt;"),
    SELECT_MAPS("selectMaps", "查询满足条件所有数据", "&lt;script&gt;\n %s SELECT %s FROM %s %s %s\n&lt;/script&gt;"),
    SELECT_MAPS_PAGE("selectMapsPage", "查询满足条件所有数据（并翻页）", "&lt;script&gt;\n %s SELECT %s FROM %s %s %s\n&lt;/script&gt;"),
    SELECT_OBJS("selectObjs", "查询满足条件所有数据", "&lt;script&gt;\n %s SELECT %s FROM %s %s %s\n&lt;/script&gt;"),
||||||| ../mybatis-plus/0f82c09311ba979ee4cf7bd625207b9c69625809/base/mybatis-plus-core/src/main/java/com/baomidou/mybatisplus/core/enums/SqlMethod.java
    SELECT_BATCH_BY_IDS("selectBatchIds", "根据ID集合，批量查询数据", "&lt;script&gt;\nSELECT %s FROM %s WHERE %s IN (%s)\n&lt;/script&gt;"),
    SELECT_ONE("selectOne", "查询满足条件一条数据", "&lt;script&gt;\nSELECT %s FROM %s %s %s\n&lt;/script&gt;"),
    SELECT_COUNT("selectCount", "查询满足条件总记录数", "&lt;script&gt;\nSELECT COUNT(%s) FROM %s %s %s\n&lt;/script&gt;"),
    SELECT_LIST("selectList", "查询满足条件所有数据", "&lt;script&gt;\nSELECT %s FROM %s %s %s\n&lt;/script&gt;"),
    SELECT_PAGE("selectPage", "查询满足条件所有数据（并翻页）", "&lt;script&gt;\nSELECT %s FROM %s %s %s\n&lt;/script&gt;"),
    SELECT_MAPS("selectMaps", "查询满足条件所有数据", "&lt;script&gt;\nSELECT %s FROM %s %s %s\n&lt;/script&gt;"),
    SELECT_MAPS_PAGE("selectMapsPage", "查询满足条件所有数据（并翻页）", "&lt;script&gt;\nSELECT %s FROM %s %s %s\n&lt;/script&gt;"),
    SELECT_OBJS("selectObjs", "查询满足条件所有数据", "&lt;script&gt;\nSELECT %s FROM %s %s %s\n&lt;/script&gt;"),
=======
    SELECT_BATCH_BY_IDS("selectBatchIds", "根据ID集合，批量查询数据", "&lt;script&gt;\n %s SELECT %s FROM %s WHERE %s IN (%s)" +
            "\n&lt;/script&gt;"),
    SELECT_ONE("selectOne", "查询满足条件一条数据", "&lt;script&gt;\n %s SELECT %s FROM %s %s %s\n&lt;/script&gt;"),
    SELECT_COUNT("selectCount", "查询满足条件总记录数", "&lt;script&gt;\n %s SELECT COUNT(%s) FROM %s %s %s\n&lt;/script&gt;"),
    SELECT_LIST("selectList", "查询满足条件所有数据", "&lt;script&gt;\n %s SELECT %s FROM %s %s %s\n&lt;/script&gt;"),
    SELECT_PAGE("selectPage", "查询满足条件所有数据（并翻页）", "&lt;script&gt;\n %s SELECT %s FROM %s %s %s\n&lt;/script&gt;"),
    SELECT_MAPS("selectMaps", "查询满足条件所有数据", "&lt;script&gt;\n %s SELECT %s FROM %s %s %s\n&lt;/script&gt;"),
    SELECT_MAPS_PAGE("selectMapsPage", "查询满足条件所有数据（并翻页）", "&lt;script&gt;\n %s SELECT %s FROM %s %s %s\n&lt;/script&gt;"),
    SELECT_OBJS("selectObjs", "查询满足条件所有数据", "&lt;script&gt;\n %s SELECT %s FROM %s %s %s\n&lt;/script&gt;"),
&gt;&gt;&gt;&gt;&gt;&gt;&gt; ../mybatis-plus/0f82c09311ba979ee4cf7bd625207b9c69625809/right/mybatis-plus-core/src/main/java/com/baomidou/mybatisplus/core/enums/SqlMethod.java</t>
  </si>
  <si>
    <t>https://github.com/square/javapoet</t>
  </si>
  <si>
    <t>javapoet</t>
  </si>
  <si>
    <t>bd4099d43cae88f2d7acea1a60c43a54db83a36b</t>
  </si>
  <si>
    <t>ca528b7885d71bcbbf922b7fcf96a4f380368e39</t>
  </si>
  <si>
    <t>781a74575eb2e591a33a0dfd73b1f90b8c6cd579</t>
  </si>
  <si>
    <t>12b3d2a3b4ddf036b5f2fced0d23b381909ee382</t>
  </si>
  <si>
    <t>src/test/java/com/squareup/javawriter/ParameterWriterTest.java</t>
  </si>
  <si>
    <t xml:space="preserve">
--- a/src/test/java/com/squareup/javawriter/ParameterWriterTest.java
+++ /dev/null</t>
  </si>
  <si>
    <t xml:space="preserve">
--- a/src/test/java/com/squareup/javawriter/ParameterWriterTest.java
+++ b/src/test/java/com/squareup/javawriter/ParameterWriterTest.java</t>
  </si>
  <si>
    <t xml:space="preserve">
CONFLICT (modify/delete): src/test/java/com/squareup/javawriter/ParameterWriterTest.java deleted in HEAD and modified in 781a74575eb2e591a33a0dfd73b1f90b8c6cd579. Version 781a74575eb2e591a33a0dfd73b1f90b8c6cd579 of src/test/java/com/squareup/javawriter/ParameterWriterTest.java left in tree.</t>
  </si>
  <si>
    <t>D vs. U (Java file)</t>
  </si>
  <si>
    <t xml:space="preserve">
/*
 * Copyright (C) 2014 Square, Inc.
 *
 * Licensed under the Apache License, Version 2.0 (the "License");
 * you may not use this file except in compliance with the License.
 * You may obtain a copy of the License at
 *
 *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com.squareup.javawriter; 
import org.junit.Test; 
import org.junit.runner.RunWith; 
import org.junit.runners.JUnit4; 
import static com.google.common.truth.Truth.assertThat; 
/**
 * ParameterWriter only differs from FieldWriter in the format of its annotations.
 */
  class  ParameterWriterTest {
  @Test public void varargs() {
    ClassName runnable = ClassName.fromClass(Runnable.class);
    ParameterWriter parameterWriter = new ParameterWriter(runnable, "runnable");
    parameterWriter.setVarargs(true);
    assertThat(Writables.writeToString(parameterWriter))
        .isEqualTo("java.lang.Runnable... runnable");
  }
}
</t>
  </si>
  <si>
    <t>part of right</t>
  </si>
  <si>
    <t>https://github.com/junit-team/junit4</t>
  </si>
  <si>
    <t>junit4</t>
  </si>
  <si>
    <t>4c8d3ff5ea9d1556bf05af6262ee58f65984e22f</t>
  </si>
  <si>
    <t>3b55eacda031fe3cffe8a45d458995be040b4438</t>
  </si>
  <si>
    <t>38c12ee56d863068fb743b45d9c1ee2aa74b71a8</t>
  </si>
  <si>
    <t>0a23cd69eeaac6ad78668011b60d24ad0018813f</t>
  </si>
  <si>
    <t>src/main/java/junit/runner/Version.java</t>
  </si>
  <si>
    <t xml:space="preserve">
         public static String id() {
-                return "4.10-SNAPSHOT";
+                return "4.11-SNAPSHOT";
         }</t>
  </si>
  <si>
    <t xml:space="preserve">
         public static String id() {
-                return "4.10-SNAPSHOT";
+                return "4.10";
         }</t>
  </si>
  <si>
    <t xml:space="preserve">
	public static String id() {
&lt;&lt;&lt;&lt;&lt;&lt;&lt; HEAD
		return "4.11-SNAPSHOT";
=======
		return "4.10";
&gt;&gt;&gt;&gt;&gt;&gt;&gt; 38c12ee56d863068fb743b45d9c1ee2aa74b71a8
	}</t>
  </si>
  <si>
    <t xml:space="preserve">
 	public static String id() {
-		return "4.10-SNAPSHOT";
+		return "4.11-SNAPSHOT";
 	}</t>
  </si>
  <si>
    <t>U vs. U (Java code) L &gt; R version</t>
  </si>
  <si>
    <t xml:space="preserve">
	public static String id() {
&lt;&lt;&lt;&lt;&lt;&lt;&lt; .../FSTMerge/fstmerge_tmp1652919376650/fstmerge_var1_3024514678585427200
		return "4.11-SNAPSHOT";
=======
		return "4.10";
&gt;&gt;&gt;&gt;&gt;&gt;&gt; .../FSTMerge/fstmerge_tmp1652919376650/fstmerge_var2_8615907107002290554
	}</t>
  </si>
  <si>
    <t xml:space="preserve">
  public static String id() {
    return 
&lt;&lt;&lt;&lt;&lt;&lt;&lt; .../left/src/main/java/junit/runner/Version.java
    "4.11-SNAPSHOT"
=======
    "4.10"
&gt;&gt;&gt;&gt;&gt;&gt;&gt; .../right/src/main/java/junit/runner/Version.java
    ;
  }</t>
  </si>
  <si>
    <t xml:space="preserve">
 public static String id() {
&lt;&lt;&lt;&lt;&lt;&lt;&lt; ours
		return "4.11-SNAPSHOT";
=======
		return "4.10";
&gt;&gt;&gt;&gt;&gt;&gt;&gt; theirs
	}
</t>
  </si>
  <si>
    <t xml:space="preserve">
&lt;&lt;&lt;&lt;&lt;&lt;&lt; ../junit4/4c8d3ff5ea9d1556bf05af6262ee58f65984e22f/left/src/main/java/junit/runner/Version.java
		return "4.11-SNAPSHOT";
||||||| ../junit4/4c8d3ff5ea9d1556bf05af6262ee58f65984e22f/base/src/main/java/junit/runner/Version.java
		return "4.10-SNAPSHOT";
=======
		return "4.10";
&gt;&gt;&gt;&gt;&gt;&gt;&gt; ../junit4/4c8d3ff5ea9d1556bf05af6262ee58f65984e22f/right/src/main/java/junit/runner/Version.java</t>
  </si>
  <si>
    <t>https://github.com/jhy/jsoup</t>
  </si>
  <si>
    <t>jsoup</t>
  </si>
  <si>
    <t>dd8e832191e78a417a03c88512b1d7eeb7f486d4</t>
  </si>
  <si>
    <t>2d1e46968161baf8b06079f4e7aa4344f2ffd17f</t>
  </si>
  <si>
    <t>db2d5aa85352fe63531540ef396b944e2fe58e2c</t>
  </si>
  <si>
    <t>d9f15627cb17f2e88e10447ab8b2dc3e53b1ab27</t>
  </si>
  <si>
    <t xml:space="preserve">
   &lt;groupId&gt;org.jsoup&lt;/groupId&gt;
   &lt;artifactId&gt;jsoup&lt;/artifactId&gt;
-  &lt;version&gt;1.6.4-SNAPSHOT&lt;/version&gt;
+  &lt;version&gt;1.7.2-SNAPSHOT&lt;/version&gt;
   &lt;description&gt;jsoup HTML parser&lt;/description&gt;
   &lt;url&gt;http://jsoup.org/&lt;/url&gt;
   &lt;inceptionYear&gt;2009&lt;/inceptionYear&gt;</t>
  </si>
  <si>
    <t xml:space="preserve">
   &lt;groupId&gt;org.jsoup&lt;/groupId&gt;
   &lt;artifactId&gt;jsoup&lt;/artifactId&gt;
-  &lt;version&gt;1.6.4-SNAPSHOT&lt;/version&gt;
+  &lt;version&gt;1.6.4a-SNAPSHOT&lt;/version&gt;
   &lt;description&gt;jsoup HTML parser&lt;/description&gt;</t>
  </si>
  <si>
    <t xml:space="preserve">
  &lt;groupId&gt;org.jsoup&lt;/groupId&gt;
  &lt;artifactId&gt;jsoup&lt;/artifactId&gt;
&lt;&lt;&lt;&lt;&lt;&lt;&lt; HEAD
  &lt;version&gt;1.7.2-SNAPSHOT&lt;/version&gt;
=======
  &lt;version&gt;1.6.4a-SNAPSHOT&lt;/version&gt;
&gt;&gt;&gt;&gt;&gt;&gt;&gt; db2d5aa85352fe63531540ef396b944e2fe58e2c
  &lt;description&gt;jsoup HTML parser&lt;/description&gt;
  &lt;url&gt;http://jsoup.org/&lt;/url&gt;
  &lt;inceptionYear&gt;2009&lt;/inceptionYear&gt;</t>
  </si>
  <si>
    <t>U vs. U (version no., xml) L &gt; R version</t>
  </si>
  <si>
    <t xml:space="preserve">
   &lt;groupId&gt;org.jsoup&lt;/groupId&gt;
   &lt;artifactId&gt;jsoup&lt;/artifactId&gt;
   &lt;version&gt;1.7.2-SNAPSHOT&lt;/version&gt;
   &lt;description&gt;jsoup HTML parser&lt;/description&gt;
   &lt;url&gt;http://jsoup.org/&lt;/url&gt;
   &lt;inceptionYear&gt;2009&lt;/inceptionYear&gt;
</t>
  </si>
  <si>
    <t>keep left but change format</t>
  </si>
  <si>
    <t xml:space="preserve">
&lt;&lt;&lt;&lt;&lt;&lt;&lt; ../jsoup/dd8e832191e78a417a03c88512b1d7eeb7f486d4/left/pom.xml
  &lt;version&gt;1.7.2-SNAPSHOT&lt;/version&gt;
||||||| ../jsoup/dd8e832191e78a417a03c88512b1d7eeb7f486d4/base/pom.xml
  &lt;version&gt;1.6.4-SNAPSHOT&lt;/version&gt;
=======
  &lt;version&gt;1.6.4a-SNAPSHOT&lt;/version&gt;
&gt;&gt;&gt;&gt;&gt;&gt;&gt; ../jsoup/dd8e832191e78a417a03c88512b1d7eeb7f486d4/right/pom.xml</t>
  </si>
  <si>
    <t>https://github.com/MyCATApache/Mycat-Server</t>
  </si>
  <si>
    <t>Mycat-Server</t>
  </si>
  <si>
    <t>5bc25fa8d2f21740ebcc76cc41a0273e26f725df</t>
  </si>
  <si>
    <t>36e83e3579a09906c182a0c34ac03b79d4b3eae9</t>
  </si>
  <si>
    <t>d3f21ca279ae4ed7c9af658098a599b2778f0fbd</t>
  </si>
  <si>
    <t>ef56319961914e7ab9298717e67436971ef6cfdd</t>
  </si>
  <si>
    <t>src/main/java/io/mycat/route/RouteResultset.java</t>
  </si>
  <si>
    <t xml:space="preserve">
     public Boolean getRunOnSlave() {
-                return runOnSlave;
-        }
+        return runOnSlave;
+    }
-        public void setRunOnSlave(Boolean runOnSlave) {
-                this.runOnSlave = runOnSlave;
-        }
-          private Procedure procedure;
+    public void setRunOnSlave(Boolean runOnSlave) {
+        this.runOnSlave = runOnSlave;
+    }</t>
  </si>
  <si>
    <t xml:space="preserve">
         public Boolean getRunOnSlave() {
                 return runOnSlave;
         }
+        public String getRunOnSlaveDebugInfo() {
+                return runOnSlave == null?" default ":Boolean.toString(runOnSlave);
+        }</t>
  </si>
  <si>
    <t xml:space="preserve">
    public Boolean getRunOnSlave() {
&lt;&lt;&lt;&lt;&lt;&lt;&lt; HEAD
        return runOnSlave;
    }
    public void setRunOnSlave(Boolean runOnSlave) {
        this.runOnSlave = runOnSlave;
    }
=======
                return runOnSlave;
        }
    public String getRunOnSlaveDebugInfo() {
        return runOnSlave == null?"default":Boolean.toString(runOnSlave);
    }
        public void setRunOnSlave(Boolean runOnSlave) {
                this.runOnSlave = runOnSlave;
        }
          private Procedure procedure;
&gt;&gt;&gt;&gt;&gt;&gt;&gt; d3f21ca279ae4ed7c9af658098a599b2778f0fbd</t>
  </si>
  <si>
    <t xml:space="preserve">
     public Boolean getRunOnSlave() {
                 return runOnSlave;
         }
-
+    public String getRunOnSlaveDebugInfo() {
+        return runOnSlave == null?"default":Boolean.toString(runOnSlave);
+    }
         public void setRunOnSlave(Boolean runOnSlave) {
                 this.runOnSlave = runOnSlave;
         }</t>
  </si>
  <si>
    <t>D I vs. I(Java code)
Origin(U + I)</t>
  </si>
  <si>
    <t>take right and remove one more empty line</t>
  </si>
  <si>
    <t>R + M</t>
  </si>
  <si>
    <t xml:space="preserve">
  public Boolean getRunOnSlave() {
    return runOnSlave;
  }
  public String getRunOnSlaveDebugInfo() {
    return runOnSlave == null ? "default" : Boolean.toString(runOnSlave);
  }
  public void setRunOnSlave(Boolean runOnSlave) {
    this.runOnSlave = runOnSlave;
  }</t>
  </si>
  <si>
    <t>accept both left and right but change indentation</t>
  </si>
  <si>
    <t xml:space="preserve">
    public Boolean getRunOnSlave() {
        return runOnSlave;
    }
    public String getRunOnSlaveDebugInfo() {
        return runOnSlave == null?"default":Boolean.toString(runOnSlave);
    }
 public void setRunOnSlave(Boolean runOnSlave) {
        this.runOnSlave = runOnSlave;
    }</t>
  </si>
  <si>
    <t xml:space="preserve">
    public Boolean getRunOnSlave() {
        return runOnSlave;
    }
    public String getRunOnSlaveDebugInfo() {
        return runOnSlave == null?"default":Boolean.toString(runOnSlave);
    }
    public void setRunOnSlave(Boolean runOnSlave) {
        this.runOnSlave = runOnSlave;
    }</t>
  </si>
  <si>
    <t>https://github.com/ChrisRM/material-theme-jetbrains</t>
  </si>
  <si>
    <t>material-theme-jetbrains</t>
  </si>
  <si>
    <t>d5f982314da0751b3af25993fda67cc5fe8f809d</t>
  </si>
  <si>
    <t>fddef7b63a98e934c07f65e36417296563668bab</t>
  </si>
  <si>
    <t>b01b6956c47e7c6c4986f00611b807ac250ae5d6</t>
  </si>
  <si>
    <t>ea38c0aca7324f01badd6ad303d8d7f661201193</t>
  </si>
  <si>
    <t>src/main/resources/META-INF/plugin.xml</t>
  </si>
  <si>
    <t xml:space="preserve">
@@ -1,8 +1,8 @@
 &lt;idea-plugin&gt;
-    &lt;id&gt;com.chrisrm.idea.MaterialThemeUIFork&lt;/id&gt;
-    &lt;name&gt;Material Theme UI EAP&lt;/name&gt;
-    &lt;version&gt;0.4.4&lt;/version&gt;
-    &lt;vendor email="heliosaian@gmail.com" url="https://github.com/mallowigi"&gt;Mallowigi&lt;/vendor&gt;
+    &lt;id&gt;com.chrisrm.idea.MaterialThemeUI&lt;/id&gt;
+    &lt;name&gt;Material Theme UI&lt;/name&gt;
+    &lt;version&gt;0.4.4.1&lt;/version&gt;
+    &lt;vendor email="chris@hirvi.no" url="https://hirvi.no"&gt;Hirvi AS&lt;/vendor&gt;
 </t>
  </si>
  <si>
    <t xml:space="preserve">
@@ -1,7 +1,7 @@
 &lt;idea-plugin&gt;
     &lt;id&gt;com.chrisrm.idea.MaterialThemeUIFork&lt;/id&gt;
     &lt;name&gt;Material Theme UI EAP&lt;/name&gt;
-    &lt;version&gt;0.4.4&lt;/version&gt;
+    &lt;version&gt;0.5.0.5&lt;/version&gt;
     &lt;vendor email="heliosaian@gmail.com" url="https://github.com/mallowigi"&gt;Mallowigi&lt;/vendor&gt;
 </t>
  </si>
  <si>
    <t xml:space="preserve">
&lt;idea-plugin&gt;
&lt;&lt;&lt;&lt;&lt;&lt;&lt; HEAD
    &lt;id&gt;com.chrisrm.idea.MaterialThemeUI&lt;/id&gt;
    &lt;name&gt;Material Theme UI&lt;/name&gt;
    &lt;version&gt;0.4.4.1&lt;/version&gt;
    &lt;vendor email="chris@hirvi.no" url="https://hirvi.no"&gt;Hirvi AS&lt;/vendor&gt;
=======
    &lt;id&gt;com.chrisrm.idea.MaterialThemeUIFork&lt;/id&gt;
    &lt;name&gt;Material Theme UI EAP&lt;/name&gt;
    &lt;version&gt;0.5.0.5&lt;/version&gt;
    &lt;vendor email="heliosaian@gmail.com" url="https://github.com/mallowigi"&gt;Mallowigi&lt;/vendor&gt;
&gt;&gt;&gt;&gt;&gt;&gt;&gt; b01b6956c47e7c6c4986f00611b807ac250ae5d6
</t>
  </si>
  <si>
    <t xml:space="preserve">
@@ -1,8 +1,8 @@
 &lt;idea-plugin&gt;
-    &lt;id&gt;com.chrisrm.idea.MaterialThemeUIFork&lt;/id&gt;
-    &lt;name&gt;Material Theme UI EAP&lt;/name&gt;
-    &lt;version&gt;0.4.4&lt;/version&gt;
-    &lt;vendor email="heliosaian@gmail.com" url="https://github.com/mallowigi"&gt;Mallowigi&lt;/vendor&gt;
+    &lt;id&gt;com.chrisrm.idea.MaterialThemeUI&lt;/id&gt;
+    &lt;name&gt;Material Theme UI&lt;/name&gt;
+    &lt;version&gt;0.5.0&lt;/version&gt;
+    &lt;vendor email="chris@hirvi.no" url="https://hirvi.no"&gt;Hirvi AS&lt;/vendor&gt;
 </t>
  </si>
  <si>
    <t>U vs. U</t>
  </si>
  <si>
    <t>take left part plus additional change</t>
  </si>
  <si>
    <t xml:space="preserve">
&lt;&lt;&lt;&lt;&lt;&lt;&lt; ../material-theme-jetbrains/d5f982314da0751b3af25993fda67cc5fe8f809d/left/src/main/resources/META-INF/plugin.xml
    &lt;version&gt;0.4.4.1&lt;/version&gt;
||||||| ../material-theme-jetbrains/d5f982314da0751b3af25993fda67cc5fe8f809d/base/src/main/resources/META-INF/plugin.xml
    &lt;version&gt;0.4.4&lt;/version&gt;
=======
    &lt;version&gt;0.5.0.5&lt;/version&gt;
&gt;&gt;&gt;&gt;&gt;&gt;&gt; ../material-theme-jetbrains/d5f982314da0751b3af25993fda67cc5fe8f809d/right/src/main/resources/META-INF/plugin.xml</t>
  </si>
  <si>
    <t>https://github.com/Netflix/SimianArmy</t>
  </si>
  <si>
    <t>SimianArmy</t>
  </si>
  <si>
    <t>683c991a1383777e348467155039789237f84b80</t>
  </si>
  <si>
    <t>09590bc9afe676dd7c3a9afdd06639b24d587a07</t>
  </si>
  <si>
    <t>51f3f307a52a196cdf8a5d1b55d8bce80514b794</t>
  </si>
  <si>
    <t>f7949957dde60b57a1cf86644417f95c8c073b26</t>
  </si>
  <si>
    <t>src/main/java/com/netflix/simianarmy/basic/chaos/BasicChaosMonkey.java</t>
  </si>
  <si>
    <t xml:space="preserve">
@@ -90,6 +91,7 @@ public class BasicChaosMonkey extends ChaosMonkey {
         enabledChaosTypes = Lists.newArrayList();
         enabledChaosTypes.add(new ShutdownInstanceChaosType(cfg));
+        enabledChaosTypes.add(new DetachVolumesChaosType(cfg));
         TimeUnit freqUnit = ctx.scheduler().frequencyUnit();
</t>
  </si>
  <si>
    <t xml:space="preserve">
@@ -88,8 +88,8 @@ public class BasicChaosMonkey extends ChaosMonkey {
         open.set(Calendar.HOUR, monkeyCalendar.openHour());
         close.set(Calendar.HOUR, monkeyCalendar.closeHour());
-        enabledChaosTypes = Lists.newArrayList();
-        enabledChaosTypes.add(new ShutdownInstanceChaosType(cfg));
+        allChaosTypes = Lists.newArrayList();
+        allChaosTypes.add(new ShutdownInstanceChaosType(cfg));
 </t>
  </si>
  <si>
    <t xml:space="preserve">
&lt;&lt;&lt;&lt;&lt;&lt;&lt; HEAD
        enabledChaosTypes = Lists.newArrayList();
        enabledChaosTypes.add(new ShutdownInstanceChaosType(cfg));
        enabledChaosTypes.add(new DetachVolumesChaosType(cfg));
=======
        allChaosTypes = Lists.newArrayList();
        allChaosTypes.add(new ShutdownInstanceChaosType(cfg));
&gt;&gt;&gt;&gt;&gt;&gt;&gt; 51f3f307a52a196cdf8a5d1b55d8bce80514b794
</t>
  </si>
  <si>
    <t xml:space="preserve">
@@ -88,8 +89,9 @@ public class BasicChaosMonkey extends ChaosMonkey {
         open.set(Calendar.HOUR, monkeyCalendar.openHour());
         close.set(Calendar.HOUR, monkeyCalendar.closeHour());
-        enabledChaosTypes = Lists.newArrayList();
-        enabledChaosTypes.add(new ShutdownInstanceChaosType(cfg));
+        allChaosTypes = Lists.newArrayList();
+        allChaosTypes.add(new ShutdownInstanceChaosType(cfg));
+        allChaosTypes.add(new DetachVolumesChaosType(cfg));
 </t>
  </si>
  <si>
    <t>take both sides and modify the variable name</t>
  </si>
  <si>
    <t xml:space="preserve">
&lt;&lt;&lt;&lt;&lt;&lt;&lt; .../FSTMerge/fstmerge_tmp1647845081527/fstmerge_var1_2036667998000745447
        enabledChaosTypes = Lists.newArrayList();
        enabledChaosTypes.add(new ShutdownInstanceChaosType(cfg));
        enabledChaosTypes.add(new DetachVolumesChaosType(cfg));
=======
        allChaosTypes = Lists.newArrayList();
        allChaosTypes.add(new ShutdownInstanceChaosType(cfg));
&gt;&gt;&gt;&gt;&gt;&gt;&gt; .../FSTMerge/fstmerge_tmp1647845081527/fstmerge_var2_4022897063651795283
</t>
  </si>
  <si>
    <t xml:space="preserve">
    allChaosTypes = Lists.newArrayList();
    allChaosTypes.add(new ShutdownInstanceChaosType(cfg));
    enabledChaosTypes.add(new DetachVolumesChaosType(cfg));</t>
  </si>
  <si>
    <t xml:space="preserve">
&lt;&lt;&lt;&lt;&lt;&lt;&lt; ours
        enabledChaosTypes = Lists.newArrayList();
        enabledChaosTypes.add(new ShutdownInstanceChaosType(cfg));
        enabledChaosTypes.add(new DetachVolumesChaosType(cfg));
=======
        allChaosTypes = Lists.newArrayList();
        allChaosTypes.add(new ShutdownInstanceChaosType(cfg));
&gt;&gt;&gt;&gt;&gt;&gt;&gt; theirs</t>
  </si>
  <si>
    <t xml:space="preserve">
        allChaosTypes = Lists.newArrayList();
        allChaosTypes.add(new ShutdownInstanceChaosType(cfg));
        enabledChaosTypes.add(new DetachVolumesChaosType(cfg));</t>
  </si>
  <si>
    <t>https://github.com/justauth/JustAuth</t>
  </si>
  <si>
    <t>JustAuth</t>
  </si>
  <si>
    <t>3199334ddcceaec83fcf2fcf3593333b2c53a2af</t>
  </si>
  <si>
    <t>06934b5242f287ea4fcf2ae6efd93d633f61185d</t>
  </si>
  <si>
    <t>79417395a1488d138ee0c04cc57e764256eb800f</t>
  </si>
  <si>
    <t>33076971fe449fdf4c0b6f6d37c2004d000baf21</t>
  </si>
  <si>
    <t>src/main/java/me/zhyd/oauth/utils/AuthChecker.java</t>
  </si>
  <si>
    <t xml:space="preserve">
 import me.zhyd.oauth.config.AuthConfig;
 import me.zhyd.oauth.config.AuthSource;
 import me.zhyd.oauth.exception.AuthException;
+import me.zhyd.oauth.model.AuthCallback;
 import me.zhyd.oauth.model.AuthResponseStatus;</t>
  </si>
  <si>
    <t xml:space="preserve">
 import me.zhyd.oauth.config.AuthConfig;
 import me.zhyd.oauth.config.AuthSource;
 import me.zhyd.oauth.exception.AuthException;
-import me.zhyd.oauth.model.AuthResponseStatus;
+import me.zhyd.oauth.enums.AuthResponseStatus;</t>
  </si>
  <si>
    <t xml:space="preserve">
&lt;&lt;&lt;&lt;&lt;&lt;&lt; HEAD
import me.zhyd.oauth.model.AuthCallback;
import me.zhyd.oauth.model.AuthResponseStatus;
=======
import me.zhyd.oauth.enums.AuthResponseStatus;
&gt;&gt;&gt;&gt;&gt;&gt;&gt; 79417395a1488d138ee0c04cc57e764256eb800f</t>
  </si>
  <si>
    <t>I + U (import)
Origin(I vs. U)</t>
  </si>
  <si>
    <t xml:space="preserve">
import me.zhyd.oauth.config.AuthConfig; 
import me.zhyd.oauth.config.AuthSource; 
import me.zhyd.oauth.exception.AuthException; 
import me.zhyd.oauth.enums.AuthResponseStatus; 
import me.zhyd.oauth.model.AuthResponseStatus; 
import me.zhyd.oauth.model.AuthCallback; </t>
  </si>
  <si>
    <t>accept both sides but keep the deleted part in right</t>
  </si>
  <si>
    <t xml:space="preserve">
import me.zhyd.oauth.config.AuthConfig;
import me.zhyd.oauth.config.AuthSource;
import me.zhyd.oauth.exception.AuthException;
import me.zhyd.oauth.model.AuthCallback;
import me.zhyd.oauth.enums.AuthResponseStatus;</t>
  </si>
  <si>
    <t xml:space="preserve">
&lt;&lt;&lt;&lt;&lt;&lt;&lt; ../JustAuth/3199334ddcceaec83fcf2fcf3593333b2c53a2af/left/src/main/java/me/zhyd/oauth/utils/AuthChecker.java
import me.zhyd.oauth.model.AuthCallback;
import me.zhyd.oauth.model.AuthResponseStatus;
||||||| ../JustAuth/3199334ddcceaec83fcf2fcf3593333b2c53a2af/base/src/main/java/me/zhyd/oauth/utils/AuthChecker.java
import me.zhyd.oauth.model.AuthResponseStatus;
=======
import me.zhyd.oauth.enums.AuthResponseStatus;
&gt;&gt;&gt;&gt;&gt;&gt;&gt; ../JustAuth/3199334ddcceaec83fcf2fcf3593333b2c53a2af/right/src/main/java/me/zhyd/oauth/utils/AuthChecker.java</t>
  </si>
  <si>
    <t>https://github.com/trello/RxLifecycle</t>
  </si>
  <si>
    <t>RxLifecycle</t>
  </si>
  <si>
    <t>30410d56ab7428024a8551ff64898390d65108d4</t>
  </si>
  <si>
    <t>474a764c5776453db3992121856c70068c3b85af</t>
  </si>
  <si>
    <t>d66f025d95618d5cabb06a86b1e88934b0a135c1</t>
  </si>
  <si>
    <t>06f060a3c6f77ff489937a65124ec6dd4ae837d5</t>
  </si>
  <si>
    <t>rxlifecycle-navi/src/main/java/com/trello/rxlifecycle2/navi/NaviLifecycle.java</t>
  </si>
  <si>
    <t xml:space="preserve">
--- a/rxlifecycle-navi/src/main/java/com/trello/rxlifecycle2/navi/NaviLifecycle.java
+++ /dev/null</t>
  </si>
  <si>
    <t xml:space="preserve">
 import static com.trello.rxlifecycle2.internal.Preconditions.checkNotNull;
+@Deprecated
+/**
+ * @Deprecated switch to using rxlifecycle-android-lifecycle
+ */
 public final class NaviLifecycle {
     @NonNull</t>
  </si>
  <si>
    <t xml:space="preserve">
CONFLICT (modify/delete): rxlifecycle-navi/src/main/java/com/trello/rxlifecycle2/navi/NaviLifecycle.java deleted in HEAD and modified in d66f025d95618d5cabb06a86b1e88934b0a135c1. Version d66f025d95618d5cabb06a86b1e88934b0a135c1 of rxlifecycle-navi/src/main/java/com/trello/rxlifecycle2/navi/NaviLifecycle.java left in tree.</t>
  </si>
  <si>
    <t>D vs. U (file)</t>
  </si>
  <si>
    <t>https://github.com/ben-manes/caffeine</t>
  </si>
  <si>
    <t>caffeine</t>
  </si>
  <si>
    <t>7a5b3f112e8f5f71821471da4eddd91d8e52ea36</t>
  </si>
  <si>
    <t>fca6bbf937f86fb6b1eaeb9fb299f4bafd64684b</t>
  </si>
  <si>
    <t>9cab00e54b0dc75ad525c5e246a3e1442366a488</t>
  </si>
  <si>
    <t>a1672e68c9a767aee6477da6b039e0878e5f9f11</t>
  </si>
  <si>
    <t>simulator/src/main/java/com/github/benmanes/caffeine/cache/simulator/admission/countmin4/CountMin4.java</t>
  </si>
  <si>
    <t xml:space="preserve">
   protected boolean conservative;
   protected int tableMask;
   protected long[] table;
+  int step =1;</t>
  </si>
  <si>
    <t xml:space="preserve">
   protected boolean conservative;
   protected int tableMask;
   protected long[] table;
+  protected int step = 1;</t>
  </si>
  <si>
    <t xml:space="preserve">
&lt;&lt;&lt;&lt;&lt;&lt;&lt; HEAD
  int step =1;
=======
  protected int step = 1;
&gt;&gt;&gt;&gt;&gt;&gt;&gt; 9cab00e54b0dc75ad525c5e246a3e1442366a488</t>
  </si>
  <si>
    <t>I vs. I (Java code)</t>
  </si>
  <si>
    <t xml:space="preserve">
  protected long[] table;
  ~~FSTMerge~~ int step =1; ##FSTMerge## ##FSTMerge## protected int step = 1;
</t>
  </si>
  <si>
    <t>no related region</t>
  </si>
  <si>
    <t xml:space="preserve">
  protected long[] table;
  protected int step = 1;</t>
  </si>
  <si>
    <t>keep right and insert a new empty line</t>
  </si>
  <si>
    <t xml:space="preserve">
  protected long[] table;
  int step =1;
  protected int step = 1;</t>
  </si>
  <si>
    <t>keep both sides add an empty line</t>
  </si>
  <si>
    <t xml:space="preserve">
&lt;&lt;&lt;&lt;&lt;&lt;&lt; ../caffeine/7a5b3f112e8f5f71821471da4eddd91d8e52ea36/left/simulator/src/main/java/com/github/benmanes/caffeine/cache/simulator/admission/countmin4/CountMin4.java
  int step =1;
||||||| ../caffeine/7a5b3f112e8f5f71821471da4eddd91d8e52ea36/base/simulator/src/main/java/com/github/benmanes/caffeine/cache/simulator/admission/countmin4/CountMin4.java
=======
  protected int step = 1;
&gt;&gt;&gt;&gt;&gt;&gt;&gt; ../caffeine/7a5b3f112e8f5f71821471da4eddd91d8e52ea36/right/simulator/src/main/java/com/github/benmanes/caffeine/cache/simulator/admission/countmin4/CountMin4.java</t>
  </si>
  <si>
    <t>https://github.com/pxb1988/dex2jar</t>
  </si>
  <si>
    <t>dex2jar</t>
  </si>
  <si>
    <t>bf2ba2a24ec33e3e4a2adf62adb86b740b607086</t>
  </si>
  <si>
    <t>3f3cdc3a1893051e7c89815b824c5e8060b4ddfa</t>
  </si>
  <si>
    <t>d0b81e7e4fb70bb49cdde501f7f379ddbc8d115f</t>
  </si>
  <si>
    <t>3bc703f3f07f5da772c0e36151bc05aff72fa16e</t>
  </si>
  <si>
    <t>src/main/java/pxb/android/dex2jar/v3/V3MethodAdapter.java</t>
  </si>
  <si>
    <t xml:space="preserve">
-                        Analyzer a = new Analyzer(new BasicInterpreter());
-                        try {
-                                a.analyze(method.getOwner(), methodNode);
-                        } catch (AnalyzerException e) {
-                                throw new RuntimeException("fail on " + method, e);
-                        }
-                        Frame[] fs = a.getFrames();
+//                        Analyzer a = new Analyzer(new BasicInterpreter());
+//                        try {
+//                                a.analyze(method.getOwner(), methodNode);
+//                        } catch (AnalyzerException e) {
+//                                throw new RuntimeException("fail on " + method, e);
+//                        }
+//                        Frame[] fs = a.getFrames();
                         methodNode.accept(new LocalVariablesSorter(method.getAccessFlags(), method.getType().getDesc(), new LdcOptimizeAdapter(mv)));
</t>
  </si>
  <si>
    <t xml:space="preserve">
          * 
          * @see pxb.android.dex2jar.visitors.DexMethodVisitor#visitEnd()
          */
+        @SuppressWarnings("unchecked")
         public void visitEnd() {
                 build();
                 if (mv != null) {
                         if (methodNode.instructions.size() &gt; 2) {
-                                MethodTransformer tr = new MethodTransformerAdapter(null);
-                                tr = new B(method, tr);
-                                tr = new A(tr);
-                                tr.transform(methodNode);
-                        }
-
-                        Analyzer a = new Analyzer(new BasicInterpreter());
-                        try {
-                                a.analyze(method.getOwner(), methodNode);
-                        } catch (AnalyzerException e) {
-                                throw new RuntimeException("fail on " + method, e);
+                                List&lt;? extends MethodTransformer&gt; trs = Arrays.asList(new A(), new B(method), new C(method));
+                                for (MethodTransformer tr : trs) {
+                                        tr.transform(methodNode);
+                                }
                         }
-                        Frame[] fs = a.getFrames();
-
-                        methodNode.accept(new LocalVariablesSorter(method.getAccessFlags(), method.getType().getDesc(), new LdcOptimizeAdapter(mv)));
-
                 }</t>
  </si>
  <si>
    <t xml:space="preserve">
&lt;&lt;&lt;&lt;&lt;&lt;&lt; HEAD
                                MethodTransformer tr = new MethodTransformerAdapter(null);
                                tr = new B(method, tr);
                                tr = new A(tr);
                                tr.transform(methodNode);
                        }
//                        Analyzer a = new Analyzer(new BasicInterpreter());
//                        try {
//                                a.analyze(method.getOwner(), methodNode);
//                        } catch (AnalyzerException e) {
//                                throw new RuntimeException("fail on " + method, e);
//                        }
//                        Frame[] fs = a.getFrames();
                        methodNode.accept(new LocalVariablesSorter(method.getAccessFlags(), method.getType().getDesc(), new LdcOptimizeAdapter(mv)));
=======
                                List&lt;? extends MethodTransformer&gt; trs = Arrays.asList(new A(), new B(method), new C(method));
                                for (MethodTransformer tr : trs) {
                                        tr.transform(methodNode);
                                }
                        }
&gt;&gt;&gt;&gt;&gt;&gt;&gt; d0b81e7e4fb70bb49cdde501f7f379ddbc8d115f</t>
  </si>
  <si>
    <t xml:space="preserve">
          * 
          * @see pxb.android.dex2jar.visitors.DexMethodVisitor#visitEnd()
          */
+        @SuppressWarnings("unchecked")
         public void visitEnd() {
                 build();
                 if (mv != null) {
                         if (methodNode.instructions.size() &gt; 2) {
-                                MethodTransformer tr = new MethodTransformerAdapter(null);
-                                tr = new B(method, tr);
-                                tr = new A(tr);
-                                tr.transform(methodNode);
-                        }
-
-                        Analyzer a = new Analyzer(new BasicInterpreter());
-                        try {
-                                a.analyze(method.getOwner(), methodNode);
-                        } catch (AnalyzerException e) {
-                                throw new RuntimeException("fail on " + method, e);
+                                List&lt;? extends MethodTransformer&gt; trs = Arrays.asList(new A(), new B(method), new C(method));
+                                for (MethodTransformer tr : trs) {
+                                        tr.transform(methodNode);
+                                }
                         }
-                        Frame[] fs = a.getFrames();
-
-                        methodNode.accept(new LocalVariablesSorter(method.getAccessFlags(), method.getType().getDesc(), new LdcOptimizeAdapter(mv)));
-
                 }
+                methodNode.accept(new LocalVariablesSorter(method.getAccessFlags(), method.getType().getDesc(), new LdcOptimizeAdapter(mv)));
         }</t>
  </si>
  <si>
    <t xml:space="preserve">
&lt;&lt;&lt;&lt;&lt;&lt;&lt; .../FSTMerge/fstmerge_tmp1647877462447/fstmerge_var1_42237686353193921
//			Analyzer a = new Analyzer(new BasicInterpreter());
//			try {
//				a.analyze(method.getOwner(), methodNode);
//			} catch (AnalyzerException e) {
//				throw new RuntimeException("fail on " + method, e);
//			}
//			Frame[] fs = a.getFrames();
			methodNode.accept(new LocalVariablesSorter(method.getAccessFlags(), method.getType().getDesc(), new LdcOptimizeAdapter(mv)));
=======
&gt;&gt;&gt;&gt;&gt;&gt;&gt; .../FSTMerge/fstmerge_tmp1647877462447/fstmerge_var2_6620366165189142413
		}
		methodNode.accept(new LocalVariablesSorter(method.getAccessFlags(), method.getType().getDesc(), new LdcOptimizeAdapter(mv)));
	}
</t>
  </si>
  <si>
    <t xml:space="preserve">
  @SuppressWarnings(value = { "unchecked" }) public void visitEnd() {
    build();
    if (mv != null) {
      if (methodNode.instructions.size() &gt; 2) {
        List&lt;? extends MethodTransformer&gt; trs = Arrays.asList(new A(), new B(method), new C(method));
        for (MethodTransformer tr : trs) {
          tr.transform(methodNode);
        }
      }
    }
    methodNode.accept(new LocalVariablesSorter(method.getAccessFlags(), method.getType().getDesc(), new LdcOptimizeAdapter(mv)));
  }</t>
  </si>
  <si>
    <t>keep right and change indentation</t>
  </si>
  <si>
    <t xml:space="preserve">
 @SuppressWarnings("unchecked")
 public void visitEnd() {
		build();
		if (mv != null) {
			if (methodNode.instructions.size() &gt; 2) {
				List&lt;? extends MethodTransformer&gt; trs = Arrays.asList(new A(), new B(method), new C(method));
				for (MethodTransformer tr : trs) {
				tr.transform(methodNode);
			}
&lt;&lt;&lt;&lt;&lt;&lt;&lt; ours
 //			Analyzer a = new Analyzer(new BasicInterpreter());
 //			try {
 //				a.analyze(method.getOwner(), methodNode);
 //			} catch (AnalyzerException e) {
 //				throw new RuntimeException("fail on " + method, e);
 //			}
 //			Frame[] fs = a.getFrames();
=======
			}
		}
&gt;&gt;&gt;&gt;&gt;&gt;&gt; theirs
			methodNode.accept(new LocalVariablesSorter(method.getAccessFlags(), method.getType().getDesc(), new LdcOptimizeAdapter(mv)));
	}</t>
  </si>
  <si>
    <t xml:space="preserve">
&lt;&lt;&lt;&lt;&lt;&lt;&lt; ../dex2jar/bf2ba2a24ec33e3e4a2adf62adb86b740b607086/left/src/main/java/pxb/android/dex2jar/v3/V3MethodAdapter.java
//			Analyzer a = new Analyzer(new BasicInterpreter());
//			try {
//				a.analyze(method.getOwner(), methodNode);
//			} catch (AnalyzerException e) {
//				throw new RuntimeException("fail on " + method, e);
||||||| ../dex2jar/bf2ba2a24ec33e3e4a2adf62adb86b740b607086/base/src/main/java/pxb/android/dex2jar/v3/V3MethodAdapter.java
			Analyzer a = new Analyzer(new BasicInterpreter());
			try {
				a.analyze(method.getOwner(), methodNode);
			} catch (AnalyzerException e) {
				throw new RuntimeException("fail on " + method, e);
=======
&gt;&gt;&gt;&gt;&gt;&gt;&gt; ../dex2jar/bf2ba2a24ec33e3e4a2adf62adb86b740b607086/right/src/main/java/pxb/android/dex2jar/v3/V3MethodAdapter.java</t>
  </si>
  <si>
    <t>https://github.com/elunez/eladmin</t>
  </si>
  <si>
    <t>eladmin</t>
  </si>
  <si>
    <t>e0378c3d1551f4b28bf3246dad7b8541e0aef0e0</t>
  </si>
  <si>
    <t>307840883264dcf57b0491c2707ca7de97f3ce65</t>
  </si>
  <si>
    <t>68d7d00772c51a6a53d4c52f59176b5f6ee42f56</t>
  </si>
  <si>
    <t>aaa373bdcf60a172b349af96d3c0ccc2559fa7c3</t>
  </si>
  <si>
    <t xml:space="preserve">
-        &lt;module&gt;eladmin-generator&lt;/module&gt;
     &lt;/modules&gt;</t>
  </si>
  <si>
    <t xml:space="preserve">
         &lt;module&gt;eladmin-system&lt;/module&gt;
         &lt;module&gt;eladmin-tools&lt;/module&gt;
         &lt;module&gt;eladmin-generator&lt;/module&gt;
-    &lt;/modules&gt;
+                &lt;module&gt;eladmin-monitor&lt;/module&gt;
+        &lt;/modules&gt;</t>
  </si>
  <si>
    <t xml:space="preserve">
&lt;&lt;&lt;&lt;&lt;&lt;&lt; HEAD
    &lt;/modules&gt;
=======
        &lt;module&gt;eladmin-generator&lt;/module&gt;
                &lt;module&gt;eladmin-monitor&lt;/module&gt;
        &lt;/modules&gt;
&gt;&gt;&gt;&gt;&gt;&gt;&gt; 68d7d00772c51a6a53d4c52f59176b5f6ee42f56</t>
  </si>
  <si>
    <t xml:space="preserve">
     &lt;modules&gt;
         &lt;module&gt;eladmin-common&lt;/module&gt;
         &lt;module&gt;eladmin-logging&lt;/module&gt;
         &lt;module&gt;eladmin-system&lt;/module&gt;
         &lt;module&gt;eladmin-tools&lt;/module&gt;
-        &lt;module&gt;eladmin-generator&lt;/module&gt;
-    &lt;/modules&gt;
+                &lt;module&gt;eladmin-monitor&lt;/module&gt;
+        &lt;/modules&gt;</t>
  </si>
  <si>
    <t>D + D I (module)
Origin(D + U I)</t>
  </si>
  <si>
    <t xml:space="preserve">
   &lt;modules&gt;
      &lt;module&gt;eladmin-common&lt;/module&gt;
      &lt;module&gt;eladmin-common&lt;/module&gt;
      &lt;module&gt;eladmin-common&lt;/module&gt;
      &lt;module&gt;eladmin-common&lt;/module&gt;
      &lt;module&gt;eladmin-common&lt;/module&gt;
      &lt;module&gt;eladmin-common&lt;/module&gt;
   &lt;/modules&gt;
</t>
  </si>
  <si>
    <t xml:space="preserve">
    &lt;modules&gt;
        &lt;module&gt;eladmin-common&lt;/module&gt;
        &lt;module&gt;eladmin-logging&lt;/module&gt;
        &lt;module&gt;eladmin-system&lt;/module&gt;
        &lt;module&gt;eladmin-tools&lt;/module&gt;
                &lt;module&gt;eladmin-monitor&lt;/module&gt;
        &lt;/modules&gt;</t>
  </si>
  <si>
    <t>https://github.com/hs-web/hsweb-framework</t>
  </si>
  <si>
    <t>hsweb-framework</t>
  </si>
  <si>
    <t>5ab9d48e32a39cbb7faa97c1a1af196285751d28</t>
  </si>
  <si>
    <t>90ef6e7475d68f5e29d46a7cd4f19e71acee8208</t>
  </si>
  <si>
    <t>654fa489e8fb6c1bccbe6ac9a60dfb7c2a69e3d5</t>
  </si>
  <si>
    <t>91c440f1b45b8182dc8b464c47204122d7cb4e34</t>
  </si>
  <si>
    <t>hsweb-system/hsweb-system-workflow/hsweb-system-workflow-flowable/src/test/java/org/hswebframework/web/workflow/flowable/TestApplication.java</t>
  </si>
  <si>
    <t xml:space="preserve">
 package org.hswebframework.web.workflow.flowable;
+import org.hswebframework.web.service.organizational.RelationDefineService;
+import org.springframework.beans.factory.annotation.Autowired;
 import org.springframework.boot.SpringApplication;
 import org.springframework.boot.autoconfigure.SpringBootApplication;
@@ -10,6 +12,8 @@ import org.springframework.boot.autoconfigure.SpringBootApplication;
  */
 @SpringBootApplication
 public class TestApplication {
+    @Autowired
+    RelationDefineService relationDefineService;
     public static void main(String[] args) {
         SpringApplication.run(TestApplication.class, args);</t>
  </si>
  <si>
    <t xml:space="preserve">
--- a/hsweb-system/hsweb-system-workflow/hsweb-system-workflow-flowable/src/test/java/org/hswebframework/web/workflow/flowable/TestApplication.java
+++ /dev/null</t>
  </si>
  <si>
    <t xml:space="preserve">
CONFLICT (modify/delete): hsweb-system/hsweb-system-workflow/hsweb-system-workflow-flowable/src/test/java/org/hswebframework/web/workflow/flowable/TestApplication.java deleted in 654fa489e8fb6c1bccbe6ac9a60dfb7c2a69e3d5 and modified in HEAD. Version HEAD of hsweb-system/hsweb-system-workflow/hsweb-system-workflow-flowable/src/test/java/org/hswebframework/web/workflow/flowable/TestApplication.java left in tree.</t>
  </si>
  <si>
    <t xml:space="preserve">
package org.hswebframework.web.workflow.flowable; 
import org.springframework.boot.SpringApplication; 
import org.springframework.boot.autoconfigure.SpringBootApplication; 
import org.hswebframework.web.service.organizational.RelationDefineService; 
import org.springframework.beans.factory.annotation.Autowired; 
/**
 * TODO 完成注释
 *
 * @author zhouhao
 */
  class  TestApplication {
    @Autowired
    RelationDefineService relationDefineService;
}
</t>
  </si>
  <si>
    <t>take left version but lose some lines</t>
  </si>
  <si>
    <t xml:space="preserve">
&lt;&lt;&lt;&lt;&lt;&lt;&lt; ../hsweb-framework/5ab9d48e32a39cbb7faa97c1a1af196285751d28/base/hsweb-system/hsweb-system-workflow/hsweb-system-workflow-flowable/src/test/java/org/hswebframework/web/workflow/flowable/TestApplication.java
import org.hswebframework.web.service.organizational.RelationDefineService;
import org.springframework.beans.factory.annotation.Autowired;
||||||| ../hsweb-framework/5ab9d48e32a39cbb7faa97c1a1af196285751d28/base/hsweb-system/hsweb-system-workflow/hsweb-system-workflow-flowable/src/test/java/org/hswebframework/web/workflow/flowable/TestApplication.java
=======
&gt;&gt;&gt;&gt;&gt;&gt;&gt; ../hsweb-framework/5ab9d48e32a39cbb7faa97c1a1af196285751d28/base/hsweb-system/hsweb-system-workflow/hsweb-system-workflow-flowable/src/test/java/org/hswebframework/web/workflow/flowable/TestApplication.java</t>
  </si>
  <si>
    <t>https://github.com/dropwizard/metrics</t>
  </si>
  <si>
    <t>metrics</t>
  </si>
  <si>
    <t>ce7cdff4e9f72cc51395edf421ffa3ec717201e6</t>
  </si>
  <si>
    <t>b7976efc24a835cc3ad031ddc867536a8ae7b079</t>
  </si>
  <si>
    <t>65faea8a888c27c98f17e9c8fe2475efeb374087</t>
  </si>
  <si>
    <t>e61395657d9f471a88dc0d9f3c7f78f0e773fe28</t>
  </si>
  <si>
    <t>metrics-core/src/main/java/com/codahale/metrics/ExponentiallyDecayingReservoir.java</t>
  </si>
  <si>
    <t xml:space="preserve">
      * @param size  the number of samples to keep in the sampling reservoir
      * @param alpha the exponential decay factor; the higher this is, the more biased the reservoir
      *              will be towards newer values
+     * @param clock the clock used to timestamp samples and track rescaling
      */</t>
  </si>
  <si>
    <t xml:space="preserve">
      * @param size  the number of samples to keep in the sampling reservoir
      * @param alpha the exponential decay factor; the higher this is, the more biased the reservoir
      *              will be towards newer values
+     * @param clock the {@link Clock} to use
      */
     public ExponentiallyDecayingReservoir(int size, double alpha, Clock clock) {</t>
  </si>
  <si>
    <t xml:space="preserve">
&lt;&lt;&lt;&lt;&lt;&lt;&lt; HEAD
     * @param clock the clock used to timestamp samples and track rescaling
=======
     * @param clock the {@link Clock} to use
&gt;&gt;&gt;&gt;&gt;&gt;&gt; 65faea8a888c27c98f17e9c8fe2475efeb374087</t>
  </si>
  <si>
    <t>I vs. I(JavaDoc)</t>
  </si>
  <si>
    <t>L (actually R describes the same parameter @param with different content)</t>
  </si>
  <si>
    <t>Comment</t>
  </si>
  <si>
    <t xml:space="preserve">
    /**
     * Creates a new {@link ExponentiallyDecayingReservoir}.
     *
     * @param size  the number of samples to keep in the sampling reservoir
     * @param alpha the exponential decay factor; the higher this is, the more biased the reservoir
     *              will be towards newer values
     * @param clock the clock used to timestamp samples and track rescaling
     */</t>
  </si>
  <si>
    <t xml:space="preserve">
  /**
     * Creates a new {@link ExponentiallyDecayingReservoir}.
     *
     * @param size  the number of samples to keep in the sampling reservoir
     * @param alpha the exponential decay factor; the higher this is, the more biased the reservoir
     *              will be towards newer values
     * @param clock the clock used to timestamp samples and track rescaling
     */
  public ExponentiallyDecayingReservoir(int size, double alpha, Clock clock) {</t>
  </si>
  <si>
    <t xml:space="preserve">
    /**
     * Creates a new {@link ExponentiallyDecayingReservoir}.
     *
     * @param size  the number of samples to keep in the sampling reservoir
     * @param alpha the exponential decay factor; the higher this is, the more biased the reservoir
     *              will be towards newer values
&lt;&lt;&lt;&lt;&lt;&lt;&lt; ours
     * @param clock the clock used to timestamp samples and track rescaling
=======
     * @param clock the {@link Clock} to use
&gt;&gt;&gt;&gt;&gt;&gt;&gt; theirs
     */</t>
  </si>
  <si>
    <t xml:space="preserve">
&lt;&lt;&lt;&lt;&lt;&lt;&lt; ../metrics/ce7cdff4e9f72cc51395edf421ffa3ec717201e6/left/metrics-core/src/main/java/com/codahale/metrics/ExponentiallyDecayingReservoir.java
     * @param clock the clock used to timestamp samples and track rescaling
||||||| ../metrics/ce7cdff4e9f72cc51395edf421ffa3ec717201e6/base/metrics-core/src/main/java/com/codahale/metrics/ExponentiallyDecayingReservoir.java
=======
     * @param clock the {@link Clock} to use
&gt;&gt;&gt;&gt;&gt;&gt;&gt; ../metrics/ce7cdff4e9f72cc51395edf421ffa3ec717201e6/right/metrics-core/src/main/java/com/codahale/metrics/ExponentiallyDecayingReservoir.java</t>
  </si>
  <si>
    <t>https://github.com/TooTallNate/Java-WebSocket</t>
  </si>
  <si>
    <t>Java-WebSocket</t>
  </si>
  <si>
    <t>1196574c3436f87682e1487f5ed0e179ea870ed3</t>
  </si>
  <si>
    <t>84af29b3496814aaf92e0951c05d3a1589fa2cef</t>
  </si>
  <si>
    <t>bddca631ab788c029ce5fe6af8268d399869d796</t>
  </si>
  <si>
    <t>7c3b223536dc8bd4e8794ac265ad06679583e30f</t>
  </si>
  <si>
    <t>src/main/java/org/java_websocket/client/WebSocketClient.java</t>
  </si>
  <si>
    <t xml:space="preserve">
                         } else {
-                                throw new RuntimeException( "unkonow scheme" + scheme );
+                                throw new RuntimeException( "unknown scheme" + scheme );
                         }</t>
  </si>
  <si>
    <t xml:space="preserve">
                         } else {
-                                throw new RuntimeException( "unkonow scheme" + scheme );
+                                throw new RuntimeException( "unknown scheme: " + scheme );
                         }</t>
  </si>
  <si>
    <t xml:space="preserve">
&lt;&lt;&lt;&lt;&lt;&lt;&lt; HEAD
                                throw new RuntimeException( "unknown scheme" + scheme );
=======
                                throw new RuntimeException( "unknown scheme: " + scheme );
&gt;&gt;&gt;&gt;&gt;&gt;&gt; bddca631ab788c029ce5fe6af8268d399869d796</t>
  </si>
  <si>
    <t>U vs. U (Java code)
left has a typo of "unknown"
right add a space in output</t>
  </si>
  <si>
    <t xml:space="preserve">
	private int getPort() {
		int port = uri.getPort();
		if( port == -1 ) {
			String scheme = uri.getScheme();
			if( scheme.equals( "wss" ) ) {
				return WebSocket.DEFAULT_WSS_PORT;
			} else if( scheme.equals( "ws" ) ) {
				return WebSocket.DEFAULT_PORT;
			} else {
&lt;&lt;&lt;&lt;&lt;&lt;&lt; .../FSTMerge/fstmerge_tmp1647877575236/fstmerge_var1_3529208651056914494
				throw new RuntimeException( "unknown scheme" + scheme );
=======
				throw new RuntimeException( "unknown scheme: " + scheme );
&gt;&gt;&gt;&gt;&gt;&gt;&gt; .../FSTMerge/fstmerge_tmp1647877575236/fstmerge_var2_4597821552430888077
			}
		}
		return port;
	}</t>
  </si>
  <si>
    <t xml:space="preserve">
  private int getPort() {
    int port = uri.getPort();
    if (port == -1) {
      String scheme = uri.getScheme();
      if (scheme.equals("wss")) {
        return WebSocket.DEFAULT_WSS_PORT;
      } else {
        if (scheme.equals("ws")) {
          return WebSocket.DEFAULT_PORT;
        } else {
          throw new RuntimeException(
&lt;&lt;&lt;&lt;&lt;&lt;&lt; .../left/src/main/java/org/java_websocket/client/WebSocketClient.java
          "unknown scheme"
=======
          "unknown scheme: "
&gt;&gt;&gt;&gt;&gt;&gt;&gt; .../right/src/main/java/org/java_websocket/client/WebSocketClient.java
           + scheme);
        }
      }
    }
    return port;
  }</t>
  </si>
  <si>
    <t xml:space="preserve">
 private int getPort() {
		int port = uri.getPort();
		if( port == -1 ) {
			String scheme = uri.getScheme();
			if( scheme.equals( "wss" ) ) {
				return WebSocket.DEFAULT_WSS_PORT;
			} else if( scheme.equals( "ws" ) ) {
				return WebSocket.DEFAULT_PORT;
			} else {
&lt;&lt;&lt;&lt;&lt;&lt;&lt; ours
				throw new RuntimeException( "unknown scheme" + scheme );
=======
				throw new RuntimeException( "unknown scheme: " + scheme );
&gt;&gt;&gt;&gt;&gt;&gt;&gt; theirs
			}
		}
		return port;
	}</t>
  </si>
  <si>
    <t xml:space="preserve">
&lt;&lt;&lt;&lt;&lt;&lt;&lt; ../Java-WebSocket/1196574c3436f87682e1487f5ed0e179ea870ed3/left/src/main/java/org/java_websocket/client/WebSocketClient.java
				throw new RuntimeException( "unknown scheme" + scheme );
||||||| ../Java-WebSocket/1196574c3436f87682e1487f5ed0e179ea870ed3/base/src/main/java/org/java_websocket/client/WebSocketClient.java
				throw new RuntimeException( "unkonow scheme" + scheme );
=======
				throw new RuntimeException( "unknown scheme: " + scheme );
&gt;&gt;&gt;&gt;&gt;&gt;&gt; ../Java-WebSocket/1196574c3436f87682e1487f5ed0e179ea870ed3/right/src/main/java/org/java_websocket/client/WebSocketClient.java</t>
  </si>
  <si>
    <t>https://github.com/shwenzhang/AndResGuard</t>
  </si>
  <si>
    <t>AndResGuard</t>
  </si>
  <si>
    <t>3c9576844a7977e5b0190416341c8a07ab0c4a49</t>
  </si>
  <si>
    <t>e2eb551da91786b160ba2dc16c25ffb77b81a0ed</t>
  </si>
  <si>
    <t>76916cb63d548d621185211271a369958b705144</t>
  </si>
  <si>
    <t>1220a2cb4b765ea228eb12952b3b9ac548d977ea</t>
  </si>
  <si>
    <t>resourcesproguard.jar</t>
  </si>
  <si>
    <t>diff</t>
  </si>
  <si>
    <t>deleted</t>
  </si>
  <si>
    <t xml:space="preserve">
CONFLICT (modify/delete): resourcesproguard.jar deleted in 76916cb63d548d621185211271a369958b705144 and modified in HEAD. Version HEAD of resourcesproguard.jar left in tree.</t>
  </si>
  <si>
    <t>U vs. D (jar)</t>
  </si>
  <si>
    <t>https://github.com/swagger-api/swagger-core</t>
  </si>
  <si>
    <t>swagger-core</t>
  </si>
  <si>
    <t>bc19d9032ea088b1e804c4ace68096da8bd0984c</t>
  </si>
  <si>
    <t>4b1fd5c53342d898c7df8adf97fe1aa86a3515b5</t>
  </si>
  <si>
    <t>6a291f51f0b3aa90b7b82d68e489d26af41a9635</t>
  </si>
  <si>
    <t>251ab8b4307568e3af412dc1ce595b2df892889b</t>
  </si>
  <si>
    <t>modules/swagger-models/src/main/java/io/swagger/oas/models/links/LinkParameters.java</t>
  </si>
  <si>
    <t xml:space="preserve">
     if (o == null || getClass() != o.getClass()) {
       return false;
     }
-    return true;
+    LinkParameters linkParameters = (LinkParameters) o;
+    return Objects.equals(this.extensions, linkParameters.extensions);
   }
   @Override
   public int hashCode() {
-    return Objects.hash();
+    return Objects.hash(extensions);
   }
 </t>
  </si>
  <si>
    <t xml:space="preserve">
--- a/modules/swagger-models/src/main/java/io/swagger/oas/models/links/LinkParameters.java
+++ /dev/null
</t>
  </si>
  <si>
    <t xml:space="preserve">
CONFLICT (modify/delete): modules/swagger-models/src/main/java/io/swagger/oas/models/links/LinkParameters.java deleted in 6a291f51f0b3aa90b7b82d68e489d26af41a9635 and modified in HEAD. Version HEAD of modules/swagger-models/src/main/java/io/swagger/oas/models/links/LinkParameters.java left in tree.</t>
  </si>
  <si>
    <t xml:space="preserve">
--- a/modules/swagger-models/src/main/java/io/swagger/oas/models/links/LinkParameters.java
+++ /dev/null</t>
  </si>
  <si>
    <t xml:space="preserve">
&lt;&lt;&lt;&lt;&lt;&lt;&lt; ../swagger-core/bc19d9032ea088b1e804c4ace68096da8bd0984c/base/modules/swagger-models/src/main/java/io/swagger/oas/models/links/LinkParameters.java
    LinkParameters linkParameters = (LinkParameters) o;
    return Objects.equals(this.extensions, linkParameters.extensions);
||||||| ../swagger-core/bc19d9032ea088b1e804c4ace68096da8bd0984c/base/modules/swagger-models/src/main/java/io/swagger/oas/models/links/LinkParameters.java
    return true;
=======
&gt;&gt;&gt;&gt;&gt;&gt;&gt; ../swagger-core/bc19d9032ea088b1e804c4ace68096da8bd0984c/base/modules/swagger-models/src/main/java/io/swagger/oas/models/links/LinkParameters.java</t>
  </si>
  <si>
    <t>https://github.com/lihengming/spring-boot-api-project-seed</t>
  </si>
  <si>
    <t>spring-boot-api-project-seed</t>
  </si>
  <si>
    <t>1200b1bb14c53460f0851cd076f9c5028c6ff1ca</t>
  </si>
  <si>
    <t>246364b59a5ff9439e07fa7ff6a7e2cb790686d9</t>
  </si>
  <si>
    <t>9eda29ff9300bf078372a6fed868ec714b9b6e94</t>
  </si>
  <si>
    <t>fa515c3d401c66b30efe2a5b8f4e1ce0a8c8ed25</t>
  </si>
  <si>
    <t>README.md</t>
  </si>
  <si>
    <t xml:space="preserve">
-#### 特征
-- 统一JSON响应结果封装、生成工具快速生成
+### 特征&amp;提供
+- 最佳实践的项目结构、配置文件及精简的Maven依赖
+- 统一响应结果封装及生成工具
 - 统一异常处理
 - 常用基础方法抽象封装
-- 基于通用Mapper插件、PageHelper实现单表业务零SQL
-- Model、Mapper、MapperXML、Service、Controller使用代码生成器利用模板直接生成，可根据自己的业务定制模板，摆脱重复劳动
+- 集成MyBatis、通用Mapper插件、PageHelper分页插件，实现单表业务零SQL（相关使用文档在最下面有地址)
+- 提供代码生成器根据表名生成对应的Model、Mapper、MapperXML、Service、ServiceImpl、Controller（默认提供post和rest两套Controller模板)等基础代码，代码模板可根据实际项目的需求来定制，以便渐少重复劳动（由于每个公司业务都不太一样，所以只提供了一些简单的通用方法模板，主要是提供一个思路来减少重复代码的编写，在我们公司的使用中，其实根据业务的抽象编写了大量的代码模板，下次再做类似的项目几天就完工了)
 - 另有彩蛋，待你探索</t>
  </si>
  <si>
    <t xml:space="preserve">
-#### 特征
-- 统一JSON响应结果封装、生成工具快速生成
+### 特征&amp;提供
+- 最佳实践的项目结构、配置文件及精简的Maven依赖
+- 统一响应结果封装及生成工具
 - 统一异常处理
 - 常用基础方法抽象封装
-- 基于通用Mapper插件、PageHelper实现单表业务零SQL
-- Model、Mapper、MapperXML、Service、Controller使用代码生成器利用模板直接生成，可根据自己的业务定制模板，摆脱重复劳动
+- 集成MyBatis、通用Mapper插件、PageHelper分页插件，实现单表业务零SQL（相关使用文档在最下面有地址)
+- 提供代码生成器根据表名生成对应的Model、Mapper、MapperXML、Service、ServiceImpl、Controller（默认提供post和rest两套Controller模板)等基础代码，代码模板可根据实际项目的需求来定制，以便渐少重复劳动（由于每个公司业务都不太一样，所以只提供了一些简单的通用方法模板，主要是提供一个思路来减少重复代码的编写，在我们公司的使用中，其实根据业务的抽象编写了大量的代码模板，下次再做类似的项目几天就完工了)
 - 另有彩蛋，待你探索</t>
  </si>
  <si>
    <t xml:space="preserve">
### 特征&amp;提供
&lt;&lt;&lt;&lt;&lt;&lt;&lt; HEAD
- 最佳实践的项目结构、配置文件及精简的Maven依赖
- 统一响应结果封装及生成工具
- 统一异常处理
- 常用基础方法抽象封装
- 集成MyBatis、通用Mapper插件、PageHelper分页插件，实现单表业务零SQL（相关使用文档在最下面有地址)
- 提供代码生成器根据表名生成对应的Model、Mapper、MapperXML、Service、ServiceImpl、Controller（默认提供post和rest两套Controller模板)等基础代码，代码模板可根据实际项目的需求来定制，以便渐少重复劳动（由于每个公司业务都不太一样，所以只提供了一些简单的通用方法模板，主要是提供一个思路来减少重复代码的编写，在我们公司的使用中，其实根据业务的抽象编写了大量的代码模板，下次再做类似的项目几天就完工了)
=======
- 最佳实践的项目结构、配置文件及精简的Maven依赖
- 统一响应结果封装及生成工具
- 统一异常处理
- 常用基础方法抽象封装
- 集成MyBatis、通用Mapper插件、PageHelper分页插件，实现单表业务零SQL（相关使用文档在最下面有地址)
- 提供代码生成器根据表名生成对应的Model、Mapper、MapperXML、Service、ServiceImpl、Controller（默认提供post和rest两套Controller模板)等基础代码，代码模板可根据实际项目的需求来定制，以便渐少重复劳动（由于每个公司业务都不太一样，所以只提供了一些简单的通用方法模板，主要是提供一个思路来减少重复代码的编写，在我们公司的使用中，其实根据业务的抽象编写了大量的代码模板，下次再做类似的项目几天就完工了)
&gt;&gt;&gt;&gt;&gt;&gt;&gt; 9eda29ff9300bf078372a6fed868ec714b9b6e94
- 另有彩蛋，待你探索</t>
  </si>
  <si>
    <t>D I vs. D I(Java comment)
Origin(U vs. U)
space symbol difference(left symbol is space 32 in ASCII, right have 3 symbol lines in 194 in extend ASCII)</t>
  </si>
  <si>
    <t xml:space="preserve">
&lt;&lt;&lt;&lt;&lt;&lt;&lt; ../spring-boot-api-project-seed/1200b1bb14c53460f0851cd076f9c5028c6ff1ca/left/README.md
- 最佳实践的项目结构、配置文件及精简的Maven依赖
||||||| ../spring-boot-api-project-seed/1200b1bb14c53460f0851cd076f9c5028c6ff1ca/base/README.md
=======
- 最佳实践的项目结构、配置文件及精简的Maven依赖
&gt;&gt;&gt;&gt;&gt;&gt;&gt; ../spring-boot-api-project-seed/1200b1bb14c53460f0851cd076f9c5028c6ff1ca/right/README.md</t>
  </si>
  <si>
    <t>https://github.com/jwtk/jjwt</t>
  </si>
  <si>
    <t>jjwt</t>
  </si>
  <si>
    <t>3f079803316a45617b75c4fa2f309d6728490075</t>
  </si>
  <si>
    <t>ced9b95afd81ca34acace01a0e67b3f73d4b4074</t>
  </si>
  <si>
    <t>d229631af4944ae742409f144a71d56cbdd6358e</t>
  </si>
  <si>
    <t>395128eae674e7bb634bc31c441e4501e927c2c4</t>
  </si>
  <si>
    <t>src/main/java/io/jsonwebtoken/Header.java</t>
  </si>
  <si>
    <t xml:space="preserve">
     String getCompressionAlgorithm();
     /**
-     * Sets the JWT &lt;code&gt;calg&lt;/code&gt; (Compression Algorithm) header parameter value. A {@code null} value will remove
+     * Sets the JWT  &lt;a href="https://tools.ietf.org/html/rfc7516#section-4.1.3"&gt;&lt;code&gt;zip&lt;/code&gt;&lt;/a&gt;
+     * (Compression Algorithm) header parameter value. A {@code null} value will remove
      * the property from the JSON map.
-     * &lt;p&gt;
-     * &lt;p&gt;The compression algorithm is NOT part of the &lt;a href="https://tools.ietf.org/html/draft-ietf-oauth-json-web-token-25&gt;JWT specification&lt;/a&gt;
-     * and must be used carefully since, is not expected that other libraries (including previous versions of this one)
-     * be able to deserialize a compressed JTW body correctly. &lt;/p&gt;
      *
-     * @param calg the JWT compression algorithm {@code calg} value or {@code null} to remove the property from the JSON map.
+     * &lt;h5&gt;Compatiblity Note&lt;/h5&gt;
+     *
+     * &lt;p&gt;While the JWT family of specifications only defines the &lt;code&gt;zip&lt;/code&gt; header in the JWE
+     * (JSON Web Encryption) specification, JJWT will also support compression for JWS as well if you choose to use it.
+     * However, be aware that &lt;b&gt;if you use compression when creating a JWS token, other libraries may not be able to
+     * parse the JWS&lt;/b&gt;. However, Compression when creating JWE tokens should be universally accepted for any library
+     * that supports JWE.&lt;/p&gt;
+     *
+     * @param zip the JWT compression algorithm {@code zip} value or {@code null} to remove the property from the
+     *  JSON map.
      * @since 0.6.0
      */
-    T setCompressionAlgorithm(String calg);
+    T setCompressionAlgorithm(String zip);</t>
  </si>
  <si>
    <t xml:space="preserve">
@@ -120,7 +120,7 @@ public interface Header&lt;T extends Header&lt;T&gt;&gt; extends Map&lt;String,Object&gt; {
      * Sets the JWT &lt;code&gt;calg&lt;/code&gt; (Compression Algorithm) header parameter value. A {@code null} value will remove
      * the property from the JSON map.
      * &lt;p&gt;
-     * &lt;p&gt;The compression algorithm is NOT part of the &lt;a href="https://tools.ietf.org/html/draft-ietf-oauth-json-web-token-25&gt;JWT specification&lt;/a&gt;
+     * &lt;p&gt;The compression algorithm is NOT part of the &lt;a href="https://tools.ietf.org/html/draft-ietf-oauth-json-web-token-25"&gt;JWT specification&lt;/a&gt;
      * and must be used carefully since, is not expected that other libraries (including previous versions of this one)
      * be able to deserialize a compressed JTW body correctly. &lt;/p&gt;</t>
  </si>
  <si>
    <t xml:space="preserve">
&lt;&lt;&lt;&lt;&lt;&lt;&lt; HEAD
=======
     * &lt;p&gt;
     * &lt;p&gt;The compression algorithm is NOT part of the &lt;a href="https://tools.ietf.org/html/draft-ietf-oauth-json-web-token-25"&gt;JWT specification&lt;/a&gt;
     * and must be used carefully since, is not expected that other libraries (including previous versions of this one)
     * be able to deserialize a compressed JTW body correctly. &lt;/p&gt;
&gt;&gt;&gt;&gt;&gt;&gt;&gt; d229631af4944ae742409f144a71d56cbdd6358e</t>
  </si>
  <si>
    <t xml:space="preserve">
     String getCompressionAlgorithm();
     /**
-     * Sets the JWT &lt;code&gt;calg&lt;/code&gt; (Compression Algorithm) header parameter value. A {@code null} value will remove
+     * Sets the JWT  &lt;a href="https://tools.ietf.org/html/rfc7516#section-4.1.3"&gt;&lt;code&gt;zip&lt;/code&gt;&lt;/a&gt;
+     * (Compression Algorithm) header parameter value. A {@code null} value will remove
      * the property from the JSON map.
      * &lt;p&gt;
-     * &lt;p&gt;The compression algorithm is NOT part of the &lt;a href="https://tools.ietf.org/html/draft-ietf-oauth-json-web-token-25&gt;JWT specification&lt;/a&gt;
+     * &lt;p&gt;The compression algorithm is NOT part of the &lt;a href="https://tools.ietf.org/html/draft-ietf-oauth-json-web-token-25"&gt;JWT specification&lt;/a&gt;
      * and must be used carefully since, is not expected that other libraries (including previous versions of this one)
      * be able to deserialize a compressed JTW body correctly. &lt;/p&gt;
      *
-     * @param calg the JWT compression algorithm {@code calg} value or {@code null} to remove the property from the JSON map.
+     * &lt;h5&gt;Compatiblity Note&lt;/h5&gt;
+     *
+     * &lt;p&gt;While the JWT family of specifications only defines the &lt;code&gt;zip&lt;/code&gt; header in the JWE
+     * (JSON Web Encryption) specification, JJWT will also support compression for JWS as well if you choose to use it.
+     * However, be aware that &lt;b&gt;if you use compression when creating a JWS token, other libraries may not be able to
+     * parse the JWS&lt;/b&gt;. However, Compression when creating JWE tokens should be universally accepted for any library
+     * that supports JWE.&lt;/p&gt;
+     *
+     * @param zip the JWT compression algorithm {@code zip} value or {@code null} to remove the property from the
+     *  JSON map.
      * @since 0.6.0
      */
-    T setCompressionAlgorithm(String calg);
+    T setCompressionAlgorithm(String zip);</t>
  </si>
  <si>
    <t>D I vs. U (comment)</t>
  </si>
  <si>
    <t>accept both sides but keep removed lines in left</t>
  </si>
  <si>
    <t xml:space="preserve">
    /**
     * Sets the JWT  &lt;a href="https://tools.ietf.org/html/rfc7516#section-4.1.3"&gt;&lt;code&gt;zip&lt;/code&gt;&lt;/a&gt;
     * (Compression Algorithm) header parameter value. A {@code null} value will remove
     * the property from the JSON map.
     *
     * &lt;h5&gt;Compatiblity Note&lt;/h5&gt;
     *
     * &lt;p&gt;While the JWT family of specifications only defines the &lt;code&gt;zip&lt;/code&gt; header in the JWE
     * (JSON Web Encryption) specification, JJWT will also support compression for JWS as well if you choose to use it.
     * However, be aware that &lt;b&gt;if you use compression when creating a JWS token, other libraries may not be able to
     * parse the JWS&lt;/b&gt;. However, Compression when creating JWE tokens should be universally accepted for any library
     * that supports JWE.&lt;/p&gt;
     *
     * @param zip the JWT compression algorithm {@code zip} value or {@code null} to remove the property from the
     *  JSON map.
     * @since 0.6.0
     */
    T setCompressionAlgorithm(String zip);</t>
  </si>
  <si>
    <t xml:space="preserve">
  /**
     * Sets the JWT  &lt;a href="https://tools.ietf.org/html/rfc7516#section-4.1.3"&gt;&lt;code&gt;zip&lt;/code&gt;&lt;/a&gt;
     * (Compression Algorithm) header parameter value. A {@code null} value will remove
     * the property from the JSON map.
     *
     * &lt;h5&gt;Compatiblity Note&lt;/h5&gt;
     *
     * &lt;p&gt;While the JWT family of specifications only defines the &lt;code&gt;zip&lt;/code&gt; header in the JWE
     * (JSON Web Encryption) specification, JJWT will also support compression for JWS as well if you choose to use it.
     * However, be aware that &lt;b&gt;if you use compression when creating a JWS token, other libraries may not be able to
     * parse the JWS&lt;/b&gt;. However, Compression when creating JWE tokens should be universally accepted for any library
     * that supports JWE.&lt;/p&gt;
     *
     * @param zip the JWT compression algorithm {@code zip} value or {@code null} to remove the property from the
     *  JSON map.
     * @since 0.6.0
     */
  T setCompressionAlgorithm(String zip);</t>
  </si>
  <si>
    <t>keep left and change indentation</t>
  </si>
  <si>
    <t xml:space="preserve">
    /**
     * Sets the JWT  &lt;a href="https://tools.ietf.org/html/rfc7516#section-4.1.3"&gt;&lt;code&gt;zip&lt;/code&gt;&lt;/a&gt;
     * (Compression Algorithm) header parameter value. A {@code null} value will remove
     * the property from the JSON map.
&lt;&lt;&lt;&lt;&lt;&lt;&lt; ours
=======
     * &lt;p&gt;
     * &lt;p&gt;The compression algorithm is NOT part of the &lt;a href="https://tools.ietf.org/html/draft-ietf-oauth-json-web-token-25"&gt;JWT specification&lt;/a&gt;
     * and must be used carefully since, is not expected that other libraries (including previous versions of this one)
     * be able to deserialize a compressed JTW body correctly. &lt;/p&gt;
&gt;&gt;&gt;&gt;&gt;&gt;&gt; theirs
     *
     * &lt;h5&gt;Compatiblity Note&lt;/h5&gt;
     *
     * &lt;p&gt;While the JWT family of specifications only defines the &lt;code&gt;zip&lt;/code&gt; header in the JWE
     * (JSON Web Encryption) specification, JJWT will also support compression for JWS as well if you choose to use it.
     * However, be aware that &lt;b&gt;if you use compression when creating a JWS token, other libraries may not be able to
     * parse the JWS&lt;/b&gt;. However, Compression when creating JWE tokens should be universally accepted for any library
     * that supports JWE.&lt;/p&gt;
     *
     * @param zip the JWT compression algorithm {@code zip} value or {@code null} to remove the property from the
     *  JSON map.
     * @since 0.6.0
     */
     T setCompressionAlgorithm(String zip);</t>
  </si>
  <si>
    <t xml:space="preserve">
&lt;&lt;&lt;&lt;&lt;&lt;&lt; ../jjwt/3f079803316a45617b75c4fa2f309d6728490075/left/src/main/java/io/jsonwebtoken/Header.java
||||||| ../jjwt/3f079803316a45617b75c4fa2f309d6728490075/base/src/main/java/io/jsonwebtoken/Header.java
     * &lt;p&gt;The compression algorithm is NOT part of the &lt;a href="https://tools.ietf.org/html/draft-ietf-oauth-json-web-token-25&gt;JWT specification&lt;/a&gt;
=======
     * &lt;p&gt;The compression algorithm is NOT part of the &lt;a href="https://tools.ietf.org/html/draft-ietf-oauth-json-web-token-25"&gt;JWT specification&lt;/a&gt;
&gt;&gt;&gt;&gt;&gt;&gt;&gt; ../jjwt/3f079803316a45617b75c4fa2f309d6728490075/right/src/main/java/io/jsonwebtoken/Header.java</t>
  </si>
  <si>
    <t>https://github.com/NLPchina/elasticsearch-sql</t>
  </si>
  <si>
    <t>elasticsearch-sql</t>
  </si>
  <si>
    <t>df6cf91d975daa6924e1b0dbedbfe98fc3bcf997</t>
  </si>
  <si>
    <t>de72b2fa3c8d30f4703634e8fc56f9c4c9994cf5</t>
  </si>
  <si>
    <t>502c012a5b2042eaa02b38b4fe8ca05fb5ca6d5b</t>
  </si>
  <si>
    <t>6d01f2ed24d198d040e767a840bfd97141bda821</t>
  </si>
  <si>
    <t>src/main/java/org/nlpcn/es4sql/query/maker/AggMaker.java</t>
  </si>
  <si>
    <t xml:space="preserve">
         {
             //todo: support different lang script
-            builder.script(((MethodField)kvValue.value).getParams().get(1).toString());
+            builder.script(new Script(((MethodField)kvValue.value).getParams().get(1).toString()));
         }
     }</t>
  </si>
  <si>
    <t xml:space="preserve">
+        if(kvValue.key!=null &amp;&amp; kvValue.key.equals("script") ){
             //todo: support different lang script
-            builder.script(((MethodField)kvValue.value).getParams().get(1).toString());
+           return builder.script(((MethodField)kvValue.value).getParams().get(1).toString());
         }
</t>
  </si>
  <si>
    <t xml:space="preserve">
&lt;&lt;&lt;&lt;&lt;&lt;&lt; HEAD
            builder.script(new Script(((MethodField)kvValue.value).getParams().get(1).toString()));
=======
           return builder.script(((MethodField)kvValue.value).getParams().get(1).toString());
&gt;&gt;&gt;&gt;&gt;&gt;&gt; 502c012a5b2042eaa02b38b4fe8ca05fb5ca6d5b</t>
  </si>
  <si>
    <t xml:space="preserve">
         {
-            //todo: support different lang script
-            builder.script(((MethodField)kvValue.value).getParams().get(1).toString());
+            NestedType nestedType = (NestedType) kvValue.value;
+                        builder.field(nestedType.field);
+            return AggregationBuilders.nested(nestedType.field+"@NESTED").path(nestedType.path).subAggregation(builder);
+
         }</t>
  </si>
  <si>
    <t>U vs. U (Java code)</t>
  </si>
  <si>
    <t>Update with new statement</t>
  </si>
  <si>
    <t>M (update the same statement with a third statement)</t>
  </si>
  <si>
    <t xml:space="preserve">
  private AbstractAggregationBuilder addFieldOrScriptToAggregation(MethodField field, ValuesSourceMetricsAggregationBuilder builder) {
    KVValue kvValue = field.getParams().get(0);
    if (kvValue.key != null &amp;&amp; kvValue.key.equals("script")) {
      return builder.script(((MethodField) kvValue.value).getParams().get(1).toString());
    } else 
&lt;&lt;&lt;&lt;&lt;&lt;&lt; .../left/src/main/java/org/nlpcn/es4sql/query/maker/AggMaker.java
    {
      builder.script(new Script(((MethodField) kvValue.value).getParams().get(1).toString()));
    }
=======
    if (kvValue.key != null &amp;&amp; kvValue.key.equals("nested")) {
      NestedType nestedType = (NestedType) kvValue.value;
      builder.field(nestedType.field);
      return AggregationBuilders.nested(nestedType.field + "@NESTED").path(nestedType.path).subAggregation(builder);
    }
&gt;&gt;&gt;&gt;&gt;&gt;&gt; .../right/src/main/java/org/nlpcn/es4sql/query/maker/AggMaker.java
</t>
  </si>
  <si>
    <t xml:space="preserve">
    private AbstractAggregationBuilder addFieldOrScriptToAggregation(MethodField field, ValuesSourceMetricsAggregationBuilder builder) {
        KVValue kvValue = field.getParams().get(0);
        if(kvValue.key!=null &amp;&amp; kvValue.key.equals("script") ){
            //todo: support different lang script
&lt;&lt;&lt;&lt;&lt;&lt;&lt; ours
            builder.script(new Script(((MethodField)kvValue.value).getParams().get(1).toString()));
=======
           return builder.script(((MethodField)kvValue.value).getParams().get(1).toString());
&gt;&gt;&gt;&gt;&gt;&gt;&gt; theirs
        }
        else  if (kvValue.key!=null &amp;&amp; kvValue.key.equals("nested")){
            NestedType nestedType = (NestedType) kvValue.value;
            builder.field(nestedType.field);
            return AggregationBuilders.nested(nestedType.field+"@NESTED").path(nestedType.path).subAggregation(builder);
        }
        return builder.field(kvValue.toString());
    }
    </t>
  </si>
  <si>
    <t xml:space="preserve">
&lt;&lt;&lt;&lt;&lt;&lt;&lt; ../elasticsearch-sql/df6cf91d975daa6924e1b0dbedbfe98fc3bcf997/left/src/main/java/org/nlpcn/es4sql/query/maker/AggMaker.java
            builder.script(new Script(((MethodField)kvValue.value).getParams().get(1).toString()));
||||||| ../elasticsearch-sql/df6cf91d975daa6924e1b0dbedbfe98fc3bcf997/base/src/main/java/org/nlpcn/es4sql/query/maker/AggMaker.java
            builder.script(((MethodField)kvValue.value).getParams().get(1).toString());
=======
           return builder.script(((MethodField)kvValue.value).getParams().get(1).toString());
&gt;&gt;&gt;&gt;&gt;&gt;&gt; ../elasticsearch-sql/df6cf91d975daa6924e1b0dbedbfe98fc3bcf997/right/src/main/java/org/nlpcn/es4sql/query/maker/AggMaker.java</t>
  </si>
  <si>
    <t>https://github.com/apache/cassandra</t>
  </si>
  <si>
    <t>cassandra</t>
  </si>
  <si>
    <t>4cda3622d0a86d45d73a31576fc8b39b9e66928d</t>
  </si>
  <si>
    <t>b1f3fc00f5e55f1b27301ff30e8b0a23460f9b43</t>
  </si>
  <si>
    <t>296da81fc809f71e8e08bda612ba89925880fb6c</t>
  </si>
  <si>
    <t>9668535debed61e3c13d4b0305e2ac0d3e21c7c6</t>
  </si>
  <si>
    <t>src/java/org/apache/cassandra/net/OutboundTcpConnection.java</t>
  </si>
  <si>
    <t xml:space="preserve">
 import java.util.UUID;
 import java.util.concurrent.BlockingQueue;
 import java.util.concurrent.LinkedBlockingQueue;
+import java.util.concurrent.TimeUnit;
 import java.util.concurrent.atomic.AtomicLong;</t>
  </si>
  <si>
    <t xml:space="preserve">
 import java.nio.ByteBuffer;
 import java.util.UUID;
 import java.util.concurrent.BlockingQueue;
+import java.util.concurrent.CountDownLatch;
 import java.util.concurrent.LinkedBlockingQueue;
+import java.util.concurrent.TimeUnit;
+import java.util.concurrent.atomic.AtomicInteger;
 import java.util.concurrent.atomic.AtomicLong;</t>
  </si>
  <si>
    <t xml:space="preserve">
&lt;&lt;&lt;&lt;&lt;&lt;&lt; HEAD
=======
import java.util.concurrent.atomic.AtomicInteger;
&gt;&gt;&gt;&gt;&gt;&gt;&gt; 296da81fc809f71e8e08bda612ba89925880fb6c</t>
  </si>
  <si>
    <t>R(R includes L)</t>
  </si>
  <si>
    <t xml:space="preserve">
import java.util.concurrent.BlockingQueue; 
import java.util.concurrent.CountDownLatch; 
import java.util.concurrent.LinkedBlockingQueue; 
import java.util.concurrent.TimeUnit; 
import java.util.concurrent.atomic.AtomicInteger; 
import java.util.concurrent.atomic.AtomicLong; </t>
  </si>
  <si>
    <t xml:space="preserve">
import java.util.concurrent.BlockingQueue;
import java.util.concurrent.CountDownLatch;
import java.util.concurrent.LinkedBlockingQueue;
import java.util.concurrent.TimeUnit;
import java.util.concurrent.atomic.AtomicInteger;
import java.util.concurrent.atomic.AtomicLong;</t>
  </si>
  <si>
    <t>https://github.com/elasticjob/elastic-job-lite</t>
  </si>
  <si>
    <t>elastic-job-lite</t>
  </si>
  <si>
    <t>fcac3cacf40073ec4c37ba08c3ee92c73e46a50d</t>
  </si>
  <si>
    <t>eeba32320dc50e51156ae41f4a2541c3481d8b0b</t>
  </si>
  <si>
    <t>b94a6057fbb411b47a9a78fd7597fb0e8c29edcb</t>
  </si>
  <si>
    <t>b29835fcdbcc24b3b694473aece3a6c6487a4b65</t>
  </si>
  <si>
    <t>elastic-job-cloud/elastic-job-cloud-scheduler/src/test/java/com/dangdang/ddframe/job/cloud/scheduler/restful/CloudJobRestfulApiTest.java</t>
  </si>
  <si>
    <t xml:space="preserve">
         jobEventRdbSearch = mock(Optional.class);
-        CloudJobRestfulApi.init(schedulerDriver, regCenter, jobEventRdbSearch);
         server = new RestfulServer(19000);</t>
  </si>
  <si>
    <t xml:space="preserve">
-        jobEventRdbSearch = mock(Optional.class);
-        CloudJobRestfulApi.init(schedulerDriver, regCenter, jobEventRdbSearch);
+        jobEventRdbSearch = mock(JobEventRdbSearch.class);
+        CloudJobRestfulApi.init(schedulerDriver, regCenter);
         server = new RestfulServer(19000);</t>
  </si>
  <si>
    <t xml:space="preserve">
        regCenter = mock(CoordinatorRegistryCenter.class);
&lt;&lt;&lt;&lt;&lt;&lt;&lt; HEAD
        jobEventRdbSearch = mock(Optional.class);
=======
        jobEventRdbSearch = mock(JobEventRdbSearch.class);
        CloudJobRestfulApi.init(schedulerDriver, regCenter);
&gt;&gt;&gt;&gt;&gt;&gt;&gt; b94a6057fbb411b47a9a78fd7597fb0e8c29edcb
        server = new RestfulServer(19000);</t>
  </si>
  <si>
    <t>-        jobEventRdbSearch = mock(Optional.class);
-        CloudJobRestfulApi.init(schedulerDriver, regCenter, jobEventRdbSearch);
+        jobEventRdbSearch = mock(JobEventRdbSearch.class);
         server = new RestfulServer(19000);
+        CloudJobRestfulApi.init(regCenter, jobEventRdbSearch);</t>
  </si>
  <si>
    <t>D vs. U (Java code) R include L</t>
  </si>
  <si>
    <t>take part of right but change the order part</t>
  </si>
  <si>
    <t>R+M(revise the edit from right, only keep one update)</t>
  </si>
  <si>
    <t xml:space="preserve">
  @BeforeClass public static void setUpClass() throws Exception {
    regCenter = mock(CoordinatorRegistryCenter.class);
    jobEventRdbSearch = mock(JobEventRdbSearch.class);
&lt;&lt;&lt;&lt;&lt;&lt;&lt; Unknown file: This is a bug in JDime.
=======
    CloudJobRestfulApi.init(schedulerDriver, regCenter);
&gt;&gt;&gt;&gt;&gt;&gt;&gt; .../right/elastic-job-cloud/elastic-job-cloud-scheduler/src/test/java/com/dangdang/ddframe/job/cloud/scheduler/restful/CloudJobRestfulApiTest.java
    server = new RestfulServer(19000);
&lt;&lt;&lt;&lt;&lt;&lt;&lt; .../left/elastic-job-cloud/elastic-job-cloud-scheduler/src/test/java/com/dangdang/ddframe/job/cloud/scheduler/restful/CloudJobRestfulApiTest.java
    CloudJobRestfulApi.init(regCenter, jobEventRdbSearch);
=======
&gt;&gt;&gt;&gt;&gt;&gt;&gt; Unknown file: This is a bug in JDime.</t>
  </si>
  <si>
    <t xml:space="preserve">
    @BeforeClass
    public static void setUpClass() throws Exception throws Exception {
        regCenter = mock(CoordinatorRegistryCenter.class);
&lt;&lt;&lt;&lt;&lt;&lt;&lt; ours
        jobEventRdbSearch = mock(Optional.class);
=======
        jobEventRdbSearch = mock(JobEventRdbSearch.class);
        CloudJobRestfulApi.init(schedulerDriver, regCenter);
&gt;&gt;&gt;&gt;&gt;&gt;&gt; theirs
        server = new RestfulServer(19000);</t>
  </si>
  <si>
    <t xml:space="preserve">
    jobEventRdbSearch = mock(JobEventRdbSearch.class);
    server = new RestfulServer(19000);
    CloudJobRestfulApi.init(regCenter, jobEventRdbSearch);</t>
  </si>
  <si>
    <t>take part of right</t>
  </si>
  <si>
    <t xml:space="preserve">
&lt;&lt;&lt;&lt;&lt;&lt;&lt; ../elastic-job-lite/fcac3cacf40073ec4c37ba08c3ee92c73e46a50d/left/elastic-job-cloud/elastic-job-cloud-scheduler/src/test/java/com/dangdang/ddframe/job/cloud/scheduler/restful/CloudJobRestfulApiTest.java
||||||| ../elastic-job-lite/fcac3cacf40073ec4c37ba08c3ee92c73e46a50d/base/elastic-job-cloud/elastic-job-cloud-scheduler/src/test/java/com/dangdang/ddframe/job/cloud/scheduler/restful/CloudJobRestfulApiTest.java
        CloudJobRestfulApi.init(schedulerDriver, regCenter, jobEventRdbSearch);
=======
        CloudJobRestfulApi.init(schedulerDriver, regCenter);
&gt;&gt;&gt;&gt;&gt;&gt;&gt; ../elastic-job-lite/fcac3cacf40073ec4c37ba08c3ee92c73e46a50d/right/elastic-job-cloud/elastic-job-cloud-scheduler/src/test/java/com/dangdang/ddframe/job/cloud/scheduler/restful/CloudJobRestfulApiTest.java</t>
  </si>
  <si>
    <t>https://github.com/OpenFeign/feign</t>
  </si>
  <si>
    <t>feign</t>
  </si>
  <si>
    <t>2e28ebd41de73ca233cbbf8dfaa5cef463b806a3</t>
  </si>
  <si>
    <t>2c19962f69a480630d537e0c308dcfaccda21715</t>
  </si>
  <si>
    <t>782cc1b05f4c55fdc4553ec0387b5da345edac77</t>
  </si>
  <si>
    <t>b5ab32353a85702d3961c9c8cc91d565abe7ee63</t>
  </si>
  <si>
    <t xml:space="preserve">
-version=7.0.0-SNAPSHOT
+version=8.0.0-SNAPSHOT</t>
  </si>
  <si>
    <t xml:space="preserve">
-version=7.0.0-SNAPSHOT</t>
  </si>
  <si>
    <t xml:space="preserve">
&lt;&lt;&lt;&lt;&lt;&lt;&lt; HEAD
version=8.0.0-SNAPSHOT
=======
&gt;&gt;&gt;&gt;&gt;&gt;&gt; 782cc1b05f4c55fdc4553ec0387b5da345edac77
</t>
  </si>
  <si>
    <t xml:space="preserve">
@@ -1 +0,0 @@
-version=7.0.0-SNAPSHOT</t>
  </si>
  <si>
    <t>U vs. D (version no.) L includes R</t>
  </si>
  <si>
    <t xml:space="preserve">
version=8.0.0-SNAPSHOT
</t>
  </si>
  <si>
    <t xml:space="preserve">
&lt;&lt;&lt;&lt;&lt;&lt;&lt; ../feign/2e28ebd41de73ca233cbbf8dfaa5cef463b806a3/left/gradle.properties
version=8.0.0-SNAPSHOT
||||||| ../feign/2e28ebd41de73ca233cbbf8dfaa5cef463b806a3/base/gradle.properties
version=7.0.0-SNAPSHOT
=======
&gt;&gt;&gt;&gt;&gt;&gt;&gt; ../feign/2e28ebd41de73ca233cbbf8dfaa5cef463b806a3/right/gradle.properties</t>
  </si>
  <si>
    <t>https://github.com/google/closure-compiler</t>
  </si>
  <si>
    <t>closure-compiler</t>
  </si>
  <si>
    <t>a506e4a7a5a5863767395b67a87d1dfb14a4a29a</t>
  </si>
  <si>
    <t>f4fdb156d18efa921021a56db08a07f42afdb4dc</t>
  </si>
  <si>
    <t>69f08230ec2fcd64c20850262db3c398f4d5b332</t>
  </si>
  <si>
    <t>83d52f6931da10adc08effe94d5fcadffef0437c</t>
  </si>
  <si>
    <t>test/com/google/javascript/jscomp/ProcessCommonJSModulesTest.java</t>
  </si>
  <si>
    <t xml:space="preserve">
         LINE_JOINER.join(
-            "goog.provide('module$test');",
-            "var module$test = {foo: 'bar'};"));
+            "!function(){",
+            "var foobar = {foo: 'bar'};",
+            "if (typeof module === 'object' &amp;&amp; module.exports) {",
+            "  module.exports = foobar;",
+            "} else if (typeof define === 'function' &amp;&amp; define.amd) {",
+            "  define([], function() {return foobar;});",
+            "} else {",
+            "  this.foobar = foobar;",
+            "}}()"),
+        "var module$test = {foo: 'bar'};");
</t>
  </si>
  <si>
    <t xml:space="preserve">
-        LINE_JOINER.join(
-            "goog.provide('module$test');",
-            "var module$test = {foo: 'bar'};"));
+        "var module$test = {foo: 'bar'};");</t>
  </si>
  <si>
    <t xml:space="preserve">
        "var module$test = {foo: 'bar'};");
&lt;&lt;&lt;&lt;&lt;&lt;&lt; HEAD
    testModules(
        "test.js",
        LINE_JOINER.join(
            "!function(){",
            "var foobar = {foo: 'bar'};",
            "if (typeof module === 'object' &amp;&amp; module.exports) {",
            "  module.exports = foobar;",
            "} else if (typeof define === 'function' &amp;&amp; define.amd) {",
            "  define([], function() {return foobar;});",
            "} else {",
            "  this.foobar = foobar;",
            "}}()"),
        "var module$test = {foo: 'bar'};");
=======
&gt;&gt;&gt;&gt;&gt;&gt;&gt; 69f08230ec2fcd64c20850262db3c398f4d5b332</t>
  </si>
  <si>
    <t xml:space="preserve">
@@ -636,9 +564,21 @@ public final class ProcessCommonJSModulesTest extends CompilerTestCase {
             "} else {",
             "  this.foobar = foobar;",
             "}})()"),
+        "var module$test = {foo: 'bar'};");
+
+    testModules(
+        "test.js",
         LINE_JOINER.join(
-            "goog.provide('module$test');",
-            "var module$test = {foo: 'bar'};"));
+            "!function(){",
+            "var foobar = {foo: 'bar'};",
+            "if (typeof module === 'object' &amp;&amp; module.exports) {",
+            "  module.exports = foobar;",
+            "} else if (typeof define === 'function' &amp;&amp; define.amd) {",
+            "  define([], function() {return foobar;});",
+            "} else {",
+            "  this.foobar = foobar;",
+            "}}()"),
+        "var module$test = {foo: 'bar'};");
</t>
  </si>
  <si>
    <t>D I vs. D U(Java code)
Origin(U vs. U)</t>
  </si>
  <si>
    <t xml:space="preserve">
&lt;&lt;&lt;&lt;&lt;&lt;&lt; .../FSTMerge/fstmerge_tmp1647878310461/fstmerge_var1_2049513079676880469
    testModules(
        "test.js",
        LINE_JOINER.join(
            "!function(){",
            "var foobar = {foo: 'bar'};",
            "if (typeof module === 'object' &amp;&amp; module.exports) {",
            "  module.exports = foobar;",
            "} else if (typeof define === 'function' &amp;&amp; define.amd) {",
            "  define([], function() {return foobar;});",
            "} else {",
            "  this.foobar = foobar;",
            "}}()"),
        "var module$test = {foo: 'bar'};");
=======
&gt;&gt;&gt;&gt;&gt;&gt;&gt; .../FSTMerge/fstmerge_tmp1647878310461/fstmerge_var2_2114996393836538613
</t>
  </si>
  <si>
    <t xml:space="preserve">
testModules("test.js", LINE_JOINER.join("!function(){", "var foobar = {foo: \'bar\'};", "if (typeof module === \'object\' &amp;&amp; module.exports) {", "  module.exports = foobar;", "} else if (typeof define === \'function\' &amp;&amp; define.amd) {", "  define([], function() {return foobar;});", "} else {", "  this.foobar = foobar;", "}}()"), "var module$test = {foo: \'bar\'};");
    </t>
  </si>
  <si>
    <t xml:space="preserve">
&lt;&lt;&lt;&lt;&lt;&lt;&lt; ours
    testModules(
        "test.js",
        LINE_JOINER.join(
            "!function(){",
            "var foobar = {foo: 'bar'};",
            "if (typeof module === 'object' &amp;&amp; module.exports) {",
            "  module.exports = foobar;",
            "} else if (typeof define === 'function' &amp;&amp; define.amd) {",
            "  define([], function() {return foobar;});",
            "} else {",
            "  this.foobar = foobar;",
            "}}()"),
        "var module$test = {foo: 'bar'};");
=======
&gt;&gt;&gt;&gt;&gt;&gt;&gt; theirs</t>
  </si>
  <si>
    <t xml:space="preserve">
    testModules(
        "test.js",            
&lt;&lt;&lt;&lt;&lt;&lt;&lt; ../closure-compiler/a506e4a7a5a5863767395b67a87d1dfb14a4a29a/left/test/com/google/javascript/jscomp/ProcessCommonJSModulesTest.java
            "!function(){",
            "var foobar = {foo: 'bar'};",            
||||||| ../closure-compiler/a506e4a7a5a5863767395b67a87d1dfb14a4a29a/base/test/com/google/javascript/jscomp/ProcessCommonJSModulesTest.java
            "goog.provide('module$test');",
            "var module$test = {foo: 'bar'};"));
=======    
&gt;&gt;&gt;&gt;&gt;&gt;&gt; ../closure-compiler/a506e4a7a5a5863767395b67a87d1dfb14a4a29a/right/test/com/google/javascript/jscomp/ProcessCommonJSModulesTest.java</t>
  </si>
  <si>
    <t>https://github.com/weibocom/motan</t>
  </si>
  <si>
    <t>motan</t>
  </si>
  <si>
    <t>97f6e0c5ef2ea3583a41cb8b11f020bf7d2078e5</t>
  </si>
  <si>
    <t>0846403b181e02713df892d390c28ae732699c1c</t>
  </si>
  <si>
    <t>766c309d57221f68b1154d5cf975cd822b1103b8</t>
  </si>
  <si>
    <t>0c986f275b8c5be86205100f1800ecfd041c3e3e</t>
  </si>
  <si>
    <t>motan-springsupport/src/main/java/com/weibo/api/motan/config/springsupport/ServiceConfigBean.java</t>
  </si>
  <si>
    <t xml:space="preserve">
@@ -17,6 +17,8 @@
 package com.weibo.api.motan.config.springsupport;
 import java.util.ArrayList;
+import java.util.List;
+import java.util.Map;
 import org.apache.commons.lang3.StringUtils;</t>
  </si>
  <si>
    <t xml:space="preserve">
@@ -17,6 +17,7 @@
 package com.weibo.api.motan.config.springsupport;
 import java.util.ArrayList;
+import java.util.Arrays;
 import org.apache.commons.lang3.StringUtils;</t>
  </si>
  <si>
    <t xml:space="preserve">
import java.util.ArrayList;
&lt;&lt;&lt;&lt;&lt;&lt;&lt; HEAD
import java.util.List;
import java.util.Map;
=======
import java.util.Arrays;
&gt;&gt;&gt;&gt;&gt;&gt;&gt; 766c309d57221f68b1154d5cf975cd822b1103b8
import org.apache.commons.lang3.StringUtils;</t>
  </si>
  <si>
    <t xml:space="preserve">
@@ -18,34 +18,40 @@ package com.weibo.api.motan.config.springsupport;
 import java.util.ArrayList;
+import java.util.List;
+import java.util.Map;
+import java.util.Arrays;
+
+
 import org.apache.commons.lang3.StringUtils;</t>
  </si>
  <si>
    <t>accept both sides plus additional empty line</t>
  </si>
  <si>
    <t xml:space="preserve">
import java.util.ArrayList; 
import java.util.Arrays; 
…
import java.util.List; 
import java.util.Map;  </t>
  </si>
  <si>
    <t>accept both sides but change location</t>
  </si>
  <si>
    <t xml:space="preserve">
import java.util.ArrayList;
import java.util.List;
import java.util.Arrays;
import java.util.Map;
import org.apache.commons.lang3.StringUtils;</t>
  </si>
  <si>
    <t xml:space="preserve">
import java.util.ArrayList;
import java.util.List;
import java.util.Map;
import java.util.Arrays;</t>
  </si>
  <si>
    <t>accept both sides and insert extra empty line</t>
  </si>
  <si>
    <t xml:space="preserve">
import java.util.ArrayList;
&lt;&lt;&lt;&lt;&lt;&lt;&lt; ../motan/97f6e0c5ef2ea3583a41cb8b11f020bf7d2078e5/left/motan-springsupport/src/main/java/com/weibo/api/motan/config/springsupport/ServiceConfigBean.java
import java.util.List;
import java.util.Map;
||||||| ../motan/97f6e0c5ef2ea3583a41cb8b11f020bf7d2078e5/base/motan-springsupport/src/main/java/com/weibo/api/motan/config/springsupport/ServiceConfigBean.java
=======
import java.util.Arrays;
&gt;&gt;&gt;&gt;&gt;&gt;&gt; ../motan/97f6e0c5ef2ea3583a41cb8b11f020bf7d2078e5/right/motan-springsupport/src/main/java/com/weibo/api/motan/config/springsupport/ServiceConfigBean.java</t>
  </si>
  <si>
    <t>https://github.com/NLPchina/ansj_seg</t>
  </si>
  <si>
    <t>ansj_seg</t>
  </si>
  <si>
    <t>2eb46b3c8f77d6fc036f7edcf7d87daad348457b</t>
  </si>
  <si>
    <t>f79f836ee6ed3140838cbf63b4992f3d2b42934a</t>
  </si>
  <si>
    <t>193dce48062a9b10c8ddafd439fff9a88014cb28</t>
  </si>
  <si>
    <t>3e6a1385676eb5ff2d5b76ccaf3a3ef5b51c442a</t>
  </si>
  <si>
    <t>src/main/java/org/ansj/util/MyStaticValue.java</t>
  </si>
  <si>
    <t xml:space="preserve">
@@ -279,15 +224,12 @@ public class MyStaticValue {
         try {
             long start = System.currentTimeMillis();
             LIBRARYLOG.info("begin init crf model!");
-            crfSplitWord = new SplitWord(Model.loadModel(DicReader.getInputStream("crf/crf.model")));
+            crfSplitWord = new SplitWord(Model.loadModel(AnsjUtils.getInputStream("crf/crf.model")));
             LIBRARYLOG.info("load crf crf use time:" + (System.currentTimeMillis() - start));
-        } catch (Exception e) {
-            e.printStackTrace();
         } finally {
             LOCK.unlock();
         }
         return crfSplitWord;
     }</t>
  </si>
  <si>
    <t xml:space="preserve">
@@ -279,7 +284,7 @@ public class MyStaticValue {
         try {
             long start = System.currentTimeMillis();
             LIBRARYLOG.info("begin init crf model!");
-            crfSplitWord = new SplitWord(Model.loadModel(DicReader.getInputStream("crf/crf.model")));
+            crfSplitWord = new SplitWord(Model.loadModel(IOUtil.getInputStream(crfModel)));
             LIBRARYLOG.info("load crf crf use time:" + (System.currentTimeMillis() - start));
         } catch (Exception e) {
             e.printStackTrace();</t>
  </si>
  <si>
    <t xml:space="preserve">
&lt;&lt;&lt;&lt;&lt;&lt;&lt; HEAD
            crfSplitWord = new SplitWord(Model.loadModel(AnsjUtils.getInputStream("crf/crf.model")));
=======
            crfSplitWord = new SplitWord(Model.loadModel(IOUtil.getInputStream(crfModel)));
&gt;&gt;&gt;&gt;&gt;&gt;&gt; 193dce48062a9b10c8ddafd439fff9a88014cb28</t>
  </si>
  <si>
    <t xml:space="preserve">
@@ -279,15 +228,12 @@ public class MyStaticValue {
         try {
             long start = System.currentTimeMillis();
             LIBRARYLOG.info("begin init crf model!");
-            crfSplitWord = new SplitWord(Model.loadModel(DicReader.getInputStream("crf/crf.model")));
+            crfSplitWord = new SplitWord(Model.loadModel(IOUtil.getInputStream(crfModel)));
             LIBRARYLOG.info("load crf crf use time:" + (System.currentTimeMillis() - start));
-        } catch (Exception e) {
-            e.printStackTrace();
         } finally {
             LOCK.unlock();
         }
         return crfSplitWord;
     }
-
 }</t>
  </si>
  <si>
    <t>U vs. U (Java code)
L include R</t>
  </si>
  <si>
    <t xml:space="preserve">
    &lt;&lt;&lt;&lt;&lt;&lt;&lt; .../FSTMerge/fstmerge_tmp1647878456086/fstmerge_var1_2696956695290423132
=======
public static SplitWord getCRFSplitWord() {
        if (crfSplitWord != null) {
            return crfSplitWord;
        }
        LOCK.lock();
        if (crfSplitWord != null) {
            return crfSplitWord;
        }
        try {
            long start = System.currentTimeMillis();
            LIBRARYLOG.info("begin init crf model!");
            crfSplitWord = new SplitWord(Model.loadModel(IOUtil.getInputStream(crfModel)));
            LIBRARYLOG.info("load crf crf use time:" + (System.currentTimeMillis() - start));
        } catch (Exception e) {
            e.printStackTrace();
        } finally {
            LOCK.unlock();
        }
        return crfSplitWord;
    }
&gt;&gt;&gt;&gt;&gt;&gt;&gt; .../FSTMerge/fstmerge_tmp1647878456086/fstmerge_var2_3041617910861470425
</t>
  </si>
  <si>
    <t xml:space="preserve">
      crfSplitWord = new SplitWord(Model.loadModel(
&lt;&lt;&lt;&lt;&lt;&lt;&lt; .../left/src/main/java/org/ansj/util/MyStaticValue.java
      AnsjUtils
=======
      IOUtil
&gt;&gt;&gt;&gt;&gt;&gt;&gt; .../right/src/main/java/org/ansj/util/MyStaticValue.java
</t>
  </si>
  <si>
    <t xml:space="preserve">
            LIBRARYLOG.info("begin init crf model!");
&lt;&lt;&lt;&lt;&lt;&lt;&lt; ours
            crfSplitWord = new SplitWord(Model.loadModel(AnsjUtils.getInputStream("crf/crf.model")));
=======
            crfSplitWord = new SplitWord(Model.loadModel(IOUtil.getInputStream(crfModel)));
&gt;&gt;&gt;&gt;&gt;&gt;&gt; theirs
            LIBRARYLOG.info("load crf crf use time:" + (System.currentTimeMillis() - start));
        } finally {</t>
  </si>
  <si>
    <t xml:space="preserve">
&lt;&lt;&lt;&lt;&lt;&lt;&lt; ../ansj_seg/2eb46b3c8f77d6fc036f7edcf7d87daad348457b/left/src/main/java/org/ansj/util/MyStaticValue.java
            crfSplitWord = new SplitWord(Model.loadModel(AnsjUtils.getInputStream("crf/crf.model")));
||||||| ../ansj_seg/2eb46b3c8f77d6fc036f7edcf7d87daad348457b/base/src/main/java/org/ansj/util/MyStaticValue.java
            crfSplitWord = new SplitWord(Model.loadModel(DicReader.getInputStream("crf/crf.model")));
=======
            crfSplitWord = new SplitWord(Model.loadModel(IOUtil.getInputStream(crfModel)));
&gt;&gt;&gt;&gt;&gt;&gt;&gt; ../ansj_seg/2eb46b3c8f77d6fc036f7edcf7d87daad348457b/right/src/main/java/org/ansj/util/MyStaticValue.java</t>
  </si>
  <si>
    <t>https://github.com/evernote/android-job</t>
  </si>
  <si>
    <t>android-job</t>
  </si>
  <si>
    <t>463bd329dfc3b62ee58bc589b8d8e873520f1529</t>
  </si>
  <si>
    <t>90ba88465c3f9b74f53ac29f425c08380073c651</t>
  </si>
  <si>
    <t>014d6630f29b986bef276d86e19d5bae9b724751</t>
  </si>
  <si>
    <t>636e05a2a647646ac913005d2066e17a8c8523ab</t>
  </si>
  <si>
    <t>library/src/main/java/com/evernote/android/job/util/JobApi.java</t>
  </si>
  <si>
    <t xml:space="preserve">
--- a/library/src/main/java/com/evernote/android/job/util/JobApi.java
+++ /dev/null</t>
  </si>
  <si>
    <t xml:space="preserve">
--- a/library/src/main/java/com/evernote/android/job/util/JobApi.java
+++ b/library/src/main/java/com/evernote/android/job/util/JobApi.java</t>
  </si>
  <si>
    <t xml:space="preserve">
CONFLICT (modify/delete): library/src/main/java/com/evernote/android/job/util/JobApi.java deleted in HEAD and modified in 014d6630f29b986bef276d86e19d5bae9b724751. Version 014d6630f29b986bef276d86e19d5bae9b724751 of library/src/main/java/com/evernote/android/job/util/JobApi.java left in tree.</t>
  </si>
  <si>
    <t xml:space="preserve">
    &lt;&lt;&lt;&lt;&lt;&lt;&lt; .../FSTMerge/fstmerge_tmp1647922283068/fstmerge_var1_1315052009786584950
=======
public boolean isSupported(Context context) {
        switch (this) {
            case V_24:
                return Build.VERSION.SDK_INT &gt;= Build.VERSION_CODES.N &amp;&amp; isServiceEnabled(context, PlatformJobService.class);
            case V_21:
                return Build.VERSION.SDK_INT &gt;= Build.VERSION_CODES.LOLLIPOP &amp;&amp; isServiceEnabled(context, PlatformJobService.class);
            case V_19:
                return Build.VERSION.SDK_INT &gt;= Build.VERSION_CODES.KITKAT;
            case V_14:
                return true;
            case GCM:
                return GcmAvailableHelper.isGcmApiSupported(context);
            default:
                throw new IllegalStateException("not implemented");
        }
    }
&gt;&gt;&gt;&gt;&gt;&gt;&gt; .../FSTMerge/fstmerge_tmp1647922283068/fstmerge_var2_8239564395688262477
</t>
  </si>
  <si>
    <t>https://github.com/AsyncHttpClient/async-http-client</t>
  </si>
  <si>
    <t>async-http-client</t>
  </si>
  <si>
    <t>4999b8dd4278f9cae0a1d278c00f067e8df5c12e</t>
  </si>
  <si>
    <t>93cb819f6a8b5b612079c4d0f307414cecf337d1</t>
  </si>
  <si>
    <t>31e901c2eec2cf1b5e63e53a010a0c5b762b13d5</t>
  </si>
  <si>
    <t>1e5f650b11d88f3027eef86f0b67ab32d86cc2cc</t>
  </si>
  <si>
    <t>src/main/java/com/ning/http/client/AsyncHttpClient.java</t>
  </si>
  <si>
    <t xml:space="preserve">
 import java.io.InputStream;
 import java.util.List;
 import java.util.Map;
-import java.util.concurrent.Executors;
 import java.util.concurrent.Future;</t>
  </si>
  <si>
    <t xml:space="preserve">
 package com.ning.http.client;
-import com.ning.http.client.Request.EntityWriter;
 import com.ning.http.client.providers.NettyAsyncHttpProvider;
 import java.io.IOException;
-import java.io.InputStream;
-import java.util.List;
-import java.util.Map;
 import java.util.concurrent.Executors;
 import java.util.concurrent.Future;</t>
  </si>
  <si>
    <t xml:space="preserve">
&lt;&lt;&lt;&lt;&lt;&lt;&lt; HEAD
import java.io.InputStream;
import java.util.List;
import java.util.Map;
=======
import java.util.concurrent.Executors;
&gt;&gt;&gt;&gt;&gt;&gt;&gt; 31e901c2eec2cf1b5e63e53a010a0c5b762b13d5
</t>
  </si>
  <si>
    <t xml:space="preserve">
 package com.ning.http.client;
-import com.ning.http.client.Request.EntityWriter;
 import com.ning.http.client.providers.NettyAsyncHttpProvider;
 import java.io.IOException;
-import java.io.InputStream;
-import java.util.List;
-import java.util.Map;
-import java.util.concurrent.Executors;
 import java.util.concurrent.Future;</t>
  </si>
  <si>
    <t>D + D (import)</t>
  </si>
  <si>
    <t xml:space="preserve">
import java.io.IOException; 
import java.util.concurrent.Executors; 
import java.util.concurrent.Future; 
import com.ning.http.client.Request.EntityWriter; 
import java.io.InputStream; 
import java.util.List; 
import java.util.Map; </t>
  </si>
  <si>
    <t>keep all removed lines</t>
  </si>
  <si>
    <t xml:space="preserve">
import com.ning.http.client.providers.NettyAsyncHttpProvider;
import java.io.IOException;
import java.util.concurrent.Future;</t>
  </si>
  <si>
    <t xml:space="preserve">
import com.ning.http.client.providers.NettyAsyncHttpProvider;
import java.io.IOException;
import java.util.concurrent.Executors;
import java.util.concurrent.Future;</t>
  </si>
  <si>
    <t xml:space="preserve">
package com.ning.http.client;
import com.ning.http.client.providers.NettyAsyncHttpProvider;
import java.io.IOException;
import java.util.concurrent.Future;</t>
  </si>
  <si>
    <t>https://github.com/NanoHttpd/nanohttpd</t>
  </si>
  <si>
    <t>nanohttpd</t>
  </si>
  <si>
    <t>d4b126719dcc2ae9f36941d8cdcb98a64d828aad</t>
  </si>
  <si>
    <t>5b4919a7af60ff39d1d47dea7e668fbde333dd84</t>
  </si>
  <si>
    <t>176ef228802cc0b9af3bd6d3334960a84d7f7efa</t>
  </si>
  <si>
    <t>1e602b9db3da0cdca898615cffdc0b17f7469381</t>
  </si>
  <si>
    <t>core/src/main/java/fi/iki/elonen/NanoHTTPD.java</t>
  </si>
  <si>
    <t xml:space="preserve">
     private Thread myThread;
-    private TempFileManagerFactory tempFileManagerFactory;
-    private AsyncRunner asyncRunner;
+    /**
+     * Pseudo-Parameter to use to store the actual query string in the parameters map for later re-processing.
+     */
+    private static final String QUERY_STRING_PARAMETER = "NanoHttpd.QUERY_STRING";
     /**
      * Constructs an HTTP server on given port.</t>
  </si>
  <si>
    <t xml:space="preserve">
     private Thread myThread;
+    /**
+     * Pluggable strategy for creating and cleaning up temporary files.
+     */
     private TempFileManagerFactory tempFileManagerFactory;
+    /**
+     * Pluggable strategy for asynchronously executing requests.
+     */
     private AsyncRunner asyncRunner;
+    /**
+     * Pseudo-Parameter to use to store the actual query string in the parameters map for later re-processing.
+     */
+    private static final String QUERY_STRING_PARAMETER = "NanoHttpd.QUERY_STRING";
     /**
      * Constructs an HTTP server on given port.</t>
  </si>
  <si>
    <t xml:space="preserve">
    /**
&lt;&lt;&lt;&lt;&lt;&lt;&lt; HEAD
=======
     * Pluggable strategy for creating and cleaning up temporary files.
     */
    private TempFileManagerFactory tempFileManagerFactory;
    /**
     * Pluggable strategy for asynchronously executing requests.
     */
    private AsyncRunner asyncRunner;
    /**
&gt;&gt;&gt;&gt;&gt;&gt;&gt; 176ef228802cc0b9af3bd6d3334960a84d7f7efa
     * Pseudo-Parameter to use to store the actual query string in the parameters map for later re-processing.
     */</t>
  </si>
  <si>
    <t>D vs. I (Java code)
Origin(D + I)</t>
  </si>
  <si>
    <t xml:space="preserve">
    private AsyncRunner asyncRunner;
    /**
     * Pseudo-Parameter to use to store the actual query string in the parameters map for later re-processing.
     */
    private static final String QUERY_STRING_PARAMETER = "NanoHttpd.QUERY_STRING";
    /**</t>
  </si>
  <si>
    <t>keep left and insert empty lines</t>
  </si>
  <si>
    <t xml:space="preserve">
  private Thread myThread;
  /**
     * Pseudo-Parameter to use to store the actual query string in the parameters map for later re-processing.
     */
  private static final String QUERY_STRING_PARAMETER = "NanoHttpd.QUERY_STRING";</t>
  </si>
  <si>
    <t xml:space="preserve">
    private Thread myThread;
    /**
     * Pluggable strategy for creating and cleaning up temporary files.
     */
    private TempFileManagerFactory tempFileManagerFactory;
    /**
     * Pluggable strategy for asynchronously executing requests.
     */
    private AsyncRunner asyncRunner;
    /**
     * Pseudo-Parameter to use to store the actual query string in the parameters map for later re-processing.
     */
    private static final String QUERY_STRING_PARAMETER = "NanoHttpd.QUERY_STRING";
    /**</t>
  </si>
  <si>
    <t xml:space="preserve">
    /**
&lt;&lt;&lt;&lt;&lt;&lt;&lt; ../nanohttpd/d4b126719dcc2ae9f36941d8cdcb98a64d828aad/left/core/src/main/java/fi/iki/elonen/NanoHTTPD.java
     * Pseudo-Parameter to use to store the actual query string in the parameters map for later re-processing.
||||||| ../nanohttpd/d4b126719dcc2ae9f36941d8cdcb98a64d828aad/base/core/src/main/java/fi/iki/elonen/NanoHTTPD.java
=======
     * Pluggable strategy for creating and cleaning up temporary files.
&gt;&gt;&gt;&gt;&gt;&gt;&gt; ../nanohttpd/d4b126719dcc2ae9f36941d8cdcb98a64d828aad/right/core/src/main/java/fi/iki/elonen/NanoHTTPD.java
    private static final String QUERY_STRING_PARAMETER = "NanoHttpd.QUERY_STRING";</t>
  </si>
  <si>
    <t>https://github.com/abel533/Mapper</t>
  </si>
  <si>
    <t>Mapper</t>
  </si>
  <si>
    <t>97ea02fe0effb66ed3ca3384e45624dd5678a80e</t>
  </si>
  <si>
    <t>3ae309219339831c8faac41598c043018f8ff44f</t>
  </si>
  <si>
    <t>051e0e5eba4fa0635c2b110489facd750d6ceb51</t>
  </si>
  <si>
    <t>976d4a2ad9b301756e9d1fddc9ef038a9b9e2dc6</t>
  </si>
  <si>
    <t>wiki/mapper3/3.Use.md</t>
  </si>
  <si>
    <t xml:space="preserve">
@@ -48,6 +48,11 @@ public interface UserInfoMapper extends Mapper&lt;UserInfo&gt; {
 通过[使用Mapper专用的MyBatis生成器插件](http://git.oschina.net/free/Mapper/blob/master/wiki/mapper3/7.UseMBG.md)可以直接生成符合要求带注解的实体类。
+###重点强调`@Transient`注解
+
+许多人由于不仔细看文档，频繁在这个问题上出错。
+
+如果你的实体类中包含了不是数据库表中的字段，你需要给这个字段加上`@Transient`注解，这样通用Mapper在处理单表操作时就不会将标注的属性当成表字段处理！
 &lt;br&gt;&lt;br&gt;&lt;br&gt;&lt;br&gt;
 &lt;br&gt;&lt;br&gt;&lt;br&gt;&lt;br&gt;</t>
  </si>
  <si>
    <t xml:space="preserve">
@@ -48,6 +48,12 @@ public interface UserInfoMapper extends Mapper&lt;UserInfo&gt; {
 通过[使用Mapper专用的MyBatis生成器插件](http://git.oschina.net/free/Mapper/blob/master/wiki/mapper3/7.UseMBG.md)可以直接生成符合要求带注解的实体类。
+
+###重点强调`@Transient`注解
+
+许多人由于不仔细看文档，频繁在这个问题上出错。
+
+如果你的实体类中包含了不是数据库表中的字段，你需要给这个字段加上`@Transient`注解，这样通用Mapper在处理单表操作时就不会将标注的属性当成表字段处理！
 &lt;br&gt;&lt;br&gt;&lt;br&gt;&lt;br&gt;
 &lt;br&gt;&lt;br&gt;&lt;br&gt;&lt;br&gt;</t>
  </si>
  <si>
    <t xml:space="preserve">
通过[使用Mapper专用的MyBatis生成器插件](http://git.oschina.net/free/Mapper/blob/master/wiki/mapper3/7.UseMBG.md)可以直接生成符合要求带注解的实体类。
&lt;&lt;&lt;&lt;&lt;&lt;&lt; HEAD
=======
&gt;&gt;&gt;&gt;&gt;&gt;&gt; 051e0e5eba4fa0635c2b110489facd750d6ceb51
###重点强调`@Transient`注解
许多人由于不仔细看文档，频繁在这个问题上出错。
如果你的实体类中包含了不是数据库表中的字段，你需要给这个字段加上`@Transient`注解，这样通用Mapper在处理单表操作时就不会将标注的属性当成表字段处理！
&lt;br&gt;&lt;br&gt;&lt;br&gt;&lt;br&gt;
&lt;br&gt;&lt;br&gt;&lt;br&gt;&lt;br&gt;</t>
  </si>
  <si>
    <t xml:space="preserve">
 通过[使用Mapper专用的MyBatis生成器插件](http://git.oschina.net/free/Mapper/blob/master/wiki/mapper3/7.UseMBG.md)可以直接生成符合要求带注解的实体类。
+###重点强调`@Transient`注解
+
+许多人由于不仔细看文档，频繁在这个问题上出错。
+
+如果你的实体类中包含了不是数据库表中的字段，你需要给这个字段加上`@Transient`注解，这样通用Mapper在处理单表操作时就不会将标注的属性当成表字段处理！
 &lt;br&gt;&lt;br&gt;&lt;br&gt;&lt;br&gt;
 &lt;br&gt;&lt;br&gt;&lt;br&gt;&lt;br&gt;</t>
  </si>
  <si>
    <t>I vs. I(Java code) L is semantically equivalent to R</t>
  </si>
  <si>
    <t>L(R includes L, only has one more empty line added)</t>
  </si>
  <si>
    <t xml:space="preserve">
&lt;&lt;&lt;&lt;&lt;&lt;&lt; ../Mapper/97ea02fe0effb66ed3ca3384e45624dd5678a80e/left/wiki/mapper3/3.Use.md
###重点强调`@Transient`注解
许多人由于不仔细看文档，频繁在这个问题上出错。
如果你的实体类中包含了不是数据库表中的字段，你需要给这个字段加上`@Transient`注解，这样通用Mapper在处理单表操作时就不会将标注的属性当成表字段处理！
||||||| ../Mapper/97ea02fe0effb66ed3ca3384e45624dd5678a80e/base/wiki/mapper3/3.Use.md
=======
###重点强调`@Transient`注解
许多人由于不仔细看文档，频繁在这个问题上出错。
如果你的实体类中包含了不是数据库表中的字段，你需要给这个字段加上`@Transient`注解，这样通用Mapper在处理单表操作时就不会将标注的属性当成表字段处理！
&gt;&gt;&gt;&gt;&gt;&gt;&gt; ../Mapper/97ea02fe0effb66ed3ca3384e45624dd5678a80e/right/wiki/mapper3/3.Use.md</t>
  </si>
  <si>
    <t>https://github.com/resilience4j/resilience4j</t>
  </si>
  <si>
    <t>resilience4j</t>
  </si>
  <si>
    <t>9ce162786f6799c5fba88f1450662856b7c7587c</t>
  </si>
  <si>
    <t>78d21ac32ff2b464022e46339e5065d0ca310844</t>
  </si>
  <si>
    <t>17b21979aaa48560584d96acd0829efcb7dd0368</t>
  </si>
  <si>
    <t>73d7f75719e96bf0c12265e5f9de05e65666242a</t>
  </si>
  <si>
    <t>‘
@@ -101,6 +101,12 @@ jacocoTestReport {
         xml.enabled = true // coveralls plugin depends on xml format report
         html.enabled = true
     }
+//    afterEvaluate {
+//        classDirectories = files(classDirectories.files.collect {
+//            fileTree(dir: it,
+//                    exclude: ['**/**Benchmark**'])
+//        })
+//    }
 }</t>
  </si>
  <si>
    <t xml:space="preserve">
-jacocoTestReport {
-    reports {
-        xml.enabled = true // coveralls plugin depends on xml format report
-        html.enabled = true
-    }
+cobertura {
+    coverageFormats = ['html', 'xml']
+//    afterEvaluate {
+//        classDirectories = files(classDirectories.files.collect {
+//            fileTree(dir: it,
+//                    exclude: ['**/**Benchmark**'])
+//        })
+//    }
 }</t>
  </si>
  <si>
    <t xml:space="preserve">
&lt;&lt;&lt;&lt;&lt;&lt;&lt; HEAD
jacocoTestReport {
    reports {
        xml.enabled = true // coveralls plugin depends on xml format report
        html.enabled = true
    }
=======
cobertura {
    coverageFormats = ['html', 'xml']
&gt;&gt;&gt;&gt;&gt;&gt;&gt; 17b21979aaa48560584d96acd0829efcb7dd0368</t>
  </si>
  <si>
    <t>N + D I (configuration) 
Origin(I vs. D I)</t>
  </si>
  <si>
    <t xml:space="preserve">
cobertura {
    coverageFormats = ['html', 'xml']
//    afterEvaluate {
//        classDirectories = files(classDirectories.files.collect {
//            fileTree(dir: it,
&lt;&lt;&lt;&lt;&lt;&lt;&lt; ../resilience4j/9ce162786f6799c5fba88f1450662856b7c7587c/left/build.gradle
//    afterEvaluate {
//        classDirectories = files(classDirectories.files.collect {
//            fileTree(dir: it,
||||||| ../resilience4j/9ce162786f6799c5fba88f1450662856b7c7587c/base/build.gradle
=======
&gt;&gt;&gt;&gt;&gt;&gt;&gt; ../resilience4j/9ce162786f6799c5fba88f1450662856b7c7587c/right/build.gradle
//                    exclude: ['**/**Benchmark**'])
//        })
//    }
}</t>
  </si>
  <si>
    <t>https://github.com/knightliao/disconf</t>
  </si>
  <si>
    <t>disconf</t>
  </si>
  <si>
    <t>030e0c68856c0da9687b9732097f89d1042489ed</t>
  </si>
  <si>
    <t>190d24e2fbe1cb8268df5fb2e167455d8e6339f9</t>
  </si>
  <si>
    <t>fdfe36692872ed66632ff802f53fb2355b594465</t>
  </si>
  <si>
    <t>ef42f9610dac33770ac2ac42d7ed90ad5315b3e9</t>
  </si>
  <si>
    <t>disconf-demos/disconf-standalone-dubbo-demo/.gitignore</t>
  </si>
  <si>
    <t xml:space="preserve">
--- /dev/null
+++ b/disconf-demos/disconf-standalone-dubbo-demo/.gitignore
@@ -0,0 +1,8 @@
+/.settings
+/target
+/log
+/disconf
+/bin
+/.DS_Store
+/.project
+/.classpath</t>
  </si>
  <si>
    <t xml:space="preserve">
--- /dev/null
+++ b/disconf-demos/disconf-standalone-dubbo-demo/.gitignore
@@ -0,0 +1,8 @@
+/.settings
+/target
+/.classpath
+/.project
+/.DS_Store
+/disconf
+/log
+/bin</t>
  </si>
  <si>
    <t xml:space="preserve">
/.settings
/target
&lt;&lt;&lt;&lt;&lt;&lt;&lt; HEAD
/log
/disconf
/bin
/.DS_Store
/.project
/.classpath
=======
/.classpath
/.project
/.DS_Store
/disconf
/log
/bin
&gt;&gt;&gt;&gt;&gt;&gt;&gt; fdfe36692872ed66632ff802f53fb2355b594465
</t>
  </si>
  <si>
    <t>I vs. I (file) L and R semantically equivalent</t>
  </si>
  <si>
    <t>R (R includes the same text as L in different orders)</t>
  </si>
  <si>
    <t xml:space="preserve">
'
&lt;&lt;&lt;&lt;&lt;&lt;&lt; ../disconf/030e0c68856c0da9687b9732097f89d1042489ed/left/disconf-demos/disconf-standalone-dubbo-demo/.gitignore
/log
/disconf
/bin
/.DS_Store
/.project
/.classpath
||||||| ../disconf/030e0c68856c0da9687b9732097f89d1042489ed/base/disconf-demos/
=======
/log
/disconf
/bin
/.DS_Store
/.project
/.classpath
&gt;&gt;&gt;&gt;&gt;&gt;&gt; ../disconf/030e0c68856c0da9687b9732097f89d1042489ed/right/disconf-demos/disconf-standalone-dubbo-demo/.gitignore</t>
  </si>
  <si>
    <t>https://github.com/google/error-prone</t>
  </si>
  <si>
    <t>error-prone</t>
  </si>
  <si>
    <t>6f83c0839dd0343f229406d4222d8c5bea768c47</t>
  </si>
  <si>
    <t>1ca38edede921430f54beb12e54bcedc4ffeb253</t>
  </si>
  <si>
    <t>f223e76a3d4569f904f9ab1861298dc774d73675</t>
  </si>
  <si>
    <t>4a5350df30e9c5e16d3a82d72b7679712ea41414</t>
  </si>
  <si>
    <t>core/src/main/java/com/google/errorprone/ErrorProneScanner.java</t>
  </si>
  <si>
    <t xml:space="preserve">
+      InjectMoreThanOneInjectableConstructor.class
   );</t>
  </si>
  <si>
    <t xml:space="preserve">
+      InjectJavaxInjectOnFinalField.class,
+      GuiceInjectOnFinalField.class</t>
  </si>
  <si>
    <t xml:space="preserve">
&lt;&lt;&lt;&lt;&lt;&lt;&lt; HEAD
      InjectMoreThanOneInjectableConstructor.class
=======
      InjectJavaxInjectOnFinalField.class,
      GuiceInjectOnFinalField.class
&gt;&gt;&gt;&gt;&gt;&gt;&gt; f223e76a3d4569f904f9ab1861298dc774d73675</t>
  </si>
  <si>
    <t xml:space="preserve">
+      InjectMoreThanOneInjectableConstructor.class,
+      InjectJavaxInjectOnFinalField.class,
+      GuiceInjectOnFinalField.class</t>
  </si>
  <si>
    <t>I vs. I(Java code)</t>
  </si>
  <si>
    <t>L+R (statement)</t>
  </si>
  <si>
    <t xml:space="preserve">
      InjectMoreThanOneInjectableConstructor.class
  ); ##FSTMerge## private static final List&lt;? extends Class&lt;? extends BugChecker&gt;&gt; ALL_CHECKERS = Arrays.asList(
      SelfEquals.class,</t>
  </si>
  <si>
    <t xml:space="preserve">
  private static final List&lt;? extends Class&lt;? extends BugChecker&gt;&gt; ALL_CHECKERS = Arrays.asList(SelfEquals.class, OrderingFrom.class, PreconditionsCheckNotNull.class, PreconditionsExpensiveString.class, PreconditionsCheckNotNullPrimitive.class, CollectionIncompatibleType.class, ArrayEquals.class, ArrayToString.class, ReturnValueIgnored.class, NonRuntimeAnnotation.class, InvalidPatternSyntax.class, ModifyingCollectionWithItself.class, PreconditionsTooManyArgs.class, CheckReturnValue.class, DeadException.class, InjectAssistedInjectAndInjectOnConstructors.class, InjectMoreThanOneQualifier.class, InjectMoreThanOneScopeAnnotationOnClass.class, InjectScopeAnnotationOnInterfaceOrAbstractClass.class, FallThroughSuppression.class, SuppressWarningsDeprecated.class, EmptyIfStatement.class, EmptyStatement.class, InvalidNumericEquality.class, InvalidStringEquality.class, SelfEquality.class, BadShiftAmount.class, ArrayToStringConcatenation.class, ComparisonOutOfRange.class, SelfAssignment.class, GuiceAssistedParameters.class, CovariantEquals.class, JUnit4TestNotRun.class, WrongParameterPackage.class, LongLiteralLowerCaseSuffix.class, UnneededConditionalOperator.class, ArrayToStringCompoundAssignment.class, InjectScopeOrQualifierAnnotationRetention.class, InjectInvalidTargetingOnScopingAnnotation.class, GuiceAssistedInjectScoping.class, InjectJavaxInjectOnFinalField.class, 
&lt;&lt;&lt;&lt;&lt;&lt;&lt; .../left/core/src/main/java/com/google/errorprone/ErrorProneScanner.java
  InjectMoreThanOneInjectableConstructor
=======
  GuiceInjectOnFinalField
&gt;&gt;&gt;&gt;&gt;&gt;&gt; .../right/core/src/main/java/com/google/errorprone/ErrorProneScanner.java
  .class);
</t>
  </si>
  <si>
    <t xml:space="preserve">
      GuiceAssistedInjectScoping.class,
&lt;&lt;&lt;&lt;&lt;&lt;&lt; ours
      InjectMoreThanOneInjectableConstructor.class
=======
      InjectJavaxInjectOnFinalField.class,
      GuiceInjectOnFinalField.class
&gt;&gt;&gt;&gt;&gt;&gt;&gt; theirs</t>
  </si>
  <si>
    <t xml:space="preserve">
&lt;&lt;&lt;&lt;&lt;&lt;&lt; ../error-prone/6f83c0839dd0343f229406d4222d8c5bea768c47/left/core/src/main/java/com/google/errorprone/ErrorProneScanner.java
      InjectMoreThanOneInjectableConstructor.class
||||||| ../error-prone/6f83c0839dd0343f229406d4222d8c5bea768c47/base/core/src/main/java/com/google/errorprone/ErrorProneScanner.java
=======
      InjectJavaxInjectOnFinalField.class,
      GuiceInjectOnFinalField.class
&gt;&gt;&gt;&gt;&gt;&gt;&gt; ../error-prone/6f83c0839dd0343f229406d4222d8c5bea768c47/right/core/src/main/java/com/google/errorprone/ErrorProneScanner.java</t>
  </si>
  <si>
    <t>https://github.com/joelittlejohn/jsonschema2pojo</t>
  </si>
  <si>
    <t>jsonschema2pojo</t>
  </si>
  <si>
    <t>5d05462840831cfc6f598a03a587ca6843d8f827</t>
  </si>
  <si>
    <t>f11fc1fd595f93d0c8ba5426e84f01e999ea6f8f</t>
  </si>
  <si>
    <t>2aa7a3495a27670b87adfc492c338c64dd230750</t>
  </si>
  <si>
    <t>a2c538dc09cbeecec768ae7bd285e9006cf4208c</t>
  </si>
  <si>
    <t>CONTRIBUTORS.md</t>
  </si>
  <si>
    <t xml:space="preserve">
+* Rami Baksansky
 * Dimitrij Drus
 * Arno Puder
 * SpaceBison
+* Mike Woudenberg
+* Tobias Preuss
+* Max Myslyvtsev</t>
  </si>
  <si>
    <t xml:space="preserve">
 * Dimitrij Drus
 * Arno Puder
 * SpaceBison
+* Tobias Preuss</t>
  </si>
  <si>
    <t xml:space="preserve">
&lt;&lt;&lt;&lt;&lt;&lt;&lt; HEAD
* Mike Woudenberg
* Tobias Preuss
* Max Myslyvtsev
=======
* Tobias Preuss</t>
  </si>
  <si>
    <t xml:space="preserve">
@@ -49,6 +49,10 @@
 * P Wilder
 * Rakshith Rao (rakrao)
 * Lomig Megard
+* Rami Baksansky
 * Dimitrij Drus
 * Arno Puder
 * SpaceBison
+* Mike Woudenberg
+* Tobias Preuss
+* Max Myslyvtsev</t>
  </si>
  <si>
    <t>I vs. I(contributors)</t>
  </si>
  <si>
    <t xml:space="preserve">
&lt;&lt;&lt;&lt;&lt;&lt;&lt; ../jsonschema2pojo/5d05462840831cfc6f598a03a587ca6843d8f827/left/CONTRIBUTORS.md
* Mike Woudenberg
* Tobias Preuss
* Max Myslyvtsev
||||||| ../jsonschema2pojo/5d05462840831cfc6f598a03a587ca6843d8f827/base/CONTRIBUTORS.md
=======
* Tobias Preuss
&gt;&gt;&gt;&gt;&gt;&gt;&gt; ../jsonschema2pojo/5d05462840831cfc6f598a03a587ca6843d8f827/right/CONTRIBUTORS.md</t>
  </si>
  <si>
    <t>https://github.com/real-logic/aeron</t>
  </si>
  <si>
    <t>aeron</t>
  </si>
  <si>
    <t>3232d796596bed0c92dcdfcebcc362b97944bddc</t>
  </si>
  <si>
    <t>1f6c4a4e0ee06a088382d6de468c9dbf924f4183</t>
  </si>
  <si>
    <t>b3b4d56ff2fcff6f7d2889667a7c06119f7eb28e</t>
  </si>
  <si>
    <t>1c988e8efe3d1632b0732d24a60bcaef0e7107e7</t>
  </si>
  <si>
    <t>aeron-system-tests/build.gradle</t>
  </si>
  <si>
    <t xml:space="preserve">
@@ -16,7 +16,7 @@
-checkstyle {
+/*checkstyle {
     // lambdas break checkstyle currently. Grrrr!
     ignoreFailures = true
-}
+}*/</t>
  </si>
  <si>
    <t xml:space="preserve">
  */
-
-
-
-checkstyle {
-    // lambdas break checkstyle currently. Grrrr!
-    ignoreFailures = true
-}</t>
  </si>
  <si>
    <t xml:space="preserve">
 */
&lt;&lt;&lt;&lt;&lt;&lt;&lt; HEAD
/*checkstyle {
    // lambdas break checkstyle currently. Grrrr!
    ignoreFailures = true
}*/
=======
&gt;&gt;&gt;&gt;&gt;&gt;&gt; b3b4d56ff2fcff6f7d2889667a7c06119f7eb28e</t>
  </si>
  <si>
    <t xml:space="preserve">
  */
-
-
-checkstyle {
-    // lambdas break checkstyle currently. Grrrr!
-    ignoreFailures = true
-}</t>
  </si>
  <si>
    <t>U vs. D (gradle)</t>
  </si>
  <si>
    <t>take right side and insert a new empty line</t>
  </si>
  <si>
    <t xml:space="preserve">
&lt;&lt;&lt;&lt;&lt;&lt;&lt; ../aeron/3232d796596bed0c92dcdfcebcc362b97944bddc/left/aeron-system-tests/build.gradle
/*checkstyle {
    // lambdas break checkstyle currently. Grrrr!
    ignoreFailures = true
||||||| ../aeron/3232d796596bed0c92dcdfcebcc362b97944bddc/base/aeron-system-tests/build.gradle
checkstyle {
    // lambdas break checkstyle currently. Grrrr!
    ignoreFailures = true
=======
&gt;&gt;&gt;&gt;&gt;&gt;&gt; ../aeron/3232d796596bed0c92dcdfcebcc362b97944bddc/right/aeron-system-tests/build.gradle
&lt;&lt;&lt;&lt;&lt;&lt;&lt; ../aeron/3232d796596bed0c92dcdfcebcc362b97944bddc/left/aeron-system-tests/build.gradle
}*/
||||||| ../aeron/3232d796596bed0c92dcdfcebcc362b97944bddc/base/aeron-system-tests/build.gradle
}
=======
&gt;&gt;&gt;&gt;&gt;&gt;&gt; ../aeron/3232d796596bed0c92dcdfcebcc362b97944bddc/right/aeron-system-tests/build.gradle</t>
  </si>
  <si>
    <t>https://github.com/wildfirechat/server</t>
  </si>
  <si>
    <t>server</t>
  </si>
  <si>
    <t>37916f7cbec4440abb2bd6a913ddecdee3ae7ec6</t>
  </si>
  <si>
    <t>f00e5494fba62e9b8508d1c582864b3d5a78c439</t>
  </si>
  <si>
    <t>043b1b2095576a2e07d01ba03001fe7a1038a902</t>
  </si>
  <si>
    <t>ecaf50a1a801437830bcab7475915c3bf67b0462</t>
  </si>
  <si>
    <t>parser/src/test/java/org/dna/mqtt/moquette/server/ServerIntegrationTest.java</t>
  </si>
  <si>
    <t xml:space="preserve">
@@ -6,6 +6,7 @@ import java.util.concurrent.CountDownLatch;
 import java.util.concurrent.TimeUnit;
 import org.dna.mqtt.moquette.client.Client;
 import org.dna.mqtt.moquette.client.IPublishCallback;
+import org.dna.mqtt.moquette.proto.messages.AbstractMessage;
 import org.junit.After;
 import static org.junit.Assert.*;
 import org.junit.Before;</t>
  </si>
  <si>
    <t xml:space="preserve">
@@ -6,6 +6,7 @@ import java.util.concurrent.CountDownLatch;
 import java.util.concurrent.TimeUnit;
 import org.dna.mqtt.moquette.client.Client;
 import org.dna.mqtt.moquette.client.IPublishCallback;
+import org.fusesource.mqtt.client.*;
 import org.junit.After;
 import static org.junit.Assert.*;
 import org.junit.Before;</t>
  </si>
  <si>
    <t xml:space="preserve">
&lt;&lt;&lt;&lt;&lt;&lt;&lt; HEAD
import org.dna.mqtt.moquette.proto.messages.AbstractMessage;
=======
import org.fusesource.mqtt.client.*;
&gt;&gt;&gt;&gt;&gt;&gt;&gt; 043b1b2095576a2e07d01ba03001fe7a1038a902</t>
  </si>
  <si>
    <t xml:space="preserve">
@@ -6,6 +6,8 @@ import java.util.concurrent.CountDownLatch;
 import java.util.concurrent.TimeUnit;
 import org.dna.mqtt.moquette.client.Client;
 import org.dna.mqtt.moquette.client.IPublishCallback;
+import org.dna.mqtt.moquette.proto.messages.AbstractMessage;
+import org.fusesource.mqtt.client.*;
 import org.junit.After;
 import static org.junit.Assert.*;
 import org.junit.Before;</t>
  </si>
  <si>
    <t xml:space="preserve">
import org.dna.mqtt.moquette.client.IPublishCallback; 
import org.fusesource.mqtt.client.*; 
import org.junit.After; 
…
import org.dna.mqtt.moquette.proto.messages.AbstractMessage; </t>
  </si>
  <si>
    <t>accept both sides but change insertion location</t>
  </si>
  <si>
    <t xml:space="preserve">
import org.dna.mqtt.moquette.client.Client;
import org.dna.mqtt.moquette.client.IPublishCallback;
import org.dna.mqtt.moquette.proto.messages.AbstractMessage;
import org.fusesource.mqtt.client.*;</t>
  </si>
  <si>
    <t xml:space="preserve">
&lt;&lt;&lt;&lt;&lt;&lt;&lt; ../server/37916f7cbec4440abb2bd6a913ddecdee3ae7ec6/left/parser/src/test/java/org/dna/mqtt/moquette/server/ServerIntegrationTest.java
import org.dna.mqtt.moquette.proto.messages.AbstractMessage;
||||||| ../server/37916f7cbec4440abb2bd6a913ddecdee3ae7ec6/base/parser/src/test/java/org/dna/mqtt/moquette/server/ServerIntegrationTest.java
=======
import org.fusesource.mqtt.client.*;
&gt;&gt;&gt;&gt;&gt;&gt;&gt; ../server/37916f7cbec4440abb2bd6a913ddecdee3ae7ec6/right/parser/src/test/java/org/dna/mqtt/moquette/server/ServerIntegrationTest.java</t>
  </si>
  <si>
    <t>https://github.com/OpenAPITools/openapi-generator</t>
  </si>
  <si>
    <t>openapi-generator</t>
  </si>
  <si>
    <t>bade71c6bacc2bfdd0ea400da313959c32cf8a6b</t>
  </si>
  <si>
    <t>9adb077a7b7fa0cbb158d063c6d6aff24ea64246</t>
  </si>
  <si>
    <t>6b7059d23f322461499281ab608de04fe029e00b</t>
  </si>
  <si>
    <t>a2fda604f86c88000b480a786f8e995fff41b08f</t>
  </si>
  <si>
    <t>samples/server/petstore/spring-mvc/src/main/java/io/swagger/model/User.java</t>
  </si>
  <si>
    <t xml:space="preserve">
 @ApiModel(description = "")
-@javax.annotation.Generated(value = "class io.swagger.codegen.languages.SpringMVCServerCodegen", date = "2015-09-30T16:27:59.075+08:00")
+@javax.annotation.Generated(value = "class io.swagger.codegen.languages.SpringMVCServerCodegen", date = "2015-10-19T23:12:31.377-07:00")</t>
  </si>
  <si>
    <t xml:space="preserve"> 
 @ApiModel(description = "")
-@javax.annotation.Generated(value = "class io.swagger.codegen.languages.SpringMVCServerCodegen", date = "2015-09-30T16:27:59.075+08:00")
+@javax.annotation.Generated(value = "class io.swagger.codegen.languages.SpringMVCServerCodegen", date = "2015-10-16T21:16:24.594-04:00")
</t>
  </si>
  <si>
    <t xml:space="preserve">
@ApiModel(description = "")
&lt;&lt;&lt;&lt;&lt;&lt;&lt; HEAD
@javax.annotation.Generated(value = "class io.swagger.codegen.languages.SpringMVCServerCodegen", date = "2015-10-19T23:12:31.377-07:00")
=======
@javax.annotation.Generated(value = "class io.swagger.codegen.languages.SpringMVCServerCodegen", date = "2015-10-16T21:16:24.594-04:00")
&gt;&gt;&gt;&gt;&gt;&gt;&gt; 6b7059d23f322461499281ab608de04fe029e00b</t>
  </si>
  <si>
    <t xml:space="preserve">
 @ApiModel(description = "")
-@javax.annotation.Generated(value = "class io.swagger.codegen.languages.SpringMVCServerCodegen", date = "2015-09-30T16:27:59.075+08:00")
+@javax.annotation.Generated(value = "class io.swagger.codegen.languages.SpringMVCServerCodegen", date = "2015-10-20T10:58:42.063-07:00")
</t>
  </si>
  <si>
    <t>U vs. U (annotations)</t>
  </si>
  <si>
    <t>completely new time</t>
  </si>
  <si>
    <t>M (update the automatically generated timestamp with a third timestamp)</t>
  </si>
  <si>
    <t>Annotation</t>
  </si>
  <si>
    <t xml:space="preserve">
~~FSTMerge~~ @ApiModel(description = "")
@javax.annotation.Generated(value = "class io.swagger.codegen.languages.SpringMVCServerCodegen", date = "2015-10-19T23:12:31.377-07:00")
public ##FSTMerge## @ApiModel(description = "")
@javax.annotation.Generated(value = "class io.swagger.codegen.languages.SpringMVCServerCodegen", date = "2015-09-30T16:27:59.075+08:00")
public ##FSTMerge## @ApiModel(description = "")
@javax.annotation.Generated(value = "class io.swagger.codegen.languages.SpringMVCServerCodegen", date = "2015-10-16T21:16:24.594-04:00")</t>
  </si>
  <si>
    <t xml:space="preserve">
@ApiModel(description = "") @javax.annotation.Generated(value = { "class io.swagger.codegen.languages.SpringMVCServerCodegen" }, date = 
&lt;&lt;&lt;&lt;&lt;&lt;&lt; .../left/samples/server/petstore/spring-mvc/src/main/java/io/swagger/model/User.java
"2015-10-19T23:12:31.377-07:00"
=======
"2015-10-16T21:16:24.594-04:00"
&gt;&gt;&gt;&gt;&gt;&gt;&gt; .../right/samples/server/petstore/spring-mvc/src/main/java/io/swagger/model/User.java
</t>
  </si>
  <si>
    <t xml:space="preserve">
@ApiModel(description = "")
&lt;&lt;&lt;&lt;&lt;&lt;&lt; ours
@javax.annotation.Generated(value = "class io.swagger.codegen.languages.SpringMVCServerCodegen", date = "2015-10-19T23:12:31.377-07:00")
=======
@javax.annotation.Generated(value = "class io.swagger.codegen.languages.SpringMVCServerCodegen", date = "2015-10-16T21:16:24.594-04:00")
&gt;&gt;&gt;&gt;&gt;&gt;&gt; theirs</t>
  </si>
  <si>
    <t xml:space="preserve">
@ApiModel(description = "")
&lt;&lt;&lt;&lt;&lt;&lt;&lt; ../openapi-generator/bade71c6bacc2bfdd0ea400da313959c32cf8a6b/left/samples/server/petstore/spring-mvc/src/main/java/io/swagger/model/User.java
@javax.annotation.Generated(value = "class io.swagger.codegen.languages.SpringMVCServerCodegen", date = "2015-10-19T23:12:31.377-07:00")
||||||| ../openapi-generator/bade71c6bacc2bfdd0ea400da313959c32cf8a6b/base/samples/server/petstore/spring-mvc/src/main/java/io/swagger/model/User.java
@javax.annotation.Generated(value = "class io.swagger.codegen.languages.SpringMVCServerCodegen", date = "2015-09-30T16:27:59.075+08:00")
=======
@javax.annotation.Generated(value = "class io.swagger.codegen.languages.SpringMVCServerCodegen", date = "2015-10-16T21:16:24.594-04:00")
&gt;&gt;&gt;&gt;&gt;&gt;&gt; ../openapi-generator/bade71c6bacc2bfdd0ea400da313959c32cf8a6b/right/samples/server/petstore/spring-mvc/src/main/java/io/swagger/model/User.java</t>
  </si>
  <si>
    <t>https://github.com/crossoverJie/cim</t>
  </si>
  <si>
    <t>cim</t>
  </si>
  <si>
    <t>726c2395505b0c38dea3be384890c77e0b8ad4f3</t>
  </si>
  <si>
    <t>f105b12007416414896c24dfa99ab7b29885d7db</t>
  </si>
  <si>
    <t>08dd86e405692b55901d71b05fd8e4594997bf0f</t>
  </si>
  <si>
    <t>01532b41d8c4f67ef8adbb199b93615056e3955c</t>
  </si>
  <si>
    <t>cim-common/src/test/java/com/crossoverjie/cim/common/data/construct/RingBufferWheelTest.java</t>
  </si>
  <si>
    <t xml:space="preserve">
 package com.crossoverjie.cim.common.data.construct;
-import org.junit.Test;
+import com.google.common.util.concurrent.ThreadFactoryBuilder;
 import org.slf4j.Logger;
 import org.slf4j.LoggerFactory;</t>
  </si>
  <si>
    <t xml:space="preserve">
@@ -1,6 +1,5 @@
 package com.crossoverjie.cim.common.data.construct;
-import org.junit.Test;
 import org.slf4j.Logger;
 import org.slf4j.LoggerFactory;
</t>
  </si>
  <si>
    <t xml:space="preserve">
&lt;&lt;&lt;&lt;&lt;&lt;&lt; HEAD
import com.google.common.util.concurrent.ThreadFactoryBuilder;
=======
&gt;&gt;&gt;&gt;&gt;&gt;&gt; 08dd86e405692b55901d71b05fd8e4594997bf0f</t>
  </si>
  <si>
    <t xml:space="preserve">
@@ -1,11 +1,17 @@
 package com.crossoverjie.cim.common.data.construct;
-import org.junit.Test;
+
+import com.google.common.util.concurrent.ThreadFactoryBuilder;
+
 import org.slf4j.Logger;
 import org.slf4j.LoggerFactory;</t>
  </si>
  <si>
    <t>I + N (import) L include R
Origin(U vs. D)</t>
  </si>
  <si>
    <t>only left but add some empty line</t>
  </si>
  <si>
    <t>L + M</t>
  </si>
  <si>
    <t xml:space="preserve">
import org.slf4j.Logger; 
import org.slf4j.LoggerFactory; 
import java.util.concurrent.ExecutorService; 
import java.util.concurrent.Executors; 
import java.util.concurrent.TimeUnit; 
import com.google.common.util.concurrent.ThreadFactoryBuilder; </t>
  </si>
  <si>
    <t xml:space="preserve">
import com.google.common.util.concurrent.ThreadFactoryBuilder;
import org.slf4j.Logger;
import org.slf4j.LoggerFactory;</t>
  </si>
  <si>
    <t xml:space="preserve">
import org.slf4j.Logger;
import com.google.common.util.concurrent.ThreadFactoryBuilder;
import org.slf4j.LoggerFactory;</t>
  </si>
  <si>
    <t>keep left but insert at different location</t>
  </si>
  <si>
    <t xml:space="preserve">
&lt;&lt;&lt;&lt;&lt;&lt;&lt; ../cim/726c2395505b0c38dea3be384890c77e0b8ad4f3/left/cim-common/src/test/java/com/crossoverjie/cim/common/data/construct/RingBufferWheelTest.java
import com.google.common.util.concurrent.ThreadFactoryBuilder;
||||||| ../cim/726c2395505b0c38dea3be384890c77e0b8ad4f3/base/cim-common/src/test/java/com/crossoverjie/cim/common/data/construct/RingBufferWheelTest.java
import org.junit.Test;
=======
&gt;&gt;&gt;&gt;&gt;&gt;&gt; ../cim/726c2395505b0c38dea3be384890c77e0b8ad4f3/right/cim-common/src/test/java/com/crossoverjie/cim/common/data/construct/RingBufferWheelTest.java</t>
  </si>
  <si>
    <t>https://github.com/json-path/JsonPath</t>
  </si>
  <si>
    <t>JsonPath</t>
  </si>
  <si>
    <t>9f4f2f249220038c94ec48a9b3a15418760ba6ad</t>
  </si>
  <si>
    <t>4c886174ff94501e3929191668a914d08f168f55</t>
  </si>
  <si>
    <t>71c92474ded87ac8b86940263a54b96fdd426b1b</t>
  </si>
  <si>
    <t>955042f92489bbb8bf31bf66cbd25a1d659ff934</t>
  </si>
  <si>
    <t>json-path/src/main/java/com/jayway/jsonpath/internal/Utils.java</t>
  </si>
  <si>
    <t xml:space="preserve">
 package com.jayway.jsonpath.internal;
-import com.jayway.jsonpath.InvalidConversionException;
+import com.jayway.jsonpath.JsonPathException;
 import java.io.ByteArrayInputStream;</t>
  </si>
  <si>
    <t xml:space="preserve">
 package com.jayway.jsonpath.internal;
-import com.jayway.jsonpath.InvalidConversionException;
-
 import java.io.ByteArrayInputStream;
 import java.io.ByteArrayOutputStream;
 import java.io.Closeable;</t>
  </si>
  <si>
    <t xml:space="preserve">
&lt;&lt;&lt;&lt;&lt;&lt;&lt; HEAD
import com.jayway.jsonpath.JsonPathException;
=======
&gt;&gt;&gt;&gt;&gt;&gt;&gt; 71c92474ded87ac8b86940263a54b96fdd426b1b</t>
  </si>
  <si>
    <t xml:space="preserve">
 package com.jayway.jsonpath.internal;
-import com.jayway.jsonpath.InvalidConversionException;
+import com.jayway.jsonpath.JsonPathException;
 import java.io.ByteArrayInputStream;
 import java.io.ByteArrayOutputStream;
@@ -13,10 +27,11 @@ import java.io.ObjectStreamClass;
 import java.io.OutputStream;
 import java.io.Serializable;
 import java.util.ArrayList;
+import java.util.Collections;
 import java.util.Iterator;
 import java.util.List;</t>
  </si>
  <si>
    <t>I + D (import)
Origin(U vs. D)</t>
  </si>
  <si>
    <t>L (L syntactically includes R, while R removes an additional empty line)</t>
  </si>
  <si>
    <t xml:space="preserve">
package com.jayway.jsonpath.internal; 
…
import com.jayway.jsonpath.JsonPathException; 
import java.util.Collections; </t>
  </si>
  <si>
    <t xml:space="preserve">
package com.jayway.jsonpath.internal;
import com.jayway.jsonpath.JsonPathException;
import java.io.ByteArrayInputStream;
import java.io.ByteArrayOutputStream;</t>
  </si>
  <si>
    <t xml:space="preserve">
package com.jayway.jsonpath.internal;
import java.io.ByteArrayInputStream;
import com.jayway.jsonpath.JsonPathException;
import java.io.ByteArrayOutputStream;</t>
  </si>
  <si>
    <t xml:space="preserve">
&lt;&lt;&lt;&lt;&lt;&lt;&lt; ../JsonPath/9f4f2f249220038c94ec48a9b3a15418760ba6ad/left/json-path/src/main/java/com/jayway/jsonpath/internal/Utils.java
import com.jayway.jsonpath.JsonPathException;
||||||| ../JsonPath/9f4f2f249220038c94ec48a9b3a15418760ba6ad/base/json-path/src/main/java/com/jayway/jsonpath/internal/Utils.java
import com.jayway.jsonpath.InvalidConversionException;
=======
&gt;&gt;&gt;&gt;&gt;&gt;&gt; ../JsonPath/9f4f2f249220038c94ec48a9b3a15418760ba6ad/right/json-path/src/main/java/com/jayway/jsonpath/internal/Utils.java</t>
  </si>
  <si>
    <t>https://github.com/jfoenixadmin/JFoenix</t>
  </si>
  <si>
    <t>JFoenix</t>
  </si>
  <si>
    <t>79477ad7438a737627d7f1482c184b6d1fa37545</t>
  </si>
  <si>
    <t>c23797ba56d119aefb7c889704ed9f787addc90a</t>
  </si>
  <si>
    <t>46177a4d45a74db451f6f4e151950e365441b92d</t>
  </si>
  <si>
    <t>b5f6d36b4d2830009cce210c3ce0068a787d0820</t>
  </si>
  <si>
    <t>jfoenix/src/main/java/com/jfoenix/skins/JFXProgressBarSkin.java</t>
  </si>
  <si>
    <t xml:space="preserve">
 import com.jfoenix.controls.JFXProgressBar;
-import com.sun.javafx.scene.control.skin.ProgressIndicatorSkin;
-import javafx.animation.Interpolator;
-import javafx.animation.KeyFrame;
-import javafx.animation.KeyValue;
-import javafx.animation.Timeline;
+import com.sun.javafx.scene.NodeHelper;
+import javafx.animation.*;
 import javafx.geometry.Insets;</t>
  </si>
  <si>
    <t xml:space="preserve">
 import com.jfoenix.controls.JFXProgressBar;
+import com.jfoenix.utils.JFXNodeUtils;
 import com.sun.javafx.scene.control.skin.ProgressIndicatorSkin;
 import javafx.animation.Interpolator;
 import javafx.animation.KeyFrame;</t>
  </si>
  <si>
    <t xml:space="preserve">
import com.jfoenix.controls.JFXProgressBar;
&lt;&lt;&lt;&lt;&lt;&lt;&lt; HEAD
import com.sun.javafx.scene.NodeHelper;
import javafx.animation.*;
=======
import com.jfoenix.utils.JFXNodeUtils;
import com.sun.javafx.scene.control.skin.ProgressIndicatorSkin;
import javafx.animation.Interpolator;
import javafx.animation.KeyFrame;
import javafx.animation.KeyValue;
import javafx.animation.Timeline;
&gt;&gt;&gt;&gt;&gt;&gt;&gt; 46177a4d45a74db451f6f4e151950e365441b92d
import javafx.geometry.Insets;</t>
  </si>
  <si>
    <t xml:space="preserve">
 import com.jfoenix.controls.JFXProgressBar;
-import com.sun.javafx.scene.control.skin.ProgressIndicatorSkin;
-import javafx.animation.Interpolator;
-import javafx.animation.KeyFrame;
-import javafx.animation.KeyValue;
-import javafx.animation.Timeline;
+import com.jfoenix.utils.JFXNodeUtils;
+import com.sun.javafx.scene.NodeHelper;
+import javafx.animation.*;
 import javafx.geometry.Insets;</t>
  </si>
  <si>
    <t>D I + I (import)
Origin(D I vs. I)</t>
  </si>
  <si>
    <t xml:space="preserve">
import com.jfoenix.controls.JFXProgressBar;
import com.sun.javafx.scene.NodeHelper;
import com.jfoenix.utils.JFXNodeUtils;
import javafx.animation.*;
import javafx.geometry.Insets;</t>
  </si>
  <si>
    <t xml:space="preserve">
import com.jfoenix.controls.JFXProgressBar;
import com.sun.javafx.scene.NodeHelper;
import javafx.animation.*;
import com.jfoenix.utils.JFXNodeUtils;
import com.sun.javafx.scene.control.skin.ProgressIndicatorSkin;
import javafx.animation.Interpolator;
import javafx.animation.KeyFrame;
import javafx.animation.KeyValue;
import javafx.animation.Timeline;
import javafx.geometry.Insets;</t>
  </si>
  <si>
    <t>accept both sides but keep removed lines from left</t>
  </si>
  <si>
    <t xml:space="preserve">
import com.jfoenix.controls.JFXProgressBar;
&lt;&lt;&lt;&lt;&lt;&lt;&lt; ../JFoenix/79477ad7438a737627d7f1482c184b6d1fa37545/left/jfoenix/src/main/java/com/jfoenix/skins/JFXProgressBarSkin.java
import com.sun.javafx.scene.NodeHelper;
||||||| ../JFoenix/79477ad7438a737627d7f1482c184b6d1fa37545/base/jfoenix/src/main/java/com/jfoenix/skins/JFXProgressBarSkin.java
import com.sun.javafx.scene.control.skin.ProgressIndicatorSkin;
import javafx.animation.Interpolator;
import javafx.animation.KeyFrame;
import javafx.animation.KeyValue;
import javafx.animation.Timeline;
=======
import com.jfoenix.utils.JFXNodeUtils;
import com.sun.javafx.scene.control.skin.ProgressIndicatorSkin;
import javafx.animation.Interpolator;
import javafx.animation.KeyFrame;
import javafx.animation.KeyValue;
import javafx.animation.Timeline;
&gt;&gt;&gt;&gt;&gt;&gt;&gt; ../JFoenix/79477ad7438a737627d7f1482c184b6d1fa37545/right/jfoenix/src/main/java/com/jfoenix/skins/JFXProgressBarSkin.java</t>
  </si>
  <si>
    <t>https://github.com/rest-assured/rest-assured</t>
  </si>
  <si>
    <t>rest-assured</t>
  </si>
  <si>
    <t>152d91a4db0db34b6f521879e9aca8f1c9f88c4a</t>
  </si>
  <si>
    <t>dba12a54ef1069e995aa530fdceb796ed83e51d6</t>
  </si>
  <si>
    <t>79794f40656e6cebf12d1fe5bd103ed0b9578e2d</t>
  </si>
  <si>
    <t>4fdd73c98a04d1d0a6122cb13f97bf422cb1c833</t>
  </si>
  <si>
    <t>rest-assured/src/main/groovy/com/jayway/restassured/internal/AuthenticationSpecificationImpl.groovy</t>
  </si>
  <si>
    <t xml:space="preserve">
@@ -135,7 +135,7 @@ class AuthenticationSpecificationImpl implements AuthenticationSpecification {
    * OAuth sign the request. Note that this currently does not wait for a WWW-Authenticate challenge before sending the the OAuth header.
    * All requests to all domains will be signed for this instance.
    * This assumes you've already generated an accessToken and secretToken for the site you're targeting.
-   * For More information on how to achieve this, see the &lt;a href="http://code.google.com/p/oauth-signpost/wiki/GettingStarted#Using_Signpost"&gt;Signpost documentation&lt;/a&gt;.
+   * For More information on how to achieve this, see the &lt;a href="https://github.com/mttkay/signpost/blob/master/docs/GettingStarted.md#using-signpost"&gt;Signpost documentation&lt;/a&gt;.
    * @param accessToken
    * @return The request com.jayway.restassured.specification
    */</t>
  </si>
  <si>
    <t xml:space="preserve">
@@ -130,33 +130,25 @@ class AuthenticationSpecificationImpl implements AuthenticationSpecification {
     requestSpecification.authenticationScheme = new OAuthScheme(consumerKey: consumerKey, consumerSecret: consumerSecret, accessToken: accessToken, secretToken: secretToken, signature: signature)
     return requestSpecification
   }
+
   /**
-   * Excerpt from the HttpBuilder docs:&lt;br&gt;
-   * OAuth sign the request. Note that this currently does not wait for a WWW-Authenticate challenge before sending the the OAuth header.
-   * All requests to all domains will be signed for this instance.
-   * This assumes you've already generated an accessToken and secretToken for the site you're targeting.
-   * For More information on how to achieve this, see the &lt;a href="http://code.google.com/p/oauth-signpost/wiki/GettingStarted#Using_Signpost"&gt;Signpost documentation&lt;/a&gt;.
-   * @param accessToken
-   * @return The request com.jayway.restassured.specification
+   * {@inheritDoc}
    */</t>
  </si>
  <si>
    <t xml:space="preserve">
  /**
&lt;&lt;&lt;&lt;&lt;&lt;&lt; HEAD
   * Excerpt from the HttpBuilder docs:&lt;br&gt;
   * OAuth sign the request. Note that this currently does not wait for a WWW-Authenticate challenge before sending the the OAuth header.
   * All requests to all domains will be signed for this instance.
   * This assumes you've already generated an accessToken and secretToken for the site you're targeting.
   * For More information on how to achieve this, see the &lt;a href="https://github.com/mttkay/signpost/blob/master/docs/GettingStarted.md#using-signpost"&gt;Signpost documentation&lt;/a&gt;.
   * @param accessToken
   * @return The request com.jayway.restassured.specification
=======
   * {@inheritDoc}
&gt;&gt;&gt;&gt;&gt;&gt;&gt; 79794f40656e6cebf12d1fe5bd103ed0b9578e2d</t>
  </si>
  <si>
    <t>U vs. D I</t>
  </si>
  <si>
    <t xml:space="preserve">
&lt;&lt;&lt;&lt;&lt;&lt;&lt; ../rest-assured/152d91a4db0db34b6f521879e9aca8f1c9f88c4a/left/rest-assured/src/main/groovy/com/jayway/restassured/internal/AuthenticationSpecificationImpl.groovy
   * For More information on how to achieve this, see the &lt;a href="https://github.com/mttkay/signpost/blob/master/docs/GettingStarted.md#using-signpost"&gt;Signpost documentation&lt;/a&gt;.
||||||| ../rest-assured/152d91a4db0db34b6f521879e9aca8f1c9f88c4a/base/rest-assured/src/main/groovy/com/jayway/restassured/
   * For More information on how to achieve this, see the &lt;a href="http://code.google.com/p/oauth-signpost/wiki/GettingStarted#Using_Signpost"&gt;Signpost documentation&lt;/a&gt;.
=======
&gt;&gt;&gt;&gt;&gt;&gt;&gt; ../rest-assured/152d91a4db0db34b6f521879e9aca8f1c9f88c4a/right/rest-assured/src/main/groovy/com/jayway/restassured/internal/AuthenticationSpecificationImpl.groovy</t>
  </si>
  <si>
    <t>https://github.com/mrniko/netty-socketio</t>
  </si>
  <si>
    <t>netty-socketio</t>
  </si>
  <si>
    <t>c1e3d5aec46159f24cac943ac89e5c3a861fe56e</t>
  </si>
  <si>
    <t>efda60a4e50f7398789bdb8532c120e1349265a5</t>
  </si>
  <si>
    <t>bed2a3b05d68a5ac84eba32c59d410c0f88dc0d7</t>
  </si>
  <si>
    <t>f78322dba98676f949dfe3b1f0ab20d681bb601e</t>
  </si>
  <si>
    <t xml:space="preserve">
   &lt;dependency&gt;
           &lt;groupId&gt;io.netty&lt;/groupId&gt;
           &lt;artifactId&gt;netty-handler&lt;/artifactId&gt;
-          &lt;version&gt;4.1.44.Final&lt;/version&gt;
+          &lt;version&gt;4.1.50.Final&lt;/version&gt;
   &lt;/dependency&gt;</t>
  </si>
  <si>
    <t xml:space="preserve">
   &lt;dependency&gt;
   	&lt;groupId&gt;io.netty&lt;/groupId&gt;
   	&lt;artifactId&gt;netty-handler&lt;/artifactId&gt;
-  	&lt;version&gt;4.1.44.Final&lt;/version&gt;
+  	&lt;version&gt;4.1.45.Final&lt;/version&gt;
   &lt;/dependency&gt;
   &lt;dependency&gt;
   	&lt;groupId&gt;io.netty&lt;/groupId&gt;</t>
  </si>
  <si>
    <t xml:space="preserve">
  &lt;dependency&gt;
          &lt;groupId&gt;io.netty&lt;/groupId&gt;
          &lt;artifactId&gt;netty-handler&lt;/artifactId&gt;
&lt;&lt;&lt;&lt;&lt;&lt;&lt; HEAD
          &lt;version&gt;4.1.50.Final&lt;/version&gt;
=======
          &lt;version&gt;4.1.45.Final&lt;/version&gt;
&gt;&gt;&gt;&gt;&gt;&gt;&gt; bed2a3b05d68a5ac84eba32c59d410c0f88dc0d7
  &lt;/dependency&gt;</t>
  </si>
  <si>
    <t xml:space="preserve">
   &lt;dependency&gt;
   	&lt;groupId&gt;io.netty&lt;/groupId&gt;
   	&lt;artifactId&gt;netty-handler&lt;/artifactId&gt;
-  	&lt;version&gt;4.1.44.Final&lt;/version&gt;
+  	&lt;version&gt;4.1.50.Final&lt;/version&gt;
   &lt;/dependency&gt;</t>
  </si>
  <si>
    <t>U vs. U (version no.) L &gt; R version</t>
  </si>
  <si>
    <t>L (L has a higher version number than R)</t>
  </si>
  <si>
    <t xml:space="preserve">
   &lt;dependencies&gt;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   &lt;scope&gt;test&lt;/scope&gt;
      &lt;/dependency&gt;
      &lt;dependency&gt;
         &lt;groupId&gt;io.netty&lt;/groupId&gt;
         &lt;artifactId&gt;netty-buffer&lt;/artifactId&gt;
         &lt;version&gt;4.1.50.Final&lt;/version&gt;
         &lt;scope&gt;test&lt;/scope&gt;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&lt;/dependency&gt;
      &lt;dependency&gt;
         &lt;groupId&gt;io.netty&lt;/groupId&gt;
         &lt;artifactId&gt;netty-buffer&lt;/artifactId&gt;
         &lt;version&gt;4.1.50.Final&lt;/version&gt;
         &lt;scope&gt;provided&lt;/scope&gt;
      &lt;/dependency&gt;
      &lt;dependency&gt;
         &lt;groupId&gt;io.netty&lt;/groupId&gt;
         &lt;artifactId&gt;netty-buffer&lt;/artifactId&gt;
         &lt;version&gt;4.1.50.Final&lt;/version&gt;
         &lt;exclusions&gt;
            &lt;exclusion&gt;
               &lt;groupId&gt;commons-logging&lt;/groupId&gt;
               &lt;artifactId&gt;commons-logging&lt;/artifactId&gt;
            &lt;/exclusion&gt;
         &lt;/exclusions&gt;
         &lt;scope&gt;provided&lt;/scope&gt;
      &lt;/dependency&gt;
      &lt;dependency&gt;
         &lt;groupId&gt;io.netty&lt;/groupId&gt;
         &lt;artifactId&gt;netty-buffer&lt;/artifactId&gt;
         &lt;version&gt;4.1.50.Final&lt;/version&gt;
         &lt;scope&gt;provided&lt;/scope&gt;
      &lt;/dependency&gt;
      &lt;dependency&gt;
         &lt;groupId&gt;io.netty&lt;/groupId&gt;
         &lt;artifactId&gt;netty-buffer&lt;/artifactId&gt;
         &lt;version&gt;4.1.50.Final&lt;/version&gt;
         &lt;scope&gt;provided&lt;/scope&gt;
      &lt;/dependency&gt;
   &lt;/dependencies&gt;</t>
  </si>
  <si>
    <t xml:space="preserve">
&lt;&lt;&lt;&lt;&lt;&lt;&lt; ../netty-socketio/c1e3d5aec46159f24cac943ac89e5c3a861fe56e/left/pom.xml
  	&lt;version&gt;4.1.50.Final&lt;/version&gt;
||||||| ../netty-socketio/c1e3d5aec46159f24cac943ac89e5c3a861fe56e/base/pom.xml
  	&lt;version&gt;4.1.44.Final&lt;/version&gt;
=======
  	&lt;version&gt;4.1.45.Final&lt;/version&gt;
&gt;&gt;&gt;&gt;&gt;&gt;&gt; ../netty-socketio/c1e3d5aec46159f24cac943ac89e5c3a861fe56e/right/pom.xml</t>
  </si>
  <si>
    <t>https://github.com/wuyouzhuguli/FEBS-Shiro</t>
  </si>
  <si>
    <t>FEBS-Shiro</t>
  </si>
  <si>
    <t>87163593af53767f0cab7316528f03d67f04ab8c</t>
  </si>
  <si>
    <t>c41f76e0eef1cc4c21b5ae830a47b3ef173a7d63</t>
  </si>
  <si>
    <t>a2a0f09b0a5fbb000de26d26b175544fe5068a6f</t>
  </si>
  <si>
    <t>9b6774125d28b692f8d041162ef8a43e56e34723</t>
  </si>
  <si>
    <t>sql/febs_base.sql</t>
  </si>
  <si>
    <t xml:space="preserve">
                           PRIMARY KEY (`JOB_ID`) USING BTREE
-) ENGINE = InnoDB AUTO_INCREMENT = 12 CHARACTER SET = utf8 COLLATE = utf8_general_ci COMMENT = '定时任务表' ROW_FORMAT = Dynamic;
+) ENGINE = MyISAM AUTO_INCREMENT = 12 CHARACTER SET = utf8 COLLATE = utf8_general_ci COMMENT = '定时任务表' ROW_FORMAT = Dynamic;
 -- ----------------------------
 -- Records of t_job
</t>
  </si>
  <si>
    <t xml:space="preserve">
-                          PRIMARY KEY (`JOB_ID`) USING BTREE
+                          PRIMARY KEY (`JOB_ID`) USING BTREE,
+                          KEY `t_job_create_time` (`CREATE_TIME`)
 ) ENGINE = InnoDB AUTO_INCREMENT = 12 CHARACTER SET = utf8 COLLATE = utf8_general_ci COMMENT = '定时任务表' ROW_FORMAT = Dynamic;
 </t>
  </si>
  <si>
    <t xml:space="preserve">
&lt;&lt;&lt;&lt;&lt;&lt;&lt; HEAD
                          PRIMARY KEY (`JOB_ID`) USING BTREE
) ENGINE = MyISAM AUTO_INCREMENT = 12 CHARACTER SET = utf8 COLLATE = utf8_general_ci COMMENT = '定时任务表' ROW_FORMAT = Dynamic;
=======
                          PRIMARY KEY (`JOB_ID`) USING BTREE,
                          KEY `t_job_create_time` (`CREATE_TIME`)
) ENGINE = InnoDB AUTO_INCREMENT = 12 CHARACTER SET = utf8 COLLATE = utf8_general_ci COMMENT = '定时任务表' ROW_FORMAT = Dynamic;
&gt;&gt;&gt;&gt;&gt;&gt;&gt; a2a0f09b0a5fbb000de26d26b175544fe5068a6f</t>
  </si>
  <si>
    <t xml:space="preserve">
@@ -117,9 +119,11 @@ CREATE TABLE `t_job`  (
                           `STATUS` char(2) CHARACTER SET utf8 COLLATE utf8_general_ci NOT NULL COMMENT '任务状态  0：正常  1：暂停',
                           `REMARK` varchar(50) CHARACTER SET utf8 COLLATE utf8_general_ci NULL DEFAULT NULL COMMENT '备注',
                           `CREATE_TIME` datetime(0) NULL DEFAULT NULL COMMENT '创建时间',
-                          PRIMARY KEY (`JOB_ID`) USING BTREE
+                          PRIMARY KEY (`JOB_ID`) USING BTREE,
+                          KEY `t_job_create_time` (`CREATE_TIME`)
 ) ENGINE = InnoDB AUTO_INCREMENT = 12 CHARACTER SET = utf8 COLLATE = utf8_general_ci COMMENT = '定时任务表' ROW_FORMAT = Dynamic;
+
 -- ----------------------------
 -- Records of t_job
 -- ----------------------------</t>
  </si>
  <si>
    <t>U + U I (expression)</t>
  </si>
  <si>
    <t xml:space="preserve">
&lt;&lt;&lt;&lt;&lt;&lt;&lt; ../FEBS-Shiro/87163593af53767f0cab7316528f03d67f04ab8c/left/sql/febs_base.sql
) ENGINE = MyISAM AUTO_INCREMENT = 12 CHARACTER SET = utf8 COLLATE = utf8_general_ci COMMENT = '定时任务表' ROW_FORMAT = Dynamic;
||||||| ../FEBS-Shiro/87163593af53767f0cab7316528f03d67f04ab8c/base/sql/febs_base.sql
) ENGINE = InnoDB AUTO_INCREMENT = 12 CHARACTER SET = utf8 COLLATE = utf8_general_ci COMMENT = '定时任务表' ROW_FORMAT = Dynamic;
=======
                          KEY `t_job_create_time` (`CREATE_TIME`)
) ENGINE = InnoDB AUTO_INCREMENT = 12 CHARACTER SET = utf8 COLLATE = utf8_general_ci COMMENT = '定时任务表' ROW_FORMAT = Dynamic;
&gt;&gt;&gt;&gt;&gt;&gt;&gt; ../FEBS-Shiro/87163593af53767f0cab7316528f03d67f04ab8c/right/sql/febs_base.sql</t>
  </si>
  <si>
    <t>https://github.com/apache/dubbo-spring-boot-project</t>
  </si>
  <si>
    <t>dubbo-spring-boot-project</t>
  </si>
  <si>
    <t>9ef994d1bd455a9747b580319e063f61dc841811</t>
  </si>
  <si>
    <t>b66f0cc3a2d7bd9a4f06cc7678bc931228dc6a36</t>
  </si>
  <si>
    <t>35568ff32d3a0fcbbd6b3e14a9f7c0a71b6b08ee</t>
  </si>
  <si>
    <t>a07f2e1b0a6b8b82499e2b6ac79673d24373c2c7</t>
  </si>
  <si>
    <t xml:space="preserve">
-If `DubboProviderDemo` works well, please mark sure `DubboProviderDemo` is started.
+If `DubboProviderDemo` doesn't work well, please make sure `DubboProviderDemo` is started.
 </t>
  </si>
  <si>
    <t xml:space="preserve">
-If `DubboProviderDemo` works well, please mark sure `DubboProviderDemo` is started.
+If `DubboProviderDemo` works well, please make sure `DubboProviderDemo` is started.
 More details, please refer to [Samples](dubbo-spring-boot-samples).
</t>
  </si>
  <si>
    <t xml:space="preserve">
&lt;&lt;&lt;&lt;&lt;&lt;&lt; HEAD
If `DubboProviderDemo` doesn't work well, please make sure `DubboProviderDemo` is started.
=======
If `DubboProviderDemo` works well, please make sure `DubboProviderDemo` is started.
&gt;&gt;&gt;&gt;&gt;&gt;&gt; 35568ff32d3a0fcbbd6b3e14a9f7c0a71b6b08ee</t>
  </si>
  <si>
    <t>U vs. U (text)</t>
  </si>
  <si>
    <t xml:space="preserve">
&lt;&lt;&lt;&lt;&lt;&lt;&lt; ../dubbo-spring-boot-project/9ef994d1bd455a9747b580319e063f61dc841811/left/README.md
If `DubboProviderDemo` doesn't work well, please make sure `DubboProviderDemo` is started.
||||||| ../dubbo-spring-boot-project/9ef994d1bd455a9747b580319e063f61dc841811/base/README.md
If `DubboProviderDemo` works well, please mark sure `DubboProviderDemo` is started.
=======
If `DubboProviderDemo` works well, please make sure `DubboProviderDemo` is started.
&gt;&gt;&gt;&gt;&gt;&gt;&gt; ../dubbo-spring-boot-project/9ef994d1bd455a9747b580319e063f61dc841811/right/README.md</t>
  </si>
  <si>
    <t>https://github.com/springfox/springfox</t>
  </si>
  <si>
    <t>springfox</t>
  </si>
  <si>
    <t>06591ff0678b0d7f99cb2f5e086646cc12c1a5c9</t>
  </si>
  <si>
    <t>de925c316a309d6deef5462d0dc330839c779bec</t>
  </si>
  <si>
    <t>7953ecc1e8e2817068cb12292c82dfe98b528028</t>
  </si>
  <si>
    <t>e5ef98ce04df265f6249ff71465b20805c644777</t>
  </si>
  <si>
    <t>springfox-swagger2/src/main/java/springfox/documentation/swagger2/mappers/ModelMapper.java</t>
  </si>
  <si>
    <t xml:space="preserve">
 package springfox.documentation.swagger2.mappers;
+import com.fasterxml.classmate.ResolvedType;
+import com.fasterxml.classmate.types.ResolvedInterfaceType;</t>
  </si>
  <si>
    <t xml:space="preserve">
 package springfox.documentation.swagger2.mappers;
+import static com.google.common.collect.Maps.newHashMap;
+import static com.google.common.collect.Maps.newTreeMap;
+import static springfox.documentation.schema.Maps.isMapType;
+import static springfox.documentation.swagger2.mappers.Properties.property;
+
+import java.util.HashMap;
+import java.util.Map;
+import java.util.TreeMap;
+
+import org.mapstruct.Mapper;
+
 import com.google.common.base.Function;
 import com.google.common.base.Optional;
 import com.google.common.base.Predicate;
 import com.google.common.collect.FluentIterable;
 import com.google.common.collect.Multimap;</t>
  </si>
  <si>
    <t xml:space="preserve">
package springfox.documentation.swagger2.mappers;
&lt;&lt;&lt;&lt;&lt;&lt;&lt; HEAD
import com.fasterxml.classmate.ResolvedType;
import com.fasterxml.classmate.types.ResolvedInterfaceType;
=======
import static com.google.common.collect.Maps.newHashMap;
import static com.google.common.collect.Maps.newTreeMap;
import static springfox.documentation.schema.Maps.isMapType;
import static springfox.documentation.swagger2.mappers.Properties.property;
import java.util.HashMap;
import java.util.Map;
import java.util.TreeMap;
import org.mapstruct.Mapper;
&gt;&gt;&gt;&gt;&gt;&gt;&gt; 7953ecc1e8e2817068cb12292c82dfe98b528028</t>
  </si>
  <si>
    <t xml:space="preserve">
 package springfox.documentation.swagger2.mappers;
+import com.fasterxml.classmate.ResolvedType;
+import com.fasterxml.classmate.types.ResolvedInterfaceType;
 import com.google.common.base.Function;
 import com.google.common.base.Optional;
 import com.google.common.base.Predicate;</t>
  </si>
  <si>
    <t>I vs. I(import)</t>
  </si>
  <si>
    <t xml:space="preserve">
package springfox.documentation.swagger2.mappers; 
import static com.google.common.collect.Maps.newHashMap; 
import static com.google.common.collect.Maps.newTreeMap; 
import static springfox.documentation.schema.Maps.isMapType; 
import static springfox.documentation.swagger2.mappers.Properties.property; 
import java.util.HashMap; 
import java.util.Map; 
import java.util.TreeMap; 
import org.mapstruct.Mapper; 
import com.google.common.base.Function; 
import com.google.common.base.Optional; 
import com.google.common.base.Predicate; 
import com.google.common.collect.FluentIterable; 
import com.google.common.collect.Multimap; 
import io.swagger.models.Model; 
import io.swagger.models.ModelImpl; 
import io.swagger.models.properties.AbstractNumericProperty; 
import io.swagger.models.properties.ArrayProperty; 
import io.swagger.models.properties.MapProperty; 
import io.swagger.models.properties.ObjectProperty; 
import io.swagger.models.properties.Property; 
import io.swagger.models.properties.StringProperty; 
import springfox.documentation.schema.ModelProperty; 
import springfox.documentation.schema.ModelRef; 
import springfox.documentation.service.AllowableListValues; 
import springfox.documentation.service.AllowableRangeValues; 
import springfox.documentation.service.AllowableValues; 
import springfox.documentation.service.ApiListing; 
import static com.google.common.collect.Maps.*; 
import static springfox.documentation.schema.Maps.*; 
import static springfox.documentation.swagger2.mappers.Properties.*; 
import com.fasterxml.classmate.ResolvedType; 
import com.fasterxml.classmate.types.ResolvedInterfaceType; </t>
  </si>
  <si>
    <t xml:space="preserve">
package springfox.documentation.swagger2.mappers;
import com.fasterxml.classmate.ResolvedType;
import static com.google.common.collect.Maps.newHashMap;
import com.fasterxml.classmate.types.ResolvedInterfaceType;
import static com.google.common.collect.Maps.newTreeMap;
import static springfox.documentation.schema.Maps.isMapType;
import static springfox.documentation.swagger2.mappers.Properties.property;
import com.google.common.base.Function;
import java.util.HashMap;
import com.google.common.base.Optional;
import java.util.Map;
import com.google.common.base.Predicate;
import java.util.TreeMap;
import com.google.common.collect.FluentIterable;
import org.mapstruct.Mapper;</t>
  </si>
  <si>
    <t xml:space="preserve">
package springfox.documentation.swagger2.mappers;
import static com.google.common.collect.Maps.newHashMap;
import com.fasterxml.classmate.ResolvedType;
import com.fasterxml.classmate.types.ResolvedInterfaceType;
import static com.google.common.collect.Maps.newTreeMap;
import static springfox.documentation.schema.Maps.isMapType;
import static springfox.documentation.swagger2.mappers.Properties.property;
import java.util.HashMap;
import java.util.Map;
import java.util.TreeMap;
import org.mapstruct.Mapper;
import com.google.common.base.Function;</t>
  </si>
  <si>
    <t xml:space="preserve">
&lt;&lt;&lt;&lt;&lt;&lt;&lt; ../springfox/06591ff0678b0d7f99cb2f5e086646cc12c1a5c9/left/springfox-swagger2/src/main/java/springfox/documentation/swagger2/mappers/ModelMapper.java
import com.fasterxml.classmate.ResolvedType;
import com.fasterxml.classmate.types.ResolvedInterfaceType;
||||||| ../springfox/06591ff0678b0d7f99cb2f5e086646cc12c1a5c9/base/springfox-swagger2/src/main/java/springfox/documentation/swagger2/mappers/ModelMapper.java
=======
import static com.google.common.collect.Maps.newHashMap;
import static com.google.common.collect.Maps.newTreeMap;
import static springfox.documentation.schema.Maps.isMapType;
import static springfox.documentation.swagger2.mappers.Properties.property;
import java.util.HashMap;
import java.util.Map;
import java.util.TreeMap;
import org.mapstruct.Mapper;
&gt;&gt;&gt;&gt;&gt;&gt;&gt; ../springfox/06591ff0678b0d7f99cb2f5e086646cc12c1a5c9/right/springfox-swagger2/src/main/java/springfox/documentation/swagger2/mappers/ModelMapper.java</t>
  </si>
  <si>
    <t>https://github.com/JesusFreke/smali</t>
  </si>
  <si>
    <t>smali</t>
  </si>
  <si>
    <t>3735d4778fdfc6e544650f1e3ced82606fb34e81</t>
  </si>
  <si>
    <t>442ebd28937d4e6dbe49e3e615d39bb3579b0b9b</t>
  </si>
  <si>
    <t>7079014a29869e1bac22226681de3471b6dc11b5</t>
  </si>
  <si>
    <t>93100e57b271cb408ec4d4247493f1336425662a</t>
  </si>
  <si>
    <t xml:space="preserve">
@@ -104,12 +104,12 @@ subprojects {
                 antlr_runtime: 'org.antlr:antlr-runtime:3.5.2',
                 antlr: 'org.antlr:antlr:3.5.2',
                 stringtemplate: 'org.antlr:stringtemplate:3.2.1',
-                commons_cli: 'commons-cli:commons-cli:1.2',
                 jflex: 'de.jflex:jflex:1.4.3',
                 jflex_plugin: 'co.tomlee.gradle.plugins:gradle-jflex-plugin:0.0.2',
                 proguard_gradle: 'net.sf.proguard:proguard-gradle:5.2.1',
                 dx: 'com.google.android.tools:dx:1.7',
-                gson: 'com.google.code.gson:gson:2.3.1'
+                gson: 'com.google.code.gson:gson:2.3.1',
+                jcommander: 'com.beust:jcommander:1.48'
          ]</t>
  </si>
  <si>
    <t xml:space="preserve">
@@ -105,8 +105,7 @@ subprojects {
                 antlr: 'org.antlr:antlr:3.5.2',
                 stringtemplate: 'org.antlr:stringtemplate:3.2.1',
                 commons_cli: 'commons-cli:commons-cli:1.2',
-                jflex: 'de.jflex:jflex:1.4.3',
-                jflex_plugin: 'co.tomlee.gradle.plugins:gradle-jflex-plugin:0.0.2',
+                jflex_plugin: 'org.xbib.gradle.plugin:gradle-plugin-jflex:1.1.0',
                 proguard_gradle: 'net.sf.proguard:proguard-gradle:5.2.1',
                 dx: 'com.google.android.tools:dx:1.7',
                 gson: 'com.google.code.gson:gson:2.3.1'
@@ -197,5 +196,5 @@ buildscript {</t>
  </si>
  <si>
    <t xml:space="preserve">
                stringtemplate: 'org.antlr:stringtemplate:3.2.1',
&lt;&lt;&lt;&lt;&lt;&lt;&lt; HEAD
                jflex: 'de.jflex:jflex:1.4.3',
                jflex_plugin: 'co.tomlee.gradle.plugins:gradle-jflex-plugin:0.0.2',
=======
                commons_cli: 'commons-cli:commons-cli:1.2',
                jflex_plugin: 'org.xbib.gradle.plugin:gradle-plugin-jflex:1.1.0',
&gt;&gt;&gt;&gt;&gt;&gt;&gt; 7079014a29869e1bac22226681de3471b6dc11b5</t>
  </si>
  <si>
    <t xml:space="preserve">
@@ -104,12 +104,11 @@ subprojects {
                 antlr_runtime: 'org.antlr:antlr-runtime:3.5.2',
                 antlr: 'org.antlr:antlr:3.5.2',
                 stringtemplate: 'org.antlr:stringtemplate:3.2.1',
-                commons_cli: 'commons-cli:commons-cli:1.2',
-                jflex: 'de.jflex:jflex:1.4.3',
-                jflex_plugin: 'co.tomlee.gradle.plugins:gradle-jflex-plugin:0.0.2',
+                jflex_plugin: 'org.xbib.gradle.plugin:gradle-plugin-jflex:1.1.0',
                 proguard_gradle: 'net.sf.proguard:proguard-gradle:5.2.1',
                 dx: 'com.google.android.tools:dx:1.7',
-                gson: 'com.google.code.gson:gson:2.3.1'
+                gson: 'com.google.code.gson:gson:2.3.1',
+                jcommander: 'com.beust:jcommander:1.48'
          ]</t>
  </si>
  <si>
    <t>D + D U</t>
  </si>
  <si>
    <t xml:space="preserve">
                antlr: 'org.antlr:antlr:3.5.2',
                stringtemplate: 'org.antlr:stringtemplate:3.2.1',
                jflex_plugin: 'org.xbib.gradle.plugin:gradle-plugin-jflex:1.1.0',
                proguard_gradle: 'net.sf.proguard:proguard-gradle:5.2.1',</t>
  </si>
  <si>
    <t>https://github.com/hibernate/hibernate-orm</t>
  </si>
  <si>
    <t>hibernate-orm</t>
  </si>
  <si>
    <t>9ba18b8c5d1a55b6637dda5e6b3e7e5d605f14d2</t>
  </si>
  <si>
    <t>843813cd5a74c4d1a3c9e2f19fbc66e350ce7929</t>
  </si>
  <si>
    <t>629f847b7ceeb1874a81436ea3548c6a2e0aee71</t>
  </si>
  <si>
    <t>180656e9f37f49cbdf55bdbdd667439e73fe4d5f</t>
  </si>
  <si>
    <t>hibernate-core/src/main/java/org/hibernate/query/criteria/internal/expression/LiteralExpression.java</t>
  </si>
  <si>
    <t xml:space="preserve">
--- a/hibernate-core/src/main/java/org/hibernate/query/criteria/internal/expression/LiteralExpression.java
+++ /dev/null
</t>
  </si>
  <si>
    <t xml:space="preserve">
--- a/hibernate-core/src/main/java/org/hibernate/query/criteria/internal/expression/LiteralExpression.java
+++ b/hibernate-core/src/main/java/org/hibernate/query/criteria/internal/expression/LiteralExpression.java
@@ -110,6 +110,11 @@ public class LiteralExpression&lt;T&gt; extends ExpressionImpl&lt;T&gt; implements Serializa
 	}
 	private String renderProjection(RenderingContext renderingContext) {
+		if ( ValueHandlerFactory.isCharacter( literal ) ) {
+			// In case literal is a Character, pass literal.toString() as the argument.
+			return renderingContext.getDialect().inlineLiteral( literal.toString() );
+		}
+
 		// some drivers/servers do not like parameters in the select clause
 		final ValueHandlerFactory.ValueHandler handler =
 				ValueHandlerFactory.determineAppropriateHandler( literal.getClass() );
@@ -117,10 +122,6 @@ public class LiteralExpression&lt;T&gt; extends ExpressionImpl&lt;T&gt; implements Serializa
 		if ( handler == null ) {
 			return normalRender( renderingContext, LiteralHandlingMode.BIND );
 		}
-
-		if ( ValueHandlerFactory.isCharacter( literal ) ) {
-			return renderingContext.getDialect().inlineLiteral( handler.render( literal ) );
-		}
 		else {
 			return handler.render( literal );
 		}</t>
  </si>
  <si>
    <t xml:space="preserve">
CONFLICT (modify/delete): hibernate-core/src/main/java/org/hibernate/query/criteria/internal/expression/LiteralExpression.java deleted in HEAD and modified in 629f847b7ceeb1874a81436ea3548c6a2e0aee71. Version 629f847b7ceeb1874a81436ea3548c6a2e0aee71 of hibernate-core/src/main/java/org/hibernate/query/criteria/internal/expression/LiteralExpression.java left in tree.</t>
  </si>
  <si>
    <t>D vs. U(file)</t>
  </si>
  <si>
    <t xml:space="preserve">
/*
 * Hibernate, Relational Persistence for Idiomatic Java
 *
 * License: GNU Lesser General Public License (LGPL), version 2.1 or later.
 * See the lgpl.txt file in the root directory or &lt;http://www.gnu.org/licenses/lgpl-2.1.html&gt;.
 */
package org.hibernate.query.criteria.internal.expression; 
import java.io.Serializable; 
import org.hibernate.internal.util.StringHelper; 
import org.hibernate.query.criteria.LiteralHandlingMode; 
import org.hibernate.query.criteria.internal.CriteriaBuilderImpl; 
import org.hibernate.query.criteria.internal.ParameterRegistry; 
import org.hibernate.query.criteria.internal.ValueHandlerFactory; 
import org.hibernate.query.criteria.internal.ValueHandlerFactory.ValueHandler; 
import org.hibernate.query.criteria.internal.compile.RenderingContext; 
/**
 * Represents a literal expression.
 *
 * @author Steve Ebersole
 */
  class  LiteralExpression &lt;T&gt;  extends ExpressionImpl&lt;T&gt;   {
	&lt;&lt;&lt;&lt;&lt;&lt;&lt; /home/ppp/Research_Projects/Merge_Conflicts/Resource/workspace/result/merge/fstmerge_tmp1647923827333/fstmerge_var1_2738756831422405954
=======
private String renderProjection(RenderingContext renderingContext) {
		if ( ValueHandlerFactory.isCharacter( literal ) ) {
			// In case literal is a Character, pass literal.toString() as the argument.
			return renderingContext.getDialect().inlineLiteral( literal.toString() );
		}
		// some drivers/servers do not like parameters in the select clause
		final ValueHandlerFactory.ValueHandler handler =
				ValueHandlerFactory.determineAppropriateHandler( literal.getClass() );
		if ( handler == null ) {
			return normalRender( renderingContext, LiteralHandlingMode.BIND );
		}
		else {
			return handler.render( literal );
		}
	}
&gt;&gt;&gt;&gt;&gt;&gt;&gt; /home/ppp/Research_Projects/Merge_Conflicts/Resource/workspace/result/merge/fstmerge_tmp1647923827333/fstmerge_var2_1093417347275772686
}</t>
  </si>
  <si>
    <t>https://github.com/orientechnologies/orientdb</t>
  </si>
  <si>
    <t>orientdb</t>
  </si>
  <si>
    <t>501dac7919b0c0532b7849a010da46f7628fb2da</t>
  </si>
  <si>
    <t>bdb71f8613ce170f3475b36f4cb714d625d12b07</t>
  </si>
  <si>
    <t>28de7477e08f93d2d413e98e63ff5ca15ae8214c</t>
  </si>
  <si>
    <t>015cf02bab03f6745be2618b0edb5e3d23e31034</t>
  </si>
  <si>
    <t>core/src/main/java/com/orientechnologies/orient/core/config/OGlobalConfiguration.java</t>
  </si>
  <si>
    <t xml:space="preserve">
-package com.orientechnologies.orient.core.config;
-
-import java.io.PrintStream;
-import java.lang.management.OperatingSystemMXBean;
-import java.util.Map;
-import java.util.Map.Entry;
-import java.util.logging.ConsoleHandler;
-import java.util.logging.FileHandler;
-import java.util.logging.Level;
…
+package com.orientechnologies.orient.core.config;
+
+import java.io.PrintStream;
+import java.lang.management.OperatingSystemMXBean;
+import java.util.Map;
+import java.util.Map.Entry;
+import java.util.logging.ConsoleHandler;
+import java.util.logging.FileHandler;
+import java.util.logging.Level;
+
+import com.orientechnologies.common.io.OFileUtils;
+import com.orientechnologies.common.log.OLogManager;
+import com.orientechnologies.orient.core.OConstants;
+import com.orientechnologies.orient.core.Orient;
+import com.orientechnologies.orient.core.cache.ODefaultCache;
+import com.orientechnologies.orient.core.metadata.OMetadataDefault;
+import com.orientechnologies.orient.core.storage.fs.OMMapManagerOld;</t>
  </si>
  <si>
    <t xml:space="preserve">
-package com.orientechnologies.orient.core.config;
-
-import java.io.PrintStream;
-import java.lang.management.OperatingSystemMXBean;
-import java.util.Map;
-import java.util.Map.Entry;
-import java.util.logging.ConsoleHandler;
-import java.util.logging.FileHandler;
-import java.util.logging.Level;
…
+package com.orientechnologies.orient.core.config;
+
+import com.orientechnologies.common.io.OFileUtils;
+import com.orientechnologies.common.log.OLogManager;
+import com.orientechnologies.orient.core.OConstants;
+import com.orientechnologies.orient.core.Orient;
+import com.orientechnologies.orient.core.cache.ODefaultCache;
+import com.orientechnologies.orient.core.metadata.OMetadataDefault;
+import com.orientechnologies.orient.core.storage.fs.OMMapManagerOld;
+
+import java.io.PrintStream;
+import java.lang.management.OperatingSystemMXBean;
+import java.util.Map;
+import java.util.Map.Entry;
+import java.util.logging.ConsoleHandler;
+import java.util.logging.FileHandler;
+import java.util.logging.Level;</t>
  </si>
  <si>
    <t xml:space="preserve">
&lt;&lt;&lt;&lt;&lt;&lt;&lt; HEAD
import java.io.PrintStream;
import java.lang.management.OperatingSystemMXBean;
import java.util.Map;
import java.util.Map.Entry;
import java.util.logging.ConsoleHandler;
import java.util.logging.FileHandler;
import java.util.logging.Level;
=======
&gt;&gt;&gt;&gt;&gt;&gt;&gt; 28de7477e08f93d2d413e98e63ff5ca15ae8214c
import com.orientechnologies.common.io.OFileUtils;
import com.orientechnologies.common.log.OLogManager;
import com.orientechnologies.orient.core.OConstants;
import com.orientechnologies.orient.core.Orient;
import com.orientechnologies.orient.core.cache.ODefaultCache;
import com.orientechnologies.orient.core.metadata.OMetadataDefault;
import com.orientechnologies.orient.core.storage.fs.OMMapManagerOld;
&lt;&lt;&lt;&lt;&lt;&lt;&lt; HEAD
=======
import java.io.PrintStream;
import java.lang.management.OperatingSystemMXBean;
import java.util.Map;
import java.util.Map.Entry;
import java.util.logging.ConsoleHandler;
import java.util.logging.FileHandler;
import java.util.logging.Level;</t>
  </si>
  <si>
    <t>I vs. I(import)
(format difference, different sequence)
Origin(U vs. U )</t>
  </si>
  <si>
    <t xml:space="preserve">
package com.orientechnologies.orient.core.config;
import java.io.PrintStream;
import com.orientechnologies.common.io.OFileUtils;
import java.lang.management.OperatingSystemMXBean;
import com.orientechnologies.common.log.OLogManager;
import java.util.Map;
import com.orientechnologies.orient.core.OConstants;
import java.util.Map.Entry;
import com.orientechnologies.orient.core.Orient;
import java.util.logging.ConsoleHandler;
import com.orientechnologies.orient.core.cache.ODefaultCache;
import java.util.logging.FileHandler;
import com.orientechnologies.orient.core.metadata.OMetadataDefault;
import java.util.logging.Level;
import com.orientechnologies.orient.core.storage.fs.OMMapManagerOld;</t>
  </si>
  <si>
    <t>same content with left and right but in different order</t>
  </si>
  <si>
    <t xml:space="preserve">
package com.orientechnologies.orient.core.config;
import com.orientechnologies.common.io.OFileUtils;
import com.orientechnologies.common.log.OLogManager;
import com.orientechnologies.orient.core.OConstants;
import com.orientechnologies.orient.core.Orient;
import com.orientechnologies.orient.core.cache.ODefaultCache;
import com.orientechnologies.orient.core.metadata.OMetadataDefault;
import com.orientechnologies.orient.core.storage.fs.OMMapManagerOld;
import java.io.PrintStream;
import java.lang.management.OperatingSystemMXBean;
import java.util.Map;
import java.util.Map.Entry;
import java.util.logging.ConsoleHandler;
import java.util.logging.FileHandler;
import java.util.logging.Level;</t>
  </si>
  <si>
    <t>line end style conflict</t>
  </si>
  <si>
    <t>https://github.com/bingoogolapple/BGARefreshLayout-Android</t>
  </si>
  <si>
    <t>BGARefreshLayout-Android</t>
  </si>
  <si>
    <t>3d121bab4a6de53a525e264fc89b56e955414e43</t>
  </si>
  <si>
    <t>2a6cbb91dd762522153d1a531a25f410b3f149f2</t>
  </si>
  <si>
    <t>88bdd1fe149c82f4356fe7810446d55139316c60</t>
  </si>
  <si>
    <t>657c732198aa8ba918b5149ef7e5c8eed207f68c</t>
  </si>
  <si>
    <t>demo/src/main/java/cn/bingoogolapple/refreshlayout/demo/ui/fragment/RefreshRecyclerViewFragment.java</t>
  </si>
  <si>
    <t xml:space="preserve">
@@ -96,10 +95,12 @@ public class RefreshRecyclerViewFragment extends BaseFragment implements BGARefr
         }, 2000);
         mRefreshLayout.setCustomHeaderView(headerView, true);
-        BGAStickinessRefreshViewHolder stickinessRefreshViewHolder = new BGAStickinessRefreshViewHolder(mApp, true);
-        stickinessRefreshViewHolder.setStickinessColor(Color.parseColor("#11cd6e"));
-        stickinessRefreshViewHolder.setRotateDrawable(getResources().getDrawable(R.mipmap.custom_stickiness_roate));
-        mRefreshLayout.setRefreshViewHolder(stickinessRefreshViewHolder);
+//        BGAStickinessRefreshViewHolder stickinessRefreshViewHolder = new BGAStickinessRefreshViewHolder(mApp, true);
+//        stickinessRefreshViewHolder.setStickinessColor(Color.parseColor("#11cd6e"));
+//        stickinessRefreshViewHolder.setRotateDrawable(getResources().getDrawable(R.mipmap.custom_stickiness_roate));
+//        mRefreshLayout.setRefreshViewHolder(stickinessRefreshViewHolder);
+
+        mRefreshLayout.setRefreshViewHolder(new BGAMoocStyleRefreshViewHolder(mApp, true));
</t>
  </si>
  <si>
    <t xml:space="preserve">
@@ -97,8 +96,8 @@ public class RefreshRecyclerViewFragment extends BaseFragment implements BGARefr
         mRefreshLayout.setCustomHeaderView(headerView, true);
         BGAStickinessRefreshViewHolder stickinessRefreshViewHolder = new BGAStickinessRefreshViewHolder(mApp, true);
-        stickinessRefreshViewHolder.setStickinessColor(Color.parseColor("#11cd6e"));
-        stickinessRefreshViewHolder.setRotateDrawable(getResources().getDrawable(R.mipmap.custom_stickiness_roate));
+        stickinessRefreshViewHolder.setStickinessColor(R.color.custom_stickiness);
+        stickinessRefreshViewHolder.setRotateImage(R.mipmap.custom_stickiness_roate);
         mRefreshLayout.setRefreshViewHolder(stickinessRefreshViewHolder);
 </t>
  </si>
  <si>
    <t xml:space="preserve">
&lt;&lt;&lt;&lt;&lt;&lt;&lt; HEAD
//        BGAStickinessRefreshViewHolder stickinessRefreshViewHolder = new BGAStickinessRefreshViewHolder(mApp, true);
//        stickinessRefreshViewHolder.setStickinessColor(Color.parseColor("#11cd6e"));
//        stickinessRefreshViewHolder.setRotateDrawable(getResources().getDrawable(R.mipmap.custom_stickiness_roate));
//        mRefreshLayout.setRefreshViewHolder(stickinessRefreshViewHolder);
        mRefreshLayout.setRefreshViewHolder(new BGAMoocStyleRefreshViewHolder(mApp, true));
=======
        BGAStickinessRefreshViewHolder stickinessRefreshViewHolder = new BGAStickinessRefreshViewHolder(mApp, true);
        stickinessRefreshViewHolder.setStickinessColor(R.color.custom_stickiness);
        stickinessRefreshViewHolder.setRotateImage(R.mipmap.custom_stickiness_roate);
        mRefreshLayout.setRefreshViewHolder(stickinessRefreshViewHolder);
&gt;&gt;&gt;&gt;&gt;&gt;&gt; 88bdd1fe149c82f4356fe7810446d55139316c60
</t>
  </si>
  <si>
    <t>U I vs. U (Java code)</t>
  </si>
  <si>
    <t xml:space="preserve">
        mRefreshLayout.setCustomHeaderView(headerView, true);
&lt;&lt;&lt;&lt;&lt;&lt;&lt; .../FSTMerge/fstmerge_tmp1647880674037/fstmerge_var1_7763570994416838103
//        BGAStickinessRefreshViewHolder stickinessRefreshViewHolder = new BGAStickinessRefreshViewHolder(mApp, true);
//        stickinessRefreshViewHolder.setStickinessColor(Color.parseColor("#11cd6e"));
//        stickinessRefreshViewHolder.setRotateDrawable(getResources().getDrawable(R.mipmap.custom_stickiness_roate));
//        mRefreshLayout.setRefreshViewHolder(stickinessRefreshViewHolder);
        mRefreshLayout.setRefreshViewHolder(new BGAMoocStyleRefreshViewHolder(mApp, true));
=======
        BGAStickinessRefreshViewHolder stickinessRefreshViewHolder = new BGAStickinessRefreshViewHolder(mApp, true);
        stickinessRefreshViewHolder.setStickinessColor(R.color.custom_stickiness);
        stickinessRefreshViewHolder.setRotateImage(R.mipmap.custom_stickiness_roate);
        mRefreshLayout.setRefreshViewHolder(stickinessRefreshViewHolder);
&gt;&gt;&gt;&gt;&gt;&gt;&gt; .../FSTMerge/fstmerge_tmp1647880674037/fstmerge_var2_4124463306859900137
</t>
  </si>
  <si>
    <t xml:space="preserve">
&lt;&lt;&lt;&lt;&lt;&lt;&lt; Unknown file: This is a bug in JDime.
=======
    stickinessRefreshViewHolder.setStickinessColor(R.color.custom_stickiness);
&gt;&gt;&gt;&gt;&gt;&gt;&gt; .../right/demo/src/main/java/cn/bingoogolapple/refreshlayout/demo/ui/fragment/RefreshRecyclerViewFragment.java
&lt;&lt;&lt;&lt;&lt;&lt;&lt; Unknown file: This is a bug in JDime.
=======
    stickinessRefreshViewHolder.setRotateImage(R.mipmap.custom_stickiness_roate);
&gt;&gt;&gt;&gt;&gt;&gt;&gt; .../right/demo/src/main/java/cn/bingoogolapple/refreshlayout/demo/ui/fragment/RefreshRecyclerViewFragment.java
</t>
  </si>
  <si>
    <t xml:space="preserve">
&lt;&lt;&lt;&lt;&lt;&lt;&lt; ours
    //        BGAStickinessRefreshViewHolder stickinessRefreshViewHolder = new BGAStickinessRefreshViewHolder(mApp, true);
    //        stickinessRefreshViewHolder.setStickinessColor(Color.parseColor("#11cd6e"));
    //        stickinessRefreshViewHolder.setRotateDrawable(getResources().getDrawable(R.mipmap.custom_stickiness_roate));
    //        mRefreshLayout.setRefreshViewHolder(stickinessRefreshViewHolder);
        mRefreshLayout.setRefreshViewHolder(new BGAMoocStyleRefreshViewHolder(mApp, true));
=======
        BGAStickinessRefreshViewHolder stickinessRefreshViewHolder = new BGAStickinessRefreshViewHolder(mApp, true);
        stickinessRefreshViewHolder.setStickinessColor(R.color.custom_stickiness);
        stickinessRefreshViewHolder.setRotateImage(R.mipmap.custom_stickiness_roate);
        mRefreshLayout.setRefreshViewHolder(stickinessRefreshViewHolder);
&gt;&gt;&gt;&gt;&gt;&gt;&gt; theirs
 </t>
  </si>
  <si>
    <t xml:space="preserve">
    mRefreshLayout.setCustomHeaderView(headerView, true);
    mRefreshLayout.setRefreshViewHolder(new BGAMoocStyleRefreshViewHolder(mApp, true));
    mDataRv.addItemDecoration(new Divider(mApp));
    mDataRv.setLayoutManager(new LinearLayoutManager(mApp, LinearLayoutManager.VERTICAL, false));
    mDataRv.setAdapter(mAdapter);</t>
  </si>
  <si>
    <t>only left but omit comment</t>
  </si>
  <si>
    <t xml:space="preserve">
&lt;&lt;&lt;&lt;&lt;&lt;&lt; ..BGARefreshLayout-Android/3d121bab4a6de53a525e264fc89b56e955414e43/left/demo/src/main/java/cn/bingoogolapple/refreshlayout/demo/ui/fragment/RefreshRecyclerViewFragment.java
//        stickinessRefreshViewHolder.setStickinessColor(Color.parseColor("#11cd6e"));
//        stickinessRefreshViewHolder.setRotateDrawable(getResources().getDrawable(R.mipmap.custom_stickiness_roate));
||||||| ..BGARefreshLayout-Android/3d121bab4a6de53a525e264fc89b56e955414e43/base/demo/src/main/java/cn/bingoogolapple/refreshlayout/demo/ui/fragment/RefreshRecyclerViewFragment.java
        stickinessRefreshViewHolder.setStickinessColor(Color.parseColor("#11cd6e"));
        stickinessRefreshViewHolder.setRotateDrawable(getResources().getDrawable(R.mipmap.custom_stickiness_roate));
=======
        stickinessRefreshViewHolder.setStickinessColor(R.color.custom_stickiness);
        stickinessRefreshViewHolder.setRotateImage(R.mipmap.custom_stickiness_roate);
&gt;&gt;&gt;&gt;&gt;&gt;&gt; ..BGARefreshLayout-Android/3d121bab4a6de53a525e264fc89b56e955414e43/right/demo/src/main/java/cn/bingoogolapple/refreshlayout/demo/ui/fragment/RefreshRecyclerViewFragment.java</t>
  </si>
  <si>
    <t>https://github.com/graphql-java/graphql-java</t>
  </si>
  <si>
    <t>graphql-java</t>
  </si>
  <si>
    <t>4cfd6281dafe275dd8d84b2d00496625a4adf536</t>
  </si>
  <si>
    <t>68a157aa7b9d3b2c4dc6e6f5a82874b815cabcda</t>
  </si>
  <si>
    <t>07199a34fb3455f9046d83ffd9cb39fd197fa8f5</t>
  </si>
  <si>
    <t>0c44b100c47d64416e0ea01aacdc4960073c68b7</t>
  </si>
  <si>
    <t>src/main/java/graphql/execution/batched/BatchedExecutionStrategy.java</t>
  </si>
  <si>
    <t xml:space="preserve">
- * &lt;p/&gt;
+ * &lt;/p&gt;
  * Normal DataFetchers can be used, however they will not see benefits of batching as they expect a single source object
  * at a time.
  */</t>
  </si>
  <si>
    <t xml:space="preserve">
- * &lt;p/&gt;
+ * &lt;p&gt;
  * Normal DataFetchers can be used, however they will not see benefits of batching as they expect a single source object
  * at a time.</t>
  </si>
  <si>
    <t xml:space="preserve">
&lt;&lt;&lt;&lt;&lt;&lt;&lt; HEAD
 * &lt;/p&gt;
=======
 * &lt;p&gt;
&gt;&gt;&gt;&gt;&gt;&gt;&gt; 07199a34fb3455f9046d83ffd9cb39fd197fa8f5</t>
  </si>
  <si>
    <t xml:space="preserve">
@@ -19,9 +19,9 @@ import static java.util.Collections.singletonList;
  * Execution Strategy that minimizes calls to the data fetcher when used in conjunction with {@link DataFetcher}s that have
  * {@link DataFetcher#get(DataFetchingEnvironment)} methods annotated with {@link Batched}. See the javadoc comment on
  * {@link Batched} for a more detailed description of batched data fetchers.
- * &lt;p/&gt;
+ * &lt;p&gt;
  * The strategy runs a BFS over terms of the query and passes a list of all the relevant sources to the batched data fetcher.
- * &lt;p/&gt;
+ * &lt;/p&gt;
  * Normal DataFetchers can be used, however they will not see benefits of batching as they expect a single source object
  * at a time.
  */</t>
  </si>
  <si>
    <t>U vs. U (Javadoc)</t>
  </si>
  <si>
    <t xml:space="preserve">
 * &lt;/p&gt;
 * Normal DataFetchers can be used, however they will not see benefits of batching as they expect a single source object
 * at a time.
 */</t>
  </si>
  <si>
    <t xml:space="preserve">
 * &lt;p&gt;
 * The strategy runs a BFS over terms of the query and passes a list of all the relevant sources to the batched data fetcher.
&lt;&lt;&lt;&lt;&lt;&lt;&lt; ours
 * &lt;/p&gt;
=======
 * &lt;p&gt;
&gt;&gt;&gt;&gt;&gt;&gt;&gt; theirs</t>
  </si>
  <si>
    <t xml:space="preserve">
&lt;&lt;&lt;&lt;&lt;&lt;&lt; ..graphql-java/4cfd6281dafe275dd8d84b2d00496625a4adf536/left/src/main/java/graphql/execution/batched/BatchedExecutionStrategy.java
 * &lt;/p&gt;
||||||| ..graphql-java/4cfd6281dafe275dd8d84b2d00496625a4adf536/base/src/main/java/graphql/execution/batched/BatchedExecutionStrategy.java
 * &lt;p/&gt;
=======
 * &lt;p&gt;
&gt;&gt;&gt;&gt;&gt;&gt;&gt; ..graphql-java/4cfd6281dafe275dd8d84b2d00496625a4adf536/right/src/main/java/graphql/execution/batched/</t>
  </si>
  <si>
    <t>https://github.com/spring-projects/spring-security-oauth</t>
  </si>
  <si>
    <t>spring-security-oauth</t>
  </si>
  <si>
    <t>894b9ced1df89145edf30d5d4a2b0354c3ffb3b6</t>
  </si>
  <si>
    <t>7917469bd18305056d2bac530354011c87672d43</t>
  </si>
  <si>
    <t>eedafce93183690940d3d1793f67a2b5fac50471</t>
  </si>
  <si>
    <t>bc0b4e429334d52e678fc0d97f48683b43488fe5</t>
  </si>
  <si>
    <t>spring-security-oauth2/src/test/resources/org/springframework/security/oauth2/config/xml/ResourceBeanDefinitionParserTests-context.xml</t>
  </si>
  <si>
    <t xml:space="preserve">
-        &lt;oauth:resource id="three" client-id="my-client-id" pre-established-redirect-uri="http://anywhere.com"
+        &lt;oauth:resource id="three" client-id="my-client-id" pre-established-redirect-uri="https://anywhere.com"
                 access-token-uri="http://somewhere.com" user-authorization-uri="http://somewhere.com" scope="none,some" type="authorization_code"
                 use-current-uri="false" /&gt;
-        &lt;oauth:resource id="four" client-id="my-client-id" pre-established-redirect-uri="http://anywhere.com"
+        &lt;oauth:resource id="four" client-id="my-client-id" pre-established-redirect-uri="https://anywhere.com"
                 user-authorization-uri="http://somewhere.com" scope="none,some" type="implicit" /&gt;</t>
  </si>
  <si>
    <t xml:space="preserve">
-        &lt;oauth:resource id="three" client-id="my-client-id" pre-established-redirect-uri="http://anywhere.com"
-                access-token-uri="http://somewhere.com" user-authorization-uri="http://somewhere.com" scope="none,some" type="authorization_code"
+        &lt;oauth:resource id="three" client-id="my-client-id" pre-established-redirect-uri="https://anywhere.com"
+                access-token-uri="https://somewhere.com" user-authorization-uri="https://somewhere.com" scope="none,some" type="authorization_code"
                 use-current-uri="false" /&gt;
-        &lt;oauth:resource id="four" client-id="my-client-id" pre-established-redirect-uri="http://anywhere.com"
-                user-authorization-uri="http://somewhere.com" scope="none,some" type="implicit" /&gt;
+        &lt;oauth:resource id="four" client-id="my-client-id" pre-established-redirect-uri="https://anywhere.com"
+                user-authorization-uri="https://somewhere.com" scope="none,some" type="implicit" /&gt;
</t>
  </si>
  <si>
    <t xml:space="preserve">
&lt;&lt;&lt;&lt;&lt;&lt;&lt; HEAD
                access-token-uri="http://somewhere.com" user-authorization-uri="http://somewhere.com" scope="none,some" type="authorization_code"
                use-current-uri="false" /&gt;
        &lt;oauth:resource id="four" client-id="my-client-id" pre-established-redirect-uri="https://anywhere.com"
                user-authorization-uri="http://somewhere.com" scope="none,some" type="implicit" /&gt;
=======
                access-token-uri="https://somewhere.com" user-authorization-uri="https://somewhere.com" scope="none,some" type="authorization_code"
                use-current-uri="false" /&gt;
        &lt;oauth:resource id="four" client-id="my-client-id" pre-established-redirect-uri="https://anywhere.com"
                user-authorization-uri="https://somewhere.com" scope="none,some" type="implicit" /&gt;
&gt;&gt;&gt;&gt;&gt;&gt;&gt; eedafce93183690940d3d1793f67a2b5fac50471</t>
  </si>
  <si>
    <t xml:space="preserve">
-	&lt;oauth:resource id="three" client-id="my-client-id" pre-established-redirect-uri="http://anywhere.com"
-		access-token-uri="http://somewhere.com" user-authorization-uri="http://somewhere.com" scope="none,some" type="authorization_code"
+	&lt;oauth:resource id="three" client-id="my-client-id" pre-established-redirect-uri="https://anywhere.com"
+		access-token-uri="https://somewhere.com" user-authorization-uri="https://somewhere.com" scope="none,some" type="authorization_code"
 		use-current-uri="false" /&gt;
-	&lt;oauth:resource id="four" client-id="my-client-id" pre-established-redirect-uri="http://anywhere.com"
-		user-authorization-uri="http://somewhere.com" scope="none,some" type="implicit" /&gt;
+	&lt;oauth:resource id="four" client-id="my-client-id" pre-established-redirect-uri="https://anywhere.com"
+		user-authorization-uri="https://somewhere.com" scope="none,some" type="implicit" /&gt;</t>
  </si>
  <si>
    <t>U vs. U (L change one http to https, R change two)</t>
  </si>
  <si>
    <t xml:space="preserve">only Right </t>
  </si>
  <si>
    <t xml:space="preserve">
&lt;?xml version="1.0" encoding="UTF-8"?&gt;
&lt;beans xmlns="http://www.springframework.org/schema/beans" xmlns:oauth="http://www.springframework.org/schema/security/oauth2" xmlns:xsi="http://www.w3.org/2001/XMLSchema-instance" xsi:schemaLocation="http://www.springframework.org/schema/security/oauth2 https://www.springframework.org/schema/security/spring-security-oauth2-2.0.xsd   http://www.springframework.org/schema/beans https://www.springframework.org/schema/beans/spring-beans-3.0.xsd"&gt;
   &lt;bean class="org.springframework.beans.factory.config.PropertyPlaceholderConfigurer"&gt;
      &lt;property name="properties"&gt;
         &lt;value&gt;my.client.id=my-client-id-property-file
				my.client.secret=my-client-secret-property-file
				access.token.uri=https://myhost.com
				my.client.scopes=none,all&lt;/value&gt;
      &lt;/property&gt;
   &lt;/bean&gt;
   &lt;oauth:resource access-token-uri="http://somewhere.com" client-id="my-client-id-non-property-file" client-secret="my-client-secret-non-property-file" id="one" scope="none,some" /&gt;
   &lt;oauth:resource access-token-uri="${access.token.uri}" client-id="${my.client.id}" client-secret="${my.client.secret}" id="two" scope="${my.client.scopes}" /&gt;
   &lt;oauth:resource access-token-uri="http://somewhere.com" client-id="my-client-id" id="three" pre-established-redirect-uri="https://anywhere.com" scope="none,some" type="authorization_code" use-current-uri="false" user-authorization-uri="http://somewhere.com" /&gt;
   &lt;oauth:resource client-id="my-client-id" id="four" pre-established-redirect-uri="https://anywhere.com" scope="none,some" type="implicit" user-authorization-uri="http://somewhere.com" /&gt;
   &lt;oauth:resource access-token-uri="http://somewhere.com" client-id="my-secret-id" client-secret="secret" id="five" scope="none,some" type="client_credentials" /&gt;
   &lt;oauth:resource access-token-uri="http://somewhere.com" client-authentication-scheme="form" client-id="my-client-id" client-secret="my-client-secret-non-property-file" id="six" scope="none,some" token-name="token" type="authorization_code" use-current-uri="false" user-authorization-uri="http://somewhere.com" /&gt;
   &lt;oauth:resource access-token-uri="http://somewhere.com" client-id="my-client-id" client-secret="secret" id="seven" password="long-and-strong" scope="none,some" type="password" username="admin" /&gt;
   &lt;oauth:rest-template id="template" resource="five"&gt;
      &lt;property name="messageConverters"&gt;
         &lt;bean class="org.springframework.http.converter.StringHttpMessageConverter" /&gt;
      &lt;/property&gt;
   &lt;/oauth:rest-template&gt;
&lt;/beans&gt;
</t>
  </si>
  <si>
    <t xml:space="preserve">
        &lt;oauth:resource id="three" client-id="my-client-id" pre-established-redirect-uri="https://anywhere.com"
                access-token-uri="https://somewhere.com" user-authorization-uri="https://somewhere.com" scope="none,some" type="authorization_code"
                use-current-uri="false" /&gt;
        &lt;oauth:resource id="four" client-id="my-client-id" pre-established-redirect-uri="https://anywhere.com"
                user-authorization-uri="https://somewhere.com" scope="none,some" type="implicit" /&gt;</t>
  </si>
  <si>
    <t>https://github.com/spring-projects/spring-petclinic</t>
  </si>
  <si>
    <t>spring-petclinic</t>
  </si>
  <si>
    <t>89d0e24488af04f0c0a0d2172186d0ce2a3c3cdd</t>
  </si>
  <si>
    <t>620141da5d64dab530b06fdd200383c225f50fcf</t>
  </si>
  <si>
    <t>e5254156eca3a8461fa758f17dc5fae27e738ab5</t>
  </si>
  <si>
    <t>76a4ca330b45a73aed6ae9fcef4ca7439069318e</t>
  </si>
  <si>
    <t>src/test/java/org/springframework/samples/petclinic/web/VisitControllerTests.java</t>
  </si>
  <si>
    <t xml:space="preserve">
 import org.springframework.beans.factory.annotation.Autowired;
-import org.springframework.test.context.ActiveProfiles;
-import org.springframework.test.context.ContextConfiguration;
+import org.springframework.boot.test.autoconfigure.web.servlet.WebMvcTest;
+import org.springframework.boot.test.mock.mockito.MockBean;
+import org.springframework.samples.petclinic.model.Pet;
+import org.springframework.samples.petclinic.service.ClinicService;
 import org.springframework.test.context.junit4.SpringJUnit4ClassRunner;</t>
  </si>
  <si>
    <t xml:space="preserve">
 import org.springframework.beans.factory.annotation.Autowired;
-import org.springframework.test.context.ActiveProfiles;
+import org.springframework.samples.petclinic.model.Pet;
+import org.springframework.samples.petclinic.service.ClinicService;
 import org.springframework.test.context.ContextConfiguration;
 import org.springframework.test.context.junit4.SpringJUnit4ClassRunner;</t>
  </si>
  <si>
    <t xml:space="preserve">
import org.springframework.beans.factory.annotation.Autowired;
&lt;&lt;&lt;&lt;&lt;&lt;&lt; HEAD
import org.springframework.boot.test.autoconfigure.web.servlet.WebMvcTest;
import org.springframework.boot.test.mock.mockito.MockBean;
import org.springframework.samples.petclinic.model.Pet;
import org.springframework.samples.petclinic.service.ClinicService;
=======
import org.springframework.samples.petclinic.model.Pet;
import org.springframework.samples.petclinic.service.ClinicService;
import org.springframework.test.context.ContextConfiguration;
&gt;&gt;&gt;&gt;&gt;&gt;&gt; e5254156eca3a8461fa758f17dc5fae27e738ab5
import org.springframework.test.context.junit4.SpringJUnit4ClassRunner;</t>
  </si>
  <si>
    <t>D I vs. U I(R is subset of L)</t>
  </si>
  <si>
    <t xml:space="preserve">
import org.springframework.beans.factory.annotation.Autowired; 
import org.springframework.samples.petclinic.model.Pet; 
import org.springframework.samples.petclinic.service.ClinicService; 
import org.springframework.test.context.ContextConfiguration; 
import org.springframework.test.context.junit4.SpringJUnit4ClassRunner; 
…
import org.springframework.boot.test.autoconfigure.web.servlet.WebMvcTest; 
import org.springframework.boot.test.mock.mockito.MockBean; </t>
  </si>
  <si>
    <t>only left and keep one removed line from left</t>
  </si>
  <si>
    <t xml:space="preserve">
import org.springframework.beans.factory.annotation.Autowired;
import org.springframework.boot.test.autoconfigure.web.servlet.WebMvcTest;
import org.springframework.boot.test.mock.mockito.MockBean;
import org.springframework.samples.petclinic.model.Pet;
import org.springframework.samples.petclinic.service.ClinicService;
import org.springframework.test.context.junit4.SpringJUnit4ClassRunner;
</t>
  </si>
  <si>
    <t xml:space="preserve">
import org.springframework.beans.factory.annotation.Autowired;
import org.springframework.boot.test.autoconfigure.web.servlet.WebMvcTest;
import org.springframework.boot.test.mock.mockito.MockBean;
import org.springframework.samples.petclinic.model.Pet;
import org.springframework.samples.petclinic.service.ClinicService;
import org.springframework.test.context.ContextConfiguration;
import org.springframework.test.context.junit4.SpringJUnit4ClassRunner;</t>
  </si>
  <si>
    <t xml:space="preserve">
&lt;&lt;&lt;&lt;&lt;&lt;&lt; ../spring-petclinic/89d0e24488af04f0c0a0d2172186d0ce2a3c3cdd/left/src/test/java/org/springframework/samples/petclinic/web/VisitControllerTests.java
import org.springframework.boot.test.autoconfigure.web.servlet.WebMvcTest;
import org.springframework.boot.test.mock.mockito.MockBean;
||||||| ../spring-petclinic/89d0e24488af04f0c0a0d2172186d0ce2a3c3cdd/base/src/test/java/org/springframework/samples/petclinic/web/VisitControllerTests.java
import org.springframework.test.context.ActiveProfiles;
=======
&gt;&gt;&gt;&gt;&gt;&gt;&gt; ../spring-petclinic/89d0e24488af04f0c0a0d2172186d0ce2a3c3cdd/right/src/test/java/org/springframework/samples/petclinic/web/VisitControllerTests.java</t>
  </si>
  <si>
    <t>https://github.com/spring-cloud/spring-cloud-netflix</t>
  </si>
  <si>
    <t>spring-cloud-netflix</t>
  </si>
  <si>
    <t>8f37502c80ad198dc662d5bedb23755c3488c54f</t>
  </si>
  <si>
    <t>4fbf3d14ae8c6f0127c01119f6b36b879f6c6db0</t>
  </si>
  <si>
    <t>182951a0d5a8f440831437026471bf6167d3a037</t>
  </si>
  <si>
    <t>61d2f956e376ddf1d84a89c9db4d9d110289d8b9</t>
  </si>
  <si>
    <t>spring-cloud-netflix-zuul/src/test/java/org/springframework/cloud/netflix/zuul/web/ZuulHandlerMappingTests.java</t>
  </si>
  <si>
    <t xml:space="preserve">
--- a/spring-cloud-netflix-zuul/src/test/java/org/springframework/cloud/netflix/zuul/web/ZuulHandlerMappingTests.java
+++ /dev/null</t>
  </si>
  <si>
    <t xml:space="preserve">
@@ -1,5 +1,5 @@
 /*
- * Copyright 2013-2019 the original author or authors.
+ * Copyright 2013-2020 the original author or authors.
  *
  * Licensed under the Apache License, Version 2.0 (the "License");
  * you may not use this file except in compliance with the License.</t>
  </si>
  <si>
    <t xml:space="preserve">
CONFLICT (modify/delete): spring-cloud-netflix-zuul/src/test/java/org/springframework/cloud/netflix/zuul/web/ZuulHandlerMappingTests.java deleted in HEAD and modified in 182951a0d5a8f440831437026471bf6167d3a037. Version 182951a0d5a8f440831437026471bf6167d3a037 of spring-cloud-netflix-zuul/src/test/java/org/springframework/cloud/netflix/zuul/web/ZuulHandlerMappingTests.java left in tree.</t>
  </si>
  <si>
    <t xml:space="preserve">
/*
 * Copyright 2013-2019 the original author or authors.
 *
 * Licensed under the Apache License, Version 2.0 (the "License");
 * you may not use this file except in compliance with the License.
 * You may obtain a copy of the License at
 *
 *      https://www.apache.org/licenses/LICENSE-2.0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org.springframework.cloud.netflix.zuul.web; 
import java.util.Arrays; 
import java.util.Collections; 
import java.util.List; 
import com.netflix.zuul.context.RequestContext; 
import org.junit.Before; 
import org.junit.Test; 
import org.mockito.Mockito; 
import org.springframework.boot.web.servlet.error.ErrorController; 
import org.springframework.cloud.netflix.zuul.filters.Route; 
import org.springframework.cloud.netflix.zuul.filters.RouteLocator; 
import org.springframework.mock.web.MockHttpServletRequest; 
import static org.assertj.core.api.Assertions.assertThat; 
/**
 * @author Dave Syer
 * @author Biju Kunjummen
 */
  class  ZuulHandlerMappingTests {
}
</t>
  </si>
  <si>
    <t>empty class</t>
  </si>
  <si>
    <t>https://github.com/yasserg/crawler4j</t>
  </si>
  <si>
    <t>crawler4j</t>
  </si>
  <si>
    <t>14f4d372f3b91a5fe7e16e23890a2414091bc7ce</t>
  </si>
  <si>
    <t>793d779e5b6b1fa443ec1239fda5c91bfc1599c1</t>
  </si>
  <si>
    <t>c7f62d000621017704b20a62145cf5d2acfeea0d</t>
  </si>
  <si>
    <t>8ee91722a9f88772fe5c78942b96600cf81498bc</t>
  </si>
  <si>
    <t>crawler4j/src/test/java/edu/uci/ics/crawler4j/tests/fetcher/PageFetcherHtmlTest.java</t>
  </si>
  <si>
    <t xml:space="preserve">
@@ -1,6 +1,5 @@
 package edu.uci.ics.crawler4j.tests.fetcher;
-import java.io.IOException;
 import org.junit.Rule;</t>
  </si>
  <si>
    <t xml:space="preserve">
@@ -1,11 +1,14 @@
 package edu.uci.ics.crawler4j.tests.fetcher;
 import java.io.IOException;
+
 import org.junit.Rule;</t>
  </si>
  <si>
    <t xml:space="preserve">
&lt;&lt;&lt;&lt;&lt;&lt;&lt; HEAD
=======
import java.io.IOException;
&gt;&gt;&gt;&gt;&gt;&gt;&gt; c7f62d000621017704b20a62145cf5d2acfeea0d</t>
  </si>
  <si>
    <t xml:space="preserve">
@@ -1,14 +1,15 @@
 package edu.uci.ics.crawler4j.tests.fetcher;
-import java.io.IOException;
+
 import org.junit.Rule;</t>
  </si>
  <si>
    <t>D + I</t>
  </si>
  <si>
    <t xml:space="preserve">
package edu.uci.ics.crawler4j.examples.fetcher; 
import java.io.IOException; 
import org.junit.Rule; </t>
  </si>
  <si>
    <t xml:space="preserve">
package edu.uci.ics.crawler4j.tests.fetcher;
import org.junit.Rule;</t>
  </si>
  <si>
    <t xml:space="preserve">
package edu.uci.ics.crawler4j.tests.fetcher;
import java.io.IOException;
import org.junit.Rule;</t>
  </si>
  <si>
    <t xml:space="preserve">
package edu.uci.ics.crawler4j.tests.fetcher;
import org.junit.Rule;</t>
  </si>
  <si>
    <t>https://github.com/ffay/lanproxy</t>
  </si>
  <si>
    <t>lanproxy</t>
  </si>
  <si>
    <t>1e0cfe7542abf06498662d5723d547188e65c673</t>
  </si>
  <si>
    <t>2b43c685e954366252e425dc2c2b8ae0b3cfa0d2</t>
  </si>
  <si>
    <t>a680a6565eac57e0eb0aa27b25bd2d39efdd47ee</t>
  </si>
  <si>
    <t>945d2f821cfdb048f21a9fac4ba16f7f4baa2d23</t>
  </si>
  <si>
    <t>proxy-server/src/main/java/org/fengfei/lanproxy/server/handlers/UserChannelHandler.java</t>
  </si>
  <si>
    <t xml:space="preserve">
@@ -3,16 +3,18 @@ package org.fengfei.lanproxy.server.handlers;
 import java.net.InetSocketAddress;
 import java.util.concurrent.atomic.AtomicLong;
 ... 
 import org.fengfei.lanproxy.protocol.Constants;
 import org.fengfei.lanproxy.protocol.ProxyMessage;
 import org.fengfei.lanproxy.server.ProxyChannelManager;
 import org.fengfei.lanproxy.server.config.ProxyConfig;
 import io.netty.buffer.ByteBuf;
-import io.netty.channel.Channel;
-import io.netty.channel.ChannelHandlerContext;
-import io.netty.channel.ChannelOption;
-import io.netty.channel.SimpleChannelInboundHandler;</t>
  </si>
  <si>
    <t xml:space="preserve">
@@ -9,7 +9,9 @@ import org.fengfei.lanproxy.server.ProxyChannelManager;
 import org.fengfei.lanproxy.server.config.ProxyConfig;
 import io.netty.buffer.ByteBuf;
+import io.netty.buffer.Unpooled;
 import io.netty.channel.Channel;
+import io.netty.channel.ChannelFutureListener;
 import io.netty.channel.ChannelHandlerContext;
 import io.netty.channel.ChannelOption;
 import io.netty.channel.SimpleChannelInboundHandler;
</t>
  </si>
  <si>
    <t xml:space="preserve">
import io.netty.buffer.ByteBuf;
&lt;&lt;&lt;&lt;&lt;&lt;&lt; HEAD
=======
import io.netty.buffer.Unpooled;
import io.netty.channel.Channel;
import io.netty.channel.ChannelFutureListener;
import io.netty.channel.ChannelHandlerContext;
import io.netty.channel.ChannelOption;
import io.netty.channel.SimpleChannelInboundHandler;
&gt;&gt;&gt;&gt;&gt;&gt;&gt; a680a6565eac57e0eb0aa27b25bd2d39efdd47ee</t>
  </si>
  <si>
    <t xml:space="preserve"> 
 import io.netty.buffer.ByteBuf;
+import io.netty.buffer.Unpooled;
 import io.netty.channel.Channel;
+import io.netty.channel.ChannelFutureListener;
 import io.netty.channel.ChannelHandlerContext;
 import io.netty.channel.ChannelOption;
 import io.netty.channel.SimpleChannelInboundHandler;</t>
  </si>
  <si>
    <t>D vs. I (Java code)</t>
  </si>
  <si>
    <t xml:space="preserve">
import io.netty.buffer.ByteBuf; 
import io.netty.buffer.Unpooled; 
import io.netty.channel.Channel; 
import io.netty.channel.ChannelFutureListener; 
import io.netty.channel.ChannelHandlerContext; 
import io.netty.channel.ChannelOption; 
import io.netty.channel.SimpleChannelInboundHandler; </t>
  </si>
  <si>
    <t>keep right and insert a empty line</t>
  </si>
  <si>
    <t xml:space="preserve">
import java.net.InetSocketAddress;
import java.util.concurrent.atomic.AtomicLong;
import io.netty.buffer.Unpooled;
import org.fengfei.lanproxy.protocol.Constants;
import io.netty.channel.*;
import io.netty.handler.codec.http.DefaultFullHttpResponse;
import io.netty.handler.codec.http.FullHttpResponse;
import io.netty.handler.codec.http.HttpResponseStatus;
import io.netty.handler.codec.http.HttpVersion;
import org.fengfei.lanproxy.protocol.ProxyMessage;
import org.fengfei.lanproxy.server.ProxyChannelManager;
import org.fengfei.lanproxy.server.config.ProxyConfig;
import io.netty.buffer.ByteBuf;
import io.netty.channel.ChannelFutureListener;</t>
  </si>
  <si>
    <t xml:space="preserve">
import io.netty.buffer.ByteBuf;
import io.netty.buffer.Unpooled;
import io.netty.channel.*;
import io.netty.handler.codec.http.DefaultFullHttpResponse;
import io.netty.handler.codec.http.FullHttpResponse;
import io.netty.handler.codec.http.HttpResponseStatus;
import io.netty.handler.codec.http.HttpVersion;
import io.netty.channel.Channel;
import io.netty.channel.ChannelFutureListener;
import io.netty.channel.ChannelHandlerContext;
import io.netty.channel.ChannelOption;
import io.netty.channel.SimpleChannelInboundHandler;</t>
  </si>
  <si>
    <t xml:space="preserve">
// 该端口还没有代理客户端
&lt;&lt;&lt;&lt;&lt;&lt;&lt; ../lanproxy/1e0cfe7542abf06498662d5723d547188e65c673/left/proxy-server/src/main/java/org/fengfei/lanproxy/server/handlers/UserChannelHandler.java
            FullHttpResponse response = new DefaultFullHttpResponse(HttpVersion.HTTP_1_1, HttpResponseStatus.SERVICE_UNAVAILABLE);
||||||| ../lanproxy/1e0cfe7542abf06498662d5723d547188e65c673/base/proxy-server/src/main/java/org/fengfei/lanproxy/server/handlers/UserChannelHandler.java
            ctx.channel().close();
=======
            // ctx.channel().close();
&gt;&gt;&gt;&gt;&gt;&gt;&gt; ../lanproxy/1e0cfe7542abf06498662d5723d547188e65c673/right/proxy-server/src/main/java/org/fengfei/lanproxy/server/handlers/UserChannelHandler.java</t>
  </si>
  <si>
    <t>https://github.com/gephi/gephi</t>
  </si>
  <si>
    <t>gephi</t>
  </si>
  <si>
    <t>c4a1a81eeaf32c9c120e56cbce7469d4b7b3da9a</t>
  </si>
  <si>
    <t>72c1dea761faaa8086f998ebb51f934ade102c57</t>
  </si>
  <si>
    <t>ed59c4e6f4c84f778b2e6c27ca90c222a5095870</t>
  </si>
  <si>
    <t>8a08f8931b429becd27e0e062910d6e5178bc9fc</t>
  </si>
  <si>
    <t>modules/StatisticsPlugin/src/main/nbm/manifest.mf</t>
  </si>
  <si>
    <t xml:space="preserve">
@@ -1,6 +1,6 @@
 Manifest-Version: 1.0
 AutoUpdate-Essential-Module: true
 OpenIDE-Module-Localizing-Bundle: org/gephi/statistics/plugin/Bundle.properties
-OpenIDE-Module-Specification-Version: 0.9.1.2
+OpenIDE-Module-Specification-Version: ${gephi.modules.specification.version}
 OpenIDE-Module-Display-Category: Plugin
 OpenIDE-Module-Name: Statistics Plugin</t>
  </si>
  <si>
    <t xml:space="preserve">
@@ -1,6 +1,6 @@
 Manifest-Version: 1.0
 AutoUpdate-Essential-Module: true
 OpenIDE-Module-Localizing-Bundle: org/gephi/statistics/plugin/Bundle.properties
-OpenIDE-Module-Specification-Version: 0.9.1.2
+OpenIDE-Module-Specification-Version: 0.9.1.4
 OpenIDE-Module-Display-Category: Plugin
 OpenIDE-Module-Name: Statistics Plugin</t>
  </si>
  <si>
    <t xml:space="preserve">
Manifest-Version: 1.0
AutoUpdate-Essential-Module: true
OpenIDE-Module-Localizing-Bundle: org/gephi/statistics/plugin/Bundle.properties
&lt;&lt;&lt;&lt;&lt;&lt;&lt; HEAD
OpenIDE-Module-Specification-Version: ${gephi.modules.specification.version}
=======
OpenIDE-Module-Specification-Version: 0.9.1.4
&gt;&gt;&gt;&gt;&gt;&gt;&gt; ed59c4e6f4c84f778b2e6c27ca90c222a5095870</t>
  </si>
  <si>
    <t>U vs. U (.mf)</t>
  </si>
  <si>
    <t xml:space="preserve">
&lt;&lt;&lt;&lt;&lt;&lt;&lt; ../gephi/c4a1a81eeaf32c9c120e56cbce7469d4b7b3da9a/left/modules/StatisticsPlugin/src/main/nbm/manifest.mf
OpenIDE-Module-Specification-Version: ${gephi.modules.specification.version}
||||||| ../gephi/c4a1a81eeaf32c9c120e56cbce7469d4b7b3da9a/base/modules/StatisticsPlugin/src/main/nbm/manifest.mf
OpenIDE-Module-Specification-Version: 0.9.1.2
=======
OpenIDE-Module-Specification-Version: 0.9.1.4
&gt;&gt;&gt;&gt;&gt;&gt;&gt; ../gephi/c4a1a81eeaf32c9c120e56cbce7469d4b7b3da9a/right/modules/StatisticsPlugin/src/main/nbm/manifest.mf</t>
  </si>
  <si>
    <t>https://github.com/vavr-io/vavr</t>
  </si>
  <si>
    <t>vavr</t>
  </si>
  <si>
    <t>abff73e3eb94c39678df7cb95d1f1d89e07d4181</t>
  </si>
  <si>
    <t>69c83d6712861c884b34f2e59ddc894de6687abb</t>
  </si>
  <si>
    <t>2200ad13d457ac2752e92d8bcf18759fc239ea5f</t>
  </si>
  <si>
    <t>207e3d4fc1eaee37fe639603af98b3f1885ae889</t>
  </si>
  <si>
    <t>src/test/java/javaslang/collection/IntMap.java</t>
  </si>
  <si>
    <t xml:space="preserve">
@@ -108,11 +108,6 @@ public class IntMap&lt;T&gt; implements Traversable&lt;T&gt;, Serializable {
         return IntMap.of(original.filter(p -&gt; predicate.test(p.value)));
     }
-    @Override
-    public Option&lt;T&gt; findLast(Predicate&lt;? super T&gt; predicate) {
-        return original.findLast(p -&gt; predicate.test(p.value)).map(o -&gt; o.value);
-    }</t>
  </si>
  <si>
    <t xml:space="preserve">
     @Override
     public Option&lt;T&gt; findLast(Predicate&lt;? super T&gt; predicate) {
-        return original.findLast(p -&gt; predicate.test(p.value)).map(o -&gt; o.value);
+        return original.findLast(p -&gt; predicate.test(p._2)).map(o -&gt; o._2);
     }</t>
  </si>
  <si>
    <t xml:space="preserve">
    @Override
&lt;&lt;&lt;&lt;&lt;&lt;&lt; HEAD
=======
    public Option&lt;T&gt; findLast(Predicate&lt;? super T&gt; predicate) {
        return original.findLast(p -&gt; predicate.test(p._2)).map(o -&gt; o._2);
    }
    @Override
&gt;&gt;&gt;&gt;&gt;&gt;&gt; 2200ad13d457ac2752e92d8bcf18759fc239ea5f</t>
  </si>
  <si>
    <t>D vs. U (Java code)</t>
  </si>
  <si>
    <t xml:space="preserve">
&lt;&lt;&lt;&lt;&lt;&lt;&lt; Unknown file: This is a bug in JDime.
=======
  @Override public Option&lt;T&gt; findLast(Predicate&lt;? super T&gt; predicate) {
    return original.findLast((p) -&gt; predicate.test(p._2)).map((o) -&gt; o._2);
  }
&gt;&gt;&gt;&gt;&gt;&gt;&gt; .../right/src/test/java/javaslang/collection/IntMap.java
</t>
  </si>
  <si>
    <t xml:space="preserve">
    @Override
    public IntMap&lt;T&gt; filter(Predicate&lt;? super T&gt; predicate) {
        return IntMap.of(original.filter(p -&gt; predicate.test(p._2)));
    }
    @Override
    public &lt;U&gt; Seq&lt;U&gt; flatMap(Function&lt;? super T, ? extends Iterable&lt;? extends U&gt;&gt; mapper) {
        return original.flatMap(e -&gt; mapper.apply(e._2));
    }</t>
  </si>
  <si>
    <t xml:space="preserve">
    @Override
&lt;&lt;&lt;&lt;&lt;&lt;&lt; ../vavr/abff73e3eb94c39678df7cb95d1f1d89e07d4181/left/src/test/java/javaslang/collection/IntMap.java
||||||| ../vavr/abff73e3eb94c39678df7cb95d1f1d89e07d4181/base/src/test/java/javaslang/collection/IntMap.java
        return original.findLast(p -&gt; predicate.test(p.value)).map(o -&gt; o.value);
=======
        return original.findLast(p -&gt; predicate.test(p._2)).map(o -&gt; o._2);
&gt;&gt;&gt;&gt;&gt;&gt;&gt; ../vavr/abff73e3eb94c39678df7cb95d1f1d89e07d4181/right/src/test/java/javaslang/collection/IntMap.java</t>
  </si>
  <si>
    <t>https://github.com/hazelcast/hazelcast</t>
  </si>
  <si>
    <t>hazelcast</t>
  </si>
  <si>
    <t>c56868c1a273caf0919afb913c22812c59e4ad44</t>
  </si>
  <si>
    <t>4ec916149de578c0a1b75913d70d1cf98dbc599b</t>
  </si>
  <si>
    <t>a40d8e737957568012ba49db7720aa74041e02bd</t>
  </si>
  <si>
    <t>2188b4179eae1435ba94fe1c3debc86b657a49ea</t>
  </si>
  <si>
    <t>hazelcast/src/main/java/com/hazelcast/map/proxy/MapProxySupport.java</t>
  </si>
  <si>
    <t xml:space="preserve">
@@ -16,14 +16,12 @@
 package com.hazelcast.map.proxy;
-import com.hazelcast.core.EntryListener;
-import com.hazelcast.core.HazelcastException;
-import com.hazelcast.core.Member;
-import com.hazelcast.core.Transaction;
+import com.hazelcast.core.*;
 import com.hazelcast.instance.MemberImpl;
 import com.hazelcast.instance.ThreadContext;
 import com.hazelcast.map.*;
 import com.hazelcast.monitor.LocalMapStats;
 ...</t>
  </si>
  <si>
    <t xml:space="preserve">
@@ -16,8 +16,8 @@
 package com.hazelcast.map.proxy;
+import com.hazelcast.concurrent.lock.*;
 import com.hazelcast.core.EntryListener;
-import com.hazelcast.core.HazelcastException;
 import com.hazelcast.core.Member;
 import com.hazelcast.core.Transaction;
 import com.hazelcast.instance.MemberImpl;</t>
  </si>
  <si>
    <t xml:space="preserve">
package com.hazelcast.map.proxy;
&lt;&lt;&lt;&lt;&lt;&lt;&lt; HEAD
import com.hazelcast.core.*;
=======
import com.hazelcast.concurrent.lock.*;
import com.hazelcast.core.EntryListener;
import com.hazelcast.core.Member;
import com.hazelcast.core.Transaction;
&gt;&gt;&gt;&gt;&gt;&gt;&gt; a40d8e737957568012ba49db7720aa74041e02bd</t>
  </si>
  <si>
    <t xml:space="preserve">
@@ -16,14 +16,15 @@
 package com.hazelcast.map.proxy;
+import com.hazelcast.concurrent.lock.*;
 import com.hazelcast.core.EntryListener;
-import com.hazelcast.core.HazelcastException;
 import com.hazelcast.core.Member;
 import com.hazelcast.core.Transaction;
 import com.hazelcast.instance.MemberImpl;
 import com.hazelcast.instance.ThreadContext;
 import com.hazelcast.map.*;
 import com.hazelcast.monitor.LocalMapStats;
+import com.hazelcast.monitor.impl.LocalMapStatsImpl;
 import com.hazelcast.nio.serialization.Data;
 import com.hazelcast.query.Predicate;
 import com.hazelcast.spi.*;</t>
  </si>
  <si>
    <t>D I vs. D I(import)
Origin(U vs. D I)</t>
  </si>
  <si>
    <t xml:space="preserve">
import com.hazelcast.concurrent.lock.*; 
import com.hazelcast.core.EntryListener; 
import com.hazelcast.core.Member; 
import com.hazelcast.core.Transaction; 
import com.hazelcast.instance.MemberImpl; 
import com.hazelcast.instance.ThreadContext; 
…
import com.hazelcast.core.*; 
import com.hazelcast.monitor.impl.LocalMapStatsImpl; </t>
  </si>
  <si>
    <t>accept both sides also keep several removed lines</t>
  </si>
  <si>
    <t xml:space="preserve">
package com.hazelcast.map.proxy;
import com.hazelcast.core.*;
import com.hazelcast.concurrent.lock.*;
import com.hazelcast.instance.MemberImpl;
import com.hazelcast.instance.ThreadContext;
import com.hazelcast.map.*;</t>
  </si>
  <si>
    <t xml:space="preserve">
import com.hazelcast.concurrent.lock.*;
import com.hazelcast.core.*;
import com.hazelcast.core.EntryListener;
import com.hazelcast.core.Member;
import com.hazelcast.core.Transaction;
import com.hazelcast.instance.MemberImpl;
import com.hazelcast.instance.ThreadContext;</t>
  </si>
  <si>
    <t xml:space="preserve">
&lt;&lt;&lt;&lt;&lt;&lt;&lt; ../hazelcast/c56868c1a273caf0919afb913c22812c59e4ad44/left/hazelcast/src/main/java/com/hazelcast/map/proxy/MapProxySupport.java
import com.hazelcast.core.*;
||||||| ../hazelcast/c56868c1a273caf0919afb913c22812c59e4ad44/base/hazelcast/src/main/java/com/hazelcast/map/proxy/MapProxySupport.java
=======
import com.hazelcast.concurrent.lock.*;
&gt;&gt;&gt;&gt;&gt;&gt;&gt; ../hazelcast/c56868c1a273caf0919afb913c22812c59e4ad44/right/hazelcast/src/main/java/com/hazelcast/map/proxy/MapProxySupport.java</t>
  </si>
  <si>
    <t>https://github.com/sofastack/sofa-boot</t>
  </si>
  <si>
    <t>sofa-boot</t>
  </si>
  <si>
    <t>9c7f34377da337ffad74819e6bff335d4c90d9ce</t>
  </si>
  <si>
    <t>7137dcbcc39fca27ec94803aa2744fbe40921982</t>
  </si>
  <si>
    <t>d885064262f4d31bbd817b4545e5b426c89bab77</t>
  </si>
  <si>
    <t>f1319c902b65611785e9b73191bf64ea3ba62b55</t>
  </si>
  <si>
    <t>infra-sofa-boot-starter/src/main/java/com/alipay/sofa/infra/constants/SystemPropertyConstants.java</t>
  </si>
  <si>
    <t xml:space="preserve">
-    public static final Set&lt;String&gt; KEYS = new HashSet&lt;String&gt;();
+    public static final Set&lt;String&gt; KEYS                    = new HashSet&lt;&gt;();</t>
  </si>
  <si>
    <t xml:space="preserve">
-    public static final Set&lt;String&gt; KEYS = new HashSet&lt;String&gt;();
+    public static final Set&lt;String&gt; KEYS                    = new HashSet&lt;String&gt;();</t>
  </si>
  <si>
    <t xml:space="preserve">
&lt;&lt;&lt;&lt;&lt;&lt;&lt; HEAD
    public static final Set&lt;String&gt; KEYS                    = new HashSet&lt;&gt;();
=======
    public static final Set&lt;String&gt; KEYS                    = new HashSet&lt;String&gt;();
&gt;&gt;&gt;&gt;&gt;&gt;&gt; d885064262f4d31bbd817b4545e5b426c89bab77</t>
  </si>
  <si>
    <t xml:space="preserve">
~~FSTMerge~~ ##FSTMerge## public static final Set&lt;String&gt; KEYS = new HashSet&lt;String&gt;(); ##FSTMerge## public static final Set&lt;String&gt; KEYS                    = new HashSet&lt;String&gt;();</t>
  </si>
  <si>
    <t xml:space="preserve">
  public static final Set&lt;String&gt; KEYS = new HashSet&lt;&gt;();</t>
  </si>
  <si>
    <t xml:space="preserve">
    public static final Set&lt;String&gt; KEYS                    = new HashSet&lt;&gt;();</t>
  </si>
  <si>
    <t xml:space="preserve">
&lt;&lt;&lt;&lt;&lt;&lt;&lt; ../sofa-boot/9c7f34377da337ffad74819e6bff335d4c90d9ce/left/infra-sofa-boot-starter/src/main/java/com/alipay/sofa/infra/constants/SystemPropertyConstants.java
    public static final Set&lt;String&gt; KEYS                    = new HashSet&lt;&gt;();
||||||| ../sofa-boot/9c7f34377da337ffad74819e6bff335d4c90d9ce/base/infra-sofa-boot-starter/src/main/java/com/alipay/sofa/infra/constants/SystemPropertyConstants.java
    public static final Set&lt;String&gt; KEYS = new HashSet&lt;String&gt;();
=======
    public static final Set&lt;String&gt; KEYS                    = new HashSet&lt;String&gt;();
&gt;&gt;&gt;&gt;&gt;&gt;&gt; ../sofa-boot/9c7f34377da337ffad74819e6bff335d4c90d9ce/right/infra-sofa-boot-starter/src/main/java/com/alipay/sofa/infra/constants/SystemPropertyConstants.java</t>
  </si>
  <si>
    <t>https://github.com/apache/groovy</t>
  </si>
  <si>
    <t>groovy</t>
  </si>
  <si>
    <t>3c1d59f70c21319bbbac7a5fda73d401b5e099b9</t>
  </si>
  <si>
    <t>bd539edf65148c5992ce81d22f1e7e39b1803b89</t>
  </si>
  <si>
    <t>298535c64199f6c5ef0f70850ba9a7205e7f000c</t>
  </si>
  <si>
    <t>23ca8aed527084de51166b9221c1b94d9e70732b</t>
  </si>
  <si>
    <t>subprojects/groovy-console/src/main/groovy/groovy/console/TextTreeNodeMaker.groovy</t>
  </si>
  <si>
    <t xml:space="preserve">
rename "subprojects/groovy-console/src/main/groovy/groovy/inspect/TextTreeNodeMaker.groovy"-&gt;"subprojects/groovy-console/src/temp"</t>
  </si>
  <si>
    <t xml:space="preserve">
rename "subprojects/groovy-console/src/main/groovy/groovy/inspect/TextTreeNodeMaker.groovy"-&gt;"subprojects/groovy-console/src/main/groovy/groovy/console/`.groovy"</t>
  </si>
  <si>
    <t xml:space="preserve">
CONFLICT (rename/rename): Rename "subprojects/groovy-console/src/main/groovy/groovy/inspect/TextTreeNodeMaker.groovy"-&gt;"subprojects/groovy-console/src/temp" in branch "HEAD" rename "subprojects/groovy-console/src/main/groovy/groovy/inspect/TextTreeNodeMaker.groovy"-&gt;"subprojects/groovy-console/src/main/groovy/groovy/console/TextTreeNodeMaker.groovy" in "298535c64199f6c5ef0f70850ba9a7205e7f000c"</t>
  </si>
  <si>
    <t xml:space="preserve">
rename "subprojects/groovy-console/src/main/groovy/groovy/inspect/TextTreeNodeMaker.groovy"-&gt;"subprojects/groovy-console/src/main/groovy/groovy/console/TextTreeNodeMaker.groovy"
…
--- /dev/null
+++ b/subprojects/groovy-console/src/temp</t>
  </si>
  <si>
    <t>U vs. U (.groovy)</t>
  </si>
  <si>
    <t>only right but treat left edit as adding a new file</t>
  </si>
  <si>
    <t xml:space="preserve">
keep both left and right renamed file</t>
  </si>
  <si>
    <t>https://github.com/apache/incubator-dolphinscheduler</t>
  </si>
  <si>
    <t>incubator-dolphinscheduler</t>
  </si>
  <si>
    <t>b2e0b8598f753be5b89772d5aaf7dbef7d9311f3</t>
  </si>
  <si>
    <t>5b6ce80a39716f32c840b325419de8ced66b903a</t>
  </si>
  <si>
    <t>43bc56625306751496f6891da6edba11e169f1ed</t>
  </si>
  <si>
    <t>1e812ca07884d384952573a654e47e098a2930dc</t>
  </si>
  <si>
    <t>dolphinscheduler-remote/src/main/java/org/apache/dolphinscheduler/remote/handler/NettyClientHandler.java</t>
  </si>
  <si>
    <t xml:space="preserve">
@@ -38,29 +38,62 @@ public class NettyClientHandler extends ChannelInboundHandlerAdapter {
     private final Logger logger = LoggerFactory.getLogger(NettyClientHandler.class);
+    /**
+     *  netty remote client
+     */
     private final NettyRemotingClient nettyRemotingClient;
+    /**
+     *  client processors queue
+     */
     private final ConcurrentHashMap&lt;CommandType, Pair&lt;NettyRequestProcessor, ExecutorService&gt;&gt; processors = new ConcurrentHashMap();
     public NettyClientHandler(NettyRemotingClient nettyRemotingClient){
         this.nettyRemotingClient = nettyRemotingClient;
     }</t>
  </si>
  <si>
    <t xml:space="preserve">
@@ -40,63 +34,35 @@ public class NettyClientHandler extends ChannelInboundHandlerAdapter {
     private final NettyRemotingClient nettyRemotingClient;
-    private final ConcurrentHashMap&lt;CommandType, Pair&lt;NettyRequestProcessor, ExecutorService&gt;&gt; processors = new ConcurrentHashMap();
-
     public NettyClientHandler(NettyRemotingClient nettyRemotingClient){
         this.nettyRemotingClient = nettyRemotingClient;
     }</t>
  </si>
  <si>
    <t xml:space="preserve">
&lt;&lt;&lt;&lt;&lt;&lt;&lt; HEAD
    /**
     *  client processors queue
     */
    private final ConcurrentHashMap&lt;CommandType, Pair&lt;NettyRequestProcessor, ExecutorService&gt;&gt; processors = new ConcurrentHashMap();
=======
&gt;&gt;&gt;&gt;&gt;&gt;&gt; 43bc56625306751496f6891da6edba11e169f1ed
    public NettyClientHandler(NettyRemotingClient nettyRemotingClient){
        this.nettyRemotingClient = nettyRemotingClient;
    }
</t>
  </si>
  <si>
    <t>I + D (Java code)</t>
  </si>
  <si>
    <t xml:space="preserve">
    /**
     *  netty remote client
     */
    private final NettyRemotingClient nettyRemotingClient;
    public NettyClientHandler(NettyRemotingClient nettyRemotingClient){
        this.nettyRemotingClient = nettyRemotingClient;
    }
…
    /**
     *  client processors queue
     */</t>
  </si>
  <si>
    <t>accept both sides but insert different locations as well as insert new empty lines</t>
  </si>
  <si>
    <t xml:space="preserve">
  /**
     *  netty remote client
     */
  private final NettyRemotingClient nettyRemotingClient;</t>
  </si>
  <si>
    <t>accept both sides, also remove the remaining comments from left</t>
  </si>
  <si>
    <t xml:space="preserve">
    /**
     *  netty remote client
     */
    private final NettyRemotingClient nettyRemotingClient;</t>
  </si>
  <si>
    <t xml:space="preserve">
&lt;&lt;&lt;&lt;&lt;&lt;&lt; ../incubator-dolphinscheduler/b2e0b8598f753be5b89772d5aaf7dbef7d9311f3/left/dolphinscheduler-remote/src/main/java/org/apache/dolphinscheduler/remote/handler/NettyClientHandler.java
    /**
     *  process received logic
     *
     * @param channel channel
     * @param msg message
     */
    private void processReceived(final Channel channel, final Command msg) {
        final CommandType commandType = msg.getType();
        final Pair&lt;NettyRequestProcessor, ExecutorService&gt; pair = processors.get(commandType);
        if (pair != null) {
            Runnable r = new Runnable() {
                @Override
                public void run() {
                    try {
                        pair.getLeft().process(channel, msg);
                    } catch (Throwable ex) {
                        logger.error("process msg {} error : {}", msg, ex);
                    }
                }
            };
            try {
                pair.getRight().submit(r);
            } catch (RejectedExecutionException e) {
                logger.warn("thread pool is full, discard msg {} from {}", msg, ChannelUtils.getRemoteAddress(channel));
            }
||||||| ../incubator-dolphinscheduler/b2e0b8598f753be5b89772d5aaf7dbef7d9311f3/base/dolphinscheduler-remote/src/main/java/org/apache/dolphinscheduler/remote/handler/NettyClientHandler.java
    private void processReceived(final Channel channel, final Command msg) {
        final CommandType commandType = msg.getType();
        final Pair&lt;NettyRequestProcessor, ExecutorService&gt; pair = processors.get(commandType);
        if (pair != null) {
            Runnable r = new Runnable() {
                @Override
                public void run() {
                    try {
                        pair.getLeft().process(channel, msg);
                    } catch (Throwable ex) {
                        logger.error("process msg {} error : {}", msg, ex);
                    }
                }
            };
            try {
                pair.getRight().submit(r);
            } catch (RejectedExecutionException e) {
                logger.warn("thread pool is full, discard msg {} from {}", msg, ChannelUtils.getRemoteAddress(channel));
            }
=======
    private void processReceived(final Command responseCommand) {
        ResponseFuture future = ResponseFuture.getFuture(responseCommand.getOpaque());
        if(future != null){
            future.putResponse(responseCommand);
            future.executeInvokeCallback();
&gt;&gt;&gt;&gt;&gt;&gt;&gt; ../incubator-dolphinscheduler/b2e0b8598f753be5b89772d5aaf7dbef7d9311f3/right/dolphinscheduler-remote/src/main/java/org/apache/dolphinscheduler/remote/handler/NettyClientHandler.java</t>
  </si>
  <si>
    <t>https://github.com/reactive-streams/reactive-streams-jvm</t>
  </si>
  <si>
    <t>reactive-streams-jvm</t>
  </si>
  <si>
    <t>7a2a2ce2e762f280444baa7529a90381dad6e092</t>
  </si>
  <si>
    <t>ea443616c4f807d7aee64cb59c3d3b2e60fae666</t>
  </si>
  <si>
    <t>560664e00ee97e3bdf685f4f2de00a3d0c379ca1</t>
  </si>
  <si>
    <t>7d47cb05c4820380cf21b7254ed8c948533a0f21</t>
  </si>
  <si>
    <t>CopyrightWaivers.txt</t>
  </si>
  <si>
    <t xml:space="preserve">
@@ -24,3 +24,4 @@ viktorklang    | Viktor Klang, viktor.klang@gmail.com, Typesafe Inc.
 smaldini       | Stephane Maldini, stephane.maldini@gmail.com, Pivotal Software Inc.
 savulchik      | Stanislav Savulchik, s.savulchik@gmail.com
 ktoso          | Konrad Malawski, konrad.malawski@project13.pl, Typesafe Inc.
+colinrgodsey   | Colin Godsey, crgodsey@gmail.com, MediaMath Inc.</t>
  </si>
  <si>
    <t xml:space="preserve">
@@ -24,3 +24,6 @@ viktorklang    | Viktor Klang, viktor.klang@gmail.com, Typesafe Inc.
 smaldini       | Stephane Maldini, stephane.maldini@gmail.com, Pivotal Software Inc.
 savulchik      | Stanislav Savulchik, s.savulchik@gmail.com
 ktoso          | Konrad Malawski, konrad.malawski@project13.pl, Typesafe Inc.
+ouertani       | Slim Ouertani, ouertani@gmail.com
+2m             | Martynas Mickevičius, mmartynas@gmail.com, Typesafe Inc.
+ldaley         | Luke Daley, luke.daley@gradleware.com, Gradleware Inc.</t>
  </si>
  <si>
    <t xml:space="preserve">
&lt;&lt;&lt;&lt;&lt;&lt;&lt; HEAD
colinrgodsey   | Colin Godsey, crgodsey@gmail.com, MediaMath Inc.
=======
ouertani       | Slim Ouertani, ouertani@gmail.com
2m             | Martynas Mickevičius, mmartynas@gmail.com, Typesafe Inc.
ldaley         | Luke Daley, luke.daley@gradleware.com, Gradleware Inc.
&gt;&gt;&gt;&gt;&gt;&gt;&gt; 560664e00ee97e3bdf685f4f2de00a3d0c379ca1</t>
  </si>
  <si>
    <t xml:space="preserve">
@@ -24,3 +24,7 @@ viktorklang    | Viktor Klang, viktor.klang@gmail.com, Typesafe Inc.
 smaldini       | Stephane Maldini, stephane.maldini@gmail.com, Pivotal Software Inc.
 savulchik      | Stanislav Savulchik, s.savulchik@gmail.com
 ktoso          | Konrad Malawski, konrad.malawski@project13.pl, Typesafe Inc.
+ouertani       | Slim Ouertani, ouertani@gmail.com
+2m             | Martynas Mickevičius, mmartynas@gmail.com, Typesafe Inc.
+ldaley         | Luke Daley, luke.daley@gradleware.com, Gradleware Inc.
+colinrgodsey   | Colin Godsey, crgodsey@gmail.com, MediaMath Inc.</t>
  </si>
  <si>
    <t>I vs. I(.txt)</t>
  </si>
  <si>
    <t xml:space="preserve">
github name    | Real Name, Email Address used for git commits, Company
---------------+----------------------------------------------------------------------------
rkuhn          | Roland Kuhn, rk@rkuhn.info, Typesafe Inc.
benjchristensen| Ben Christensen, benjchristensen@gmail.com, Netflix Inc.
viktorklang    | Viktor Klang, viktor.klang@gmail.com, Typesafe Inc.
smaldini       | Stephane Maldini, stephane.maldini@gmail.com, Pivotal Software Inc.
savulchik      | Stanislav Savulchik, s.savulchik@gmail.com
ktoso          | Konrad Malawski, konrad.malawski@project13.pl, Typesafe Inc.
colinrgodsey   | Colin Godsey, crgodsey@gmail.com, MediaMath Inc.
</t>
  </si>
  <si>
    <t xml:space="preserve">
&lt;&lt;&lt;&lt;&lt;&lt;&lt; ../reactive-streams-jvm/7a2a2ce2e762f280444baa7529a90381dad6e092/left/CopyrightWaivers.txt
colinrgodsey   | Colin Godsey, crgodsey@gmail.com, MediaMath Inc.
||||||| ../reactive-streams-jvm/7a2a2ce2e762f280444baa7529a90381dad6e092/base/CopyrightWaivers.txt
=======
ouertani       | Slim Ouertani, ouertani@gmail.com
2m             | Martynas Mickevičius, mmartynas@gmail.com, Typesafe Inc.
ldaley         | Luke Daley, luke.daley@gradleware.com, Gradleware Inc.&gt;&gt;&gt;&gt;&gt;&gt;&gt; ../reactive-streams-jvm/7a2a2ce2e762f280444baa7529a90381dad6e092/right/CopyrightWaivers.txt</t>
  </si>
  <si>
    <t>https://github.com/micronaut-projects/micronaut-core</t>
  </si>
  <si>
    <t>micronaut-core</t>
  </si>
  <si>
    <t>00c23c2ccfd55d4f09ecfd06812fac588243df8f</t>
  </si>
  <si>
    <t>ac43931377a6b2d22d86ceed910148210c0b6ad3</t>
  </si>
  <si>
    <t>a019d50cc2354b10729579880c69031b572722e1</t>
  </si>
  <si>
    <t>98121dabc46a8126528f79bf6dd2c3f3a484bf20</t>
  </si>
  <si>
    <t>src/main/docs/guide/toc.yml</t>
  </si>
  <si>
    <t xml:space="preserve">
@@ -212,6 +212,12 @@ cli:
     comparingVersions: Comparing Versions
   features: Features
   commands: Commands
+reloading:
+  title: Reloading
+  jrebel: JRebel
+  springloaded: Spring-Loaded
+  gradleReload: Reloading with Gradle
+  ideReload: Reloading with an IDE
 faq: Frequently Asked Questions (FAQ)
 problems: Common Problems
 breaks: Breaking Changes
\ No newline at end of file</t>
  </si>
  <si>
    <t xml:space="preserve">
@@ -212,6 +237,8 @@ cli:
     comparingVersions: Comparing Versions
   features: Features
   commands: Commands
-faq: Frequently Asked Questions (FAQ)
-problems: Common Problems
-breaks: Breaking Changes
\ No newline at end of file
+appendix:
+  title: Appendices
+  faq: Frequently Asked Questions (FAQ)
+  problems: Common Problems
+  breaks: Breaking Changes
\ No newline at end of file</t>
  </si>
  <si>
    <t xml:space="preserve">
&lt;&lt;&lt;&lt;&lt;&lt;&lt; HEAD
reloading:
  title: Reloading
  jrebel: JRebel
  springloaded: Spring-Loaded
  gradleReload: Reloading with Gradle
  ideReload: Reloading with an IDE
faq: Frequently Asked Questions (FAQ)
problems: Common Problems
breaks: Breaking Changes
=======
appendix:
  title: Appendices
  faq: Frequently Asked Questions (FAQ)
  problems: Common Problems
  breaks: Breaking Changes
&gt;&gt;&gt;&gt;&gt;&gt;&gt; a019d50cc2354b10729579880c69031b572722e1
</t>
  </si>
  <si>
    <t xml:space="preserve">
@@ -212,6 +237,14 @@ cli:
     comparingVersions: Comparing Versions
   features: Features
   commands: Commands
-faq: Frequently Asked Questions (FAQ)
-problems: Common Problems
-breaks: Breaking Changes
\ No newline at end of file
+reloading:
+  title: Reloading
+  jrebel: JRebel
+  springloaded: Spring-Loaded
+  gradleReload: Reloading with Gradle
+  ideReload: Reloading with an IDE
+appendix:
+  title: Appendices
+  faq: Frequently Asked Questions (FAQ)
+  problems: Common Problems
+  breaks: Breaking Changes
\ No newline at end of file</t>
  </si>
  <si>
    <t>I + D I (.yml) 
Origin(I vs. U I)</t>
  </si>
  <si>
    <t xml:space="preserve">
&lt;&lt;&lt;&lt;&lt;&lt;&lt; ../micronaut-core/00c23c2ccfd55d4f09ecfd06812fac588243df8f/left/src/main/docs/guide/toc.yml
reloading:
  title: Reloading
||||||| ../micronaut-core/00c23c2ccfd55d4f09ecfd06812fac588243df8f/base/src/main/docs/guide/toc.yml
=======
appendix:
  title: Appendices
&gt;&gt;&gt;&gt;&gt;&gt;&gt; ../micronaut-core/00c23c2ccfd55d4f09ecfd06812fac588243df8f/right/src/main/docs/guide/toc.yml</t>
  </si>
  <si>
    <t>https://github.com/quartz-scheduler/quartz</t>
  </si>
  <si>
    <t>quartz</t>
  </si>
  <si>
    <t>4388a602d144453858dfcfa70bf2dfefaf52f83d</t>
  </si>
  <si>
    <t>6e30d824dbd58dfcd914c5743f78a6ee8975b3b7</t>
  </si>
  <si>
    <t>13c1d45aa1db15d0fa0e4997139c99ba219be551</t>
  </si>
  <si>
    <t>77e9826f0e6879f8f790d0f0eaf040c4b15ff371</t>
  </si>
  <si>
    <t xml:space="preserve">
@@ -30,7 +30,7 @@
     &lt;skipCheckstyle&gt;false&lt;/skipCheckstyle&gt;
     &lt;slf4j.version&gt;1.6.1&lt;/slf4j.version&gt;
-    &lt;c3p0.version&gt;0.9.1.1&lt;/c3p0.version&gt;
+    &lt;c3p0.version&gt;0.9.5.4&lt;/c3p0.version&gt;
     &lt;log4j.version&gt;1.2.16&lt;/log4j.version&gt;
     &lt;maven-forge-plugin.version&gt;1.0.5-SNAPSHOT&lt;/maven-forge-plugin.version&gt;</t>
  </si>
  <si>
    <t xml:space="preserve">
-    &lt;slf4j.version&gt;1.6.1&lt;/slf4j.version&gt;
-    &lt;c3p0.version&gt;0.9.1.1&lt;/c3p0.version&gt;
+    
+    &lt;slf4j.version&gt;1.7.7&lt;/slf4j.version&gt;
+    &lt;c3p0.version&gt;0.9.5.3&lt;/c3p0.version&gt;</t>
  </si>
  <si>
    <t xml:space="preserve">
&lt;&lt;&lt;&lt;&lt;&lt;&lt; HEAD
    &lt;slf4j.version&gt;1.6.1&lt;/slf4j.version&gt;
    &lt;c3p0.version&gt;0.9.5.4&lt;/c3p0.version&gt;
=======
    &lt;slf4j.version&gt;1.7.7&lt;/slf4j.version&gt;
    &lt;c3p0.version&gt;0.9.5.3&lt;/c3p0.version&gt;
    &lt;hikaricp.version&gt;3.2.0&lt;/hikaricp.version&gt;
&gt;&gt;&gt;&gt;&gt;&gt;&gt; 13c1d45aa1db15d0fa0e4997139c99ba219be551</t>
  </si>
  <si>
    <t xml:space="preserve">
-    &lt;slf4j.version&gt;1.6.1&lt;/slf4j.version&gt;
-    &lt;c3p0.version&gt;0.9.1.1&lt;/c3p0.version&gt;
+    &lt;slf4j.version&gt;1.7.7&lt;/slf4j.version&gt;
+    &lt;c3p0.version&gt;0.9.5.4&lt;/c3p0.version&gt;</t>
  </si>
  <si>
    <t>U vs. D I (.xml)</t>
  </si>
  <si>
    <t>accept both sides plus additional change</t>
  </si>
  <si>
    <t xml:space="preserve">
      &lt;slf4j.version&gt;1.6.1&lt;/slf4j.version&gt;
      &lt;c3p0.version&gt;0.9.5.4&lt;/c3p0.version&gt;
      &lt;hikaricp.version&gt;3.2.0&lt;/hikaricp.version&gt;</t>
  </si>
  <si>
    <t xml:space="preserve">
&lt;&lt;&lt;&lt;&lt;&lt;&lt; ../quartz/4388a602d144453858dfcfa70bf2dfefaf52f83d/left/pom.xml
    &lt;c3p0.version&gt;0.9.5.4&lt;/c3p0.version&gt;
||||||| ../quartz/4388a602d144453858dfcfa70bf2dfefaf52f83d/base/pom.xml
    &lt;c3p0.version&gt;0.9.1.1&lt;/c3p0.version&gt;
=======
    &lt;c3p0.version&gt;0.9.5.3&lt;/c3p0.version&gt;
&gt;&gt;&gt;&gt;&gt;&gt;&gt; ../quartz/4388a602d144453858dfcfa70bf2dfefaf52f83d/right/pom.xml</t>
  </si>
  <si>
    <t>https://github.com/openhab/openhab1-addons</t>
  </si>
  <si>
    <t>openhab1-addons</t>
  </si>
  <si>
    <t>c7384623facaa35ec6741b4b479b6b4379428793</t>
  </si>
  <si>
    <t>4c8b4b7e65c970edf71b353568049b76cc3af4d4</t>
  </si>
  <si>
    <t>33acc48be0889d3d5901b7b7efb4d601f11a0b7d</t>
  </si>
  <si>
    <t>553b3d3a109bd1d43d5f20254d94633c50a5c1bc</t>
  </si>
  <si>
    <t>distribution/openhabhome/configurations/openhab_default.cfg</t>
  </si>
  <si>
    <t xml:space="preserve">
@@ -942,12 +976,3 @@ tcp:refreshinterval=250
 # synchronously. Defaults to true.
 #mqtt:&lt;broker&gt;.async=&lt;async&gt;
-
-################################ MAX!Cube Binding ##########################################
-#
-# MAX!Cube LAN gateway IP address 
-# maxcube:ip=192.168.0.222
-# MAX!Cube port (Optional, default to 62910)
-# maxcube:port=62910
-# MAX!Cube refresh interval in ms (Optional, default to 10000)
-# maxcube:refreshInterval=10000</t>
  </si>
  <si>
    <t xml:space="preserve">
@@ -946,8 +946,14 @@ tcp:refreshinterval=250
 ################################ MAX!Cube Binding ##########################################
 #
 # MAX!Cube LAN gateway IP address 
-# maxcube:ip=192.168.0.222
+#maxcube:ip=
 # MAX!Cube port (Optional, default to 62910)
-# maxcube:port=62910
+#maxcube:port=
 # MAX!Cube refresh interval in ms (Optional, default to 10000)
-# maxcube:refreshInterval=10000
+#maxcube:refreshInterval=
+
+
+################################ Insteon Hub Binding #######################################
+#
+# The IP address of the Insteon Hub
+#insteonhub:host=</t>
  </si>
  <si>
    <t xml:space="preserve">
# Optional. True or false. Defines if messages are published asynchronously or
# synchronously. Defaults to true.
#mqtt:&lt;broker&gt;.async=&lt;async&gt;
&lt;&lt;&lt;&lt;&lt;&lt;&lt; HEAD
=======
################################ MAX!Cube Binding ##########################################
#
# MAX!Cube LAN gateway IP address 
#maxcube:ip=
# MAX!Cube port (Optional, default to 62910)
#maxcube:port=
# MAX!Cube refresh interval in ms (Optional, default to 10000)
#maxcube:refreshInterval=
################################ Insteon Hub Binding #######################################
#
# The IP address of the Insteon Hub
#insteonhub:host=
&gt;&gt;&gt;&gt;&gt;&gt;&gt; 33acc48be0889d3d5901b7b7efb4d601f11a0b7d</t>
  </si>
  <si>
    <t>D vs. D I(.cfg)
Origin(D vs. U)</t>
  </si>
  <si>
    <t xml:space="preserve">
&lt;&lt;&lt;&lt;&lt;&lt;&lt; ../openhab1-addons/c7384623facaa35ec6741b4b479b6b4379428793/left/distribution/openhabhome/configurations/openhab_default.cfg
||||||| ../openhab1-addons/c7384623facaa35ec6741b4b479b6b4379428793/base/distribution/openhabhome/configurations/openhab_default.cfg
################################ MAX!Cube Binding ##########################################
#
# MAX!Cube LAN gateway IP address 
# maxcube:ip=192.168.0.222
# MAX!Cube port (Optional, default to 62910)
# maxcube:port=62910
# MAX!Cube refresh interval in ms (Optional, default to 10000)
# maxcube:refreshInterval=10000
=======
################################ MAX!Cube Binding ##########################################
#
# MAX!Cube LAN gateway IP address 
#maxcube:ip=
# MAX!Cube port (Optional, default to 62910)
#maxcube:port=
# MAX!Cube refresh interval in ms (Optional, default to 10000)
#maxcube:refreshInterval=
&gt;&gt;&gt;&gt;&gt;&gt;&gt; ../openhab1-addons/c7384623facaa35ec6741b4b479b6b4379428793/right/distribution/openhabhome/configurations/openhab_default.cfg</t>
  </si>
  <si>
    <t>https://github.com/objectbox/objectbox-java</t>
  </si>
  <si>
    <t>objectbox-java</t>
  </si>
  <si>
    <t>e01ecb66562ffc0fb48f6884b181f37a13c676e7</t>
  </si>
  <si>
    <t>fc70aecfef9172f56ffcf9e90e2f80b01c6a42f9</t>
  </si>
  <si>
    <t>61fe34ac85000963bc9323a06e0c8780d9ab239b</t>
  </si>
  <si>
    <t>94fac0a3d409d4b2b8fe2acdab526966cc231508</t>
  </si>
  <si>
    <t xml:space="preserve">
@@ -3,7 +3,7 @@ version = ob_version
 buildscript {
     ext {
-        ob_version = '2.0.0'
+        ob_version = '2.1.0-SNAPSHOT'
         ob_native_version = ob_version // Be careful to diverge here; easy to forget and hard to find JNI problems
         ob_expected_version = project.hasProperty('expectedVersion') ? project.property('expectedVersion') : 'UNDEFINED'
</t>
  </si>
  <si>
    <t xml:space="preserve">
@@ -3,7 +3,7 @@ version = ob_version
 buildscript {
     ext {
-        ob_version = '2.0.0'
+        ob_version = '2.1.0'
         ob_native_version = ob_version // Be careful to diverge here; easy to forget and hard to find JNI problems
         ob_expected_version = project.hasProperty('expectedVersion') ? project.property('expectedVersion') : 'UNDEFINED'
 </t>
  </si>
  <si>
    <t xml:space="preserve">
&lt;&lt;&lt;&lt;&lt;&lt;&lt; HEAD
        ob_version = '2.1.0-SNAPSHOT'
=======
        ob_version = '2.1.0'
&gt;&gt;&gt;&gt;&gt;&gt;&gt; 61fe34ac85000963bc9323a06e0c8780d9ab239b</t>
  </si>
  <si>
    <t xml:space="preserve">
@@ -3,7 +3,7 @@ version = ob_version
 buildscript {
     ext {
-        ob_version = '2.0.0'
+        ob_version = '2.1.0'
         ob_native_version = ob_version // Be careful to diverge here; easy to forget and hard to find JNI problems
         ob_expected_version = project.hasProperty('expectedVersion') ? project.property('expectedVersion') : 'UNDEFINED'
</t>
  </si>
  <si>
    <t>U vs. U (.gradle, version no)</t>
  </si>
  <si>
    <t xml:space="preserve">
&lt;&lt;&lt;&lt;&lt;&lt;&lt; ../objectbox-java/e01ecb66562ffc0fb48f6884b181f37a13c676e7/left/build.gradle
        ob_version = '2.1.0-SNAPSHOT'
||||||| ../objectbox-java/e01ecb66562ffc0fb48f6884b181f37a13c676e7/base/build.gradle
        ob_version = '2.0.0'
=======
        ob_version = '2.1.0'
&gt;&gt;&gt;&gt;&gt;&gt;&gt; ../objectbox-java/e01ecb66562ffc0fb48f6884b181f37a13c676e7/right/build.gradle</t>
  </si>
  <si>
    <t>https://github.com/Netflix/ribbon</t>
  </si>
  <si>
    <t>ribbon</t>
  </si>
  <si>
    <t>aa788bcb745461c808724b96af8d3ce117ffede5</t>
  </si>
  <si>
    <t>2161fc2693c4549085d389dc0eaad62950fdca7e</t>
  </si>
  <si>
    <t>3d8cdafa68e27aac83afa26fbc16f8c8a9c86f62</t>
  </si>
  <si>
    <t>42c3e4ca128e120cd5041ff5a39f62c8f46af2ef</t>
  </si>
  <si>
    <t xml:space="preserve">
@@ -60,6 +60,17 @@ project(':ribbon-httpclient') {
     }
 }
+project(':ribbon-netty') {
+    dependencies {
+        compile project(':ribbon-core')
+        compile 'io.netty:netty-all:4.0.8.Final'
+        testCompile 'com.sun.jersey:jersey-bundle:1.9.1'
+        testCompile 'asm:asm-all:3.2'
+        testCompile 'commons-io:commons-io:2.0.1'
+    }
+}
+
+
 project(':ribbon-eureka') {   
     dependencies {</t>
  </si>
  <si>
    <t xml:space="preserve">
@@ -60,31 +67,91 @@ project(':ribbon-httpclient') {
     }
 }
-project(':ribbon-eureka') {   
+project(':ribbon-transport') {
     dependencies {
         compile project(':ribbon-core')</t>
  </si>
  <si>
    <t xml:space="preserve">
&lt;&lt;&lt;&lt;&lt;&lt;&lt; HEAD
project(':ribbon-netty') {
    dependencies {
        compile project(':ribbon-core')
        compile 'io.netty:netty-all:4.0.8.Final'
        testCompile 'com.sun.jersey:jersey-bundle:1.9.1'
        testCompile 'asm:asm-all:3.2'
        testCompile 'commons-io:commons-io:2.0.1'
    }
}
project(':ribbon-eureka') {   
=======
project(':ribbon-transport') {
&gt;&gt;&gt;&gt;&gt;&gt;&gt; 3d8cdafa68e27aac83afa26fbc16f8c8a9c86f62</t>
  </si>
  <si>
    <t>I + U (.gradle)
Origin(I vs. D I)</t>
  </si>
  <si>
    <t xml:space="preserve">
&lt;&lt;&lt;&lt;&lt;&lt;&lt; ../ribbon/aa788bcb745461c808724b96af8d3ce117ffede5/left/build.gradle
project(':ribbon-netty') {
||||||| ../ribbon/aa788bcb745461c808724b96af8d3ce117ffede5/base/build.gradle
project(':ribbon-eureka') {   
=======
project(':ribbon-transport') {
&gt;&gt;&gt;&gt;&gt;&gt;&gt; ../ribbon/aa788bcb745461c808724b96af8d3ce117ffede5/right/build.gradle</t>
  </si>
  <si>
    <t>https://github.com/alibaba/jvm-sandbox</t>
  </si>
  <si>
    <t>jvm-sandbox</t>
  </si>
  <si>
    <t>aae58823a31c4597b407630adcf877d5f56c0547</t>
  </si>
  <si>
    <t>d600604edc9a92c134fdb1333e67118209021468</t>
  </si>
  <si>
    <t>5e61357b6e8c85cc3ab4cd8f9cb3e08a3acbd958</t>
  </si>
  <si>
    <t>5e2066d9333838d769e3e4387483a6fafd10b54d</t>
  </si>
  <si>
    <t>sandbox-core/src/main/java/com/alibaba/jvm/sandbox/core/enhance/weaver/asm/EventWeaver.java</t>
  </si>
  <si>
    <t xml:space="preserve">
@@ -111,18 +111,10 @@ public class EventWeaver extends ClassVisitor implements Opcodes, AsmTypes, AsmM
                                        final String desc) {
         final Type methodType = Type.getMethodType(desc);
         final Collection&lt;String&gt; parameterClassNameArray = new ArrayList&lt;String&gt;();
-        if (null != methodType.getArgumentTypes()) {
-            for (final Type parameterType : methodType.getArgumentTypes()) {
-                parameterClassNameArray.add(parameterType.getClassName());
-            }
+        for (final Type parameterType : methodType.getArgumentTypes()) {
+            parameterClassNameArray.add(parameterType.getClassName());
         }
-        final String signCode = String.format(
-                "%s#%s(%s)",
-                targetJavaClassName,
-                name,
-                join(parameterClassNameArray, ",")
-        );
-        return signCode;
+        return targetJavaClassName + "#" + name + "(" + join(parameterClassNameArray, ",") + ")";
     }
     @Override`</t>
  </si>
  <si>
    <t xml:space="preserve">
@@ -109,20 +109,17 @@ public class EventWeaver extends ClassVisitor implements Opcodes, AsmTypes, AsmM
     private String getBehaviorSignCode(final String name,
                                        final String desc) {
-        final Type methodType = Type.getMethodType(desc);
-        final Collection&lt;String&gt; parameterClassNameArray = new ArrayList&lt;String&gt;();
-        if (null != methodType.getArgumentTypes()) {
-            for (final Type parameterType : methodType.getArgumentTypes()) {
-                parameterClassNameArray.add(parameterType.getClassName());
+        final StringBuilder sb = new StringBuilder(256).append(targetJavaClassName).append("#").append(name).append("(");
+
+        final Type[] methodTypes = Type.getMethodType(desc).getArgumentTypes();
+        if (methodTypes.length != 0) {
+            sb.append(methodTypes[0].getClassName());
+            for (int i = 1; i &lt; methodTypes.length; i++) {
+                sb.append(",").append(methodTypes[i].getClassName());
             }
         }
-        final String signCode = String.format(
-                "%s#%s(%s)",
-                targetJavaClassName,
-                name,
-                join(parameterClassNameArray, ",")
-        );
-        return signCode;
+
+        return sb.append(")").toString();
     }
     @Override</t>
  </si>
  <si>
    <t xml:space="preserve">
    private String getBehaviorSignCode(final String name,
                                       final String desc) {
&lt;&lt;&lt;&lt;&lt;&lt;&lt; HEAD
        final Type methodType = Type.getMethodType(desc);
        final Collection&lt;String&gt; parameterClassNameArray = new ArrayList&lt;String&gt;();
        for (final Type parameterType : methodType.getArgumentTypes()) {
            parameterClassNameArray.add(parameterType.getClassName());
        }
        return targetJavaClassName + "#" + name + "(" + join(parameterClassNameArray, ",") + ")";
=======
        final StringBuilder sb = new StringBuilder(256).append(targetJavaClassName).append("#").append(name).append("(");
        final Type[] methodTypes = Type.getMethodType(desc).getArgumentTypes();
        if (methodTypes.length != 0) {
            sb.append(methodTypes[0].getClassName());
            for (int i = 1; i &lt; methodTypes.length; i++) {
                sb.append(",").append(methodTypes[i].getClassName());
            }
        }
        return sb.append(")").toString();
&gt;&gt;&gt;&gt;&gt;&gt;&gt; 5e61357b6e8c85cc3ab4cd8f9cb3e08a3acbd958
    }
</t>
  </si>
  <si>
    <t>D I vs. D I</t>
  </si>
  <si>
    <t xml:space="preserve">
    private String getBehaviorSignCode(final String name,
                                       final String desc) {
&lt;&lt;&lt;&lt;&lt;&lt;&lt; .../FSTMerge/fstmerge_tmp1647881311390/fstmerge_var1_4805058531255316093
        final Type methodType = Type.getMethodType(desc);
        final Collection&lt;String&gt; parameterClassNameArray = new ArrayList&lt;String&gt;();
        for (final Type parameterType : methodType.getArgumentTypes()) {
            parameterClassNameArray.add(parameterType.getClassName());
        }
        return targetJavaClassName + "#" + name + "(" + join(parameterClassNameArray, ",") + ")";
=======
        final StringBuilder sb = new StringBuilder(256).append(targetJavaClassName).append("#").append(name).append("(");
        final Type[] methodTypes = Type.getMethodType(desc).getArgumentTypes();
        if (methodTypes.length != 0) {
            sb.append(methodTypes[0].getClassName());
            for (int i = 1; i &lt; methodTypes.length; i++) {
                sb.append(",").append(methodTypes[i].getClassName());
            }
        }
        return sb.append(")").toString();
&gt;&gt;&gt;&gt;&gt;&gt;&gt; .../FSTMerge/fstmerge_tmp1647881311390/fstmerge_var2_7934634305923820214
    }</t>
  </si>
  <si>
    <t xml:space="preserve">
  private String getBehaviorSignCode(final String name, final String desc) {
    final StringBuilder sb = new StringBuilder(256).append(targetJavaClassName).append("#").append(name).append("(");
    final Type[] methodTypes = Type.getMethodType(desc).getArgumentTypes();
    for (final Type parameterType : methodType.getArgumentTypes()) {
      parameterClassNameArray.add(parameterType.getClassName());
    }
    return 
&lt;&lt;&lt;&lt;&lt;&lt;&lt; .../left/sandbox-core/src/main/java/com/alibaba/jvm/sandbox/core/enhance/weaver/asm/EventWeaver.java
    targetJavaClassName + "#" + name + "(" + join(parameterClassNameArray, ",") + ")"
=======
    sb.append(")").toString()
&gt;&gt;&gt;&gt;&gt;&gt;&gt; .../right/sandbox-core/src/main/java/com/alibaba/jvm/sandbox/core/enhance/weaver/asm/EventWeaver.java
    ;
  }</t>
  </si>
  <si>
    <t xml:space="preserve">
    private String getBehaviorSignCode(final String name,
                                       final String desc) {
&lt;&lt;&lt;&lt;&lt;&lt;&lt; ours
        final Type methodType = Type.getMethodType(desc);
        final Collection&lt;String&gt; parameterClassNameArray = new ArrayList&lt;String&gt;();
        for (final Type parameterType : methodType.getArgumentTypes()) {
            parameterClassNameArray.add(parameterType.getClassName());
=======
        final StringBuilder sb = new StringBuilder(256).append(targetJavaClassName).append("#").append(name).append("(");
        final Type[] methodTypes = Type.getMethodType(desc).getArgumentTypes();
        if (methodTypes.length != 0) {
            sb.append(methodTypes[0].getClassName());
            for (int i = 1; i &lt; methodTypes.length; i++) {
                sb.append(",").append(methodTypes[i].getClassName());
&gt;&gt;&gt;&gt;&gt;&gt;&gt; theirs
            }
&lt;&lt;&lt;&lt;&lt;&lt;&lt; ours
        return targetJavaClassName + "#" + name + "(" + join(parameterClassNameArray, ",") + ")";
=======
        }
        return sb.append(")").toString();
&gt;&gt;&gt;&gt;&gt;&gt;&gt; theirs
    }</t>
  </si>
  <si>
    <t xml:space="preserve">
    private String getBehaviorSignCode(final String name,
                                       final String desc) {
        final StringBuilder sb = new StringBuilder(256).append(targetJavaClassName).append("#").append(name).append("(");
&lt;&lt;&lt;&lt;&lt;&lt;&lt; ../jvm-sandbox/aae58823a31c4597b407630adcf877d5f56c0547/left/sandbox-core/src/main/java/com/alibaba/jvm/sandbox/core/enhance/weaver/asm/EventWeaver.java
||||||| ../jvm-sandbox/aae58823a31c4597b407630adcf877d5f56c0547/base/sandbox-core/src/main/java/com/alibaba/jvm/sandbox/core/enhance/weaver/asm/EventWeaver.java
        if (null != methodType.getArgumentTypes()) {
=======
        final Type[] methodTypes = Type.getMethodType(desc).getArgumentTypes();        
&gt;&gt;&gt;&gt;&gt;&gt;&gt; ../jvm-sandbox/aae58823a31c4597b407630adcf877d5f56c0547/right/sandbox-core/src/main/java/com/alibaba/jvm/sandbox/core/enhance/weaver/asm/EventWeaver.java
&lt;&lt;&lt;&lt;&lt;&lt;&lt; ../jvm-sandbox/aae58823a31c4597b407630adcf877d5f56c0547/left/sandbox-core/src/main/java/com/alibaba/jvm/sandbox/core/enhance/weaver/asm/EventWeaver.java
        for (final Type parameterType : methodType.getArgumentTypes()) {
            parameterClassNameArray.add(parameterType.getClassName());
||||||| ../jvm-sandbox/aae58823a31c4597b407630adcf877d5f56c0547/base/sandbox-core/src/main/java/com/alibaba/jvm/sandbox/core/enhance/weaver/asm/EventWeaver.java
            for (final Type parameterType : methodType.getArgumentTypes()) {
                parameterClassNameArray.add(parameterType.getClassName());
=======
        if (methodTypes.length != 0) {
            sb.append(methodTypes[0].getClassName());
&gt;&gt;&gt;&gt;&gt;&gt;&gt; ../jvm-sandbox/aae58823a31c4597b407630adcf877d5f56c0547/right/sandbox-core/src/main/java/com/alibaba/jvm/sandbox/core/enhance/weaver/asm/EventWeaver.java
            for (int i = 1; i &lt; methodTypes.length; i++) {
                sb.append(",").append(methodTypes[i].getClassName());
        }
        return targetJavaClassName + "#" + name + "(" + join(parameterClassNameArray, ",") + ")";
&lt;&lt;&lt;&lt;&lt;&lt;&lt; ../jvm-sandbox/aae58823a31c4597b407630adcf877d5f56c0547/left/sandbox-core/src/main/java/com/alibaba/jvm/sandbox/core/enhance/weaver/asm/EventWeaver.java
||||||| ../jvm-sandbox/aae58823a31c4597b407630adcf877d5f56c0547/base/sandbox-core/src/main/java/com/alibaba/jvm/sandbox/core/enhance/weaver/asm/EventWeaver.java
        final String signCode = String.format(
                "%s#%s(%s)",
=======
        return sb.append(")").toString();
&gt;&gt;&gt;&gt;&gt;&gt;&gt; ../jvm-sandbox/aae58823a31c4597b407630adcf877d5f56c0547/right/sandbox-core/src/main/java/com/alibaba/jvm/sandbox/core/enhance/weaver/asm/EventWeaver.java
    }</t>
  </si>
  <si>
    <t>https://github.com/auth0/java-jwt</t>
  </si>
  <si>
    <t>java-jwt</t>
  </si>
  <si>
    <t>41e4ff4374c6d6ff40f4f5546932a92c059d2c72</t>
  </si>
  <si>
    <t>8e0fa7818084a7ad968ff14e20f5da0dbd3e8ede</t>
  </si>
  <si>
    <t>5dbe4e84eef0422720f504cb10a4ec03e87cf2e8</t>
  </si>
  <si>
    <t>99195bf74825166bb85893d6687a6ef5362803ad</t>
  </si>
  <si>
    <t>lib/src/test/java/com/auth0/jwt/impl/PayloadImplTest.java</t>
  </si>
  <si>
    <t xml:space="preserve">
@@ -11,10 +11,10 @@ import org.junit.Before;
 import org.junit.Rule;
 import org.junit.Test;
 import org.junit.rules.ExpectedException;
-import org.mockito.Mockito;
+import java.sql.Date;
+import java.time.Instant;
 import java.util.Collections;
-import java.util.Date;
 import java.util.HashMap;
 import java.util.Map;</t>
  </si>
  <si>
    <t xml:space="preserve">
@@ -13,10 +13,7 @@ import org.junit.Test;
 import org.junit.rules.ExpectedException;
 import org.mockito.Mockito;
-import java.util.Collections;
-import java.util.Date;
-import java.util.HashMap;
-import java.util.Map;
+import java.util.*;
 import static com.auth0.jwt.impl.JWTParser.getDefaultObjectMapper;
 import static org.hamcrest.MatcherAssert.assertThat;</t>
  </si>
  <si>
    <t xml:space="preserve">
&lt;&lt;&lt;&lt;&lt;&lt;&lt; HEAD
import java.sql.Date;
import java.time.Instant;
import java.util.Collections;
import java.util.HashMap;
import java.util.Map;
=======
import java.util.*;
&gt;&gt;&gt;&gt;&gt;&gt;&gt; 5dbe4e84eef0422720f504cb10a4ec03e87cf2e8</t>
  </si>
  <si>
    <t xml:space="preserve">
@@ -11,10 +11,11 @@ import org.junit.Before;
 import org.junit.Rule;
 import org.junit.Test;
 import org.junit.rules.ExpectedException;
-import org.mockito.Mockito;
+import java.sql.Date;
+import java.time.Instant;
+import java.util.ArrayList;
 import java.util.Collections;
-import java.util.Date;
 import java.util.HashMap;
 import java.util.Map;</t>
  </si>
  <si>
    <t>D I vs. D I
Origin(D I vs. U)</t>
  </si>
  <si>
    <t>partial L and modification(add arraylist)</t>
  </si>
  <si>
    <t xml:space="preserve">
import org.junit.Before;
import org.junit.Rule;
import org.junit.Test;
import org.junit.rules.ExpectedException;
import java.sql.Date;
import java.time.Instant;
import java.util.*;
import static com.auth0.jwt.impl.JWTParser.getDefaultObjectMapper;</t>
  </si>
  <si>
    <t xml:space="preserve">
import org.junit.Before;
import org.junit.Rule;
import org.junit.Test;
import org.junit.rules.ExpectedException;
import java.sql.Date;
import java.time.Instant;
import org.mockito.Mockito;
</t>
  </si>
  <si>
    <t>accept both sides but keep one removed line from left</t>
  </si>
  <si>
    <t xml:space="preserve">
&lt;&lt;&lt;&lt;&lt;&lt;&lt; ../java-jwt/41e4ff4374c6d6ff40f4f5546932a92c059d2c72/left/lib/src/test/java/com/auth0/jwt/impl/PayloadImplTest.java
import java.sql.Date;
||||||| ../java-jwt/41e4ff4374c6d6ff40f4f5546932a92c059d2c72/base/lib/src/test/java/com/auth0/jwt/impl/PayloadImplTest.java
import java.util.Collections;
import java.util.Date;
import java.util.HashMap;
import java.util.Map;
=======
import java.util.*;
&gt;&gt;&gt;&gt;&gt;&gt;&gt; ../java-jwt/41e4ff4374c6d6ff40f4f5546932a92c059d2c72/right/lib/src/test/java/com/auth0/jwt/impl/PayloadImplTest.java</t>
  </si>
  <si>
    <t>https://github.com/Atmosphere/atmosphere</t>
  </si>
  <si>
    <t>atmosphere</t>
  </si>
  <si>
    <t>491be235eb726299a16cb480cf8967e3696add82</t>
  </si>
  <si>
    <t>00ba84dba866fbf23dbb412ab0edb95700c3c608</t>
  </si>
  <si>
    <t>db6328f79fc54a968a2c5ec85e22a072469a3c51</t>
  </si>
  <si>
    <t>6de59d0bdcad15d707e59c5e802b4a3a50715cee</t>
  </si>
  <si>
    <t>modules/pom.xml</t>
  </si>
  <si>
    <t xml:space="preserve">
     &lt;modelVersion&gt;4.0.0&lt;/modelVersion&gt;
     &lt;groupId&gt;org.atmosphere&lt;/groupId&gt;
     &lt;artifactId&gt;atmosphere-modules&lt;/artifactId&gt;
-    &lt;version&gt;2.3.1-SNAPSHOT&lt;/version&gt;
     &lt;packaging&gt;pom&lt;/packaging&gt;
     &lt;name&gt;atmosphere-modules&lt;/name&gt;
     &lt;url&gt;https://github.com/Atmosphere/atmosphere&lt;/url&gt;</t>
  </si>
  <si>
    <t xml:space="preserve">
     &lt;modelVersion&gt;4.0.0&lt;/modelVersion&gt;
     &lt;groupId&gt;org.atmosphere&lt;/groupId&gt;
     &lt;artifactId&gt;atmosphere-modules&lt;/artifactId&gt;
-    &lt;version&gt;2.3.1-SNAPSHOT&lt;/version&gt;
+    &lt;version&gt;2.3.2-SNAPSHOT&lt;/version&gt;
     &lt;packaging&gt;pom&lt;/packaging&gt;
     &lt;name&gt;atmosphere-modules&lt;/name&gt;
     &lt;url&gt;https://github.com/Atmosphere/atmosphere&lt;/url&gt;</t>
  </si>
  <si>
    <t xml:space="preserve">
    &lt;modelVersion&gt;4.0.0&lt;/modelVersion&gt;
    &lt;groupId&gt;org.atmosphere&lt;/groupId&gt;
    &lt;artifactId&gt;atmosphere-modules&lt;/artifactId&gt;
&lt;&lt;&lt;&lt;&lt;&lt;&lt; HEAD
=======
    &lt;version&gt;2.3.2-SNAPSHOT&lt;/version&gt;
&gt;&gt;&gt;&gt;&gt;&gt;&gt; db6328f79fc54a968a2c5ec85e22a072469a3c51
    &lt;packaging&gt;pom&lt;/packaging&gt;
    &lt;name&gt;atmosphere-modules&lt;/name&gt;
    &lt;url&gt;https://github.com/Atmosphere/atmosphere&lt;/url&gt;</t>
  </si>
  <si>
    <t xml:space="preserve">
     &lt;modelVersion&gt;4.0.0&lt;/modelVersion&gt;
     &lt;groupId&gt;org.atmosphere&lt;/groupId&gt;
     &lt;artifactId&gt;atmosphere-modules&lt;/artifactId&gt;
-    &lt;version&gt;2.3.1-SNAPSHOT&lt;/version&gt;
+    &lt;version&gt;3.0.0-SNAPSHOT&lt;/version&gt;
     &lt;packaging&gt;pom&lt;/packaging&gt;
     &lt;name&gt;atmosphere-modules&lt;/name&gt;
     &lt;url&gt;https://github.com/Atmosphere/atmosphere&lt;/url&gt;</t>
  </si>
  <si>
    <t>D vs. U (xml, version no)</t>
  </si>
  <si>
    <t>update to a new version</t>
  </si>
  <si>
    <t xml:space="preserve">
   &lt;modelVersion&gt;4.0.0&lt;/modelVersion&gt;
   &lt;groupId&gt;org.atmosphere&lt;/groupId&gt;
   &lt;artifactId&gt;atmosphere-modules&lt;/artifactId&gt;
   &lt;version&gt;2.3.1-SNAPSHOT&lt;/version&gt;
   &lt;packaging&gt;pom&lt;/packaging&gt;</t>
  </si>
  <si>
    <t>keep base version, not left or right</t>
  </si>
  <si>
    <t xml:space="preserve">
&lt;&lt;&lt;&lt;&lt;&lt;&lt; ../atmosphere/491be235eb726299a16cb480cf8967e3696add82/left/modules/pom.xml
||||||| ../atmosphere/491be235eb726299a16cb480cf8967e3696add82/base/modules/pom.xml
    &lt;version&gt;2.3.1-SNAPSHOT&lt;/version&gt;
=======
    &lt;version&gt;2.3.2-SNAPSHOT&lt;/version&gt;
&gt;&gt;&gt;&gt;&gt;&gt;&gt; ../atmosphere/491be235eb726299a16cb480cf8967e3696add82/right/modules/pom.xml</t>
  </si>
  <si>
    <t>https://github.com/zhoutaoo/SpringCloud</t>
  </si>
  <si>
    <t>SpringCloud</t>
  </si>
  <si>
    <t>4cfa5fb7f8bda08b3e148621bc8e6ee52fbbcf20</t>
  </si>
  <si>
    <t>c64ae041270f5373aa9456ff012e02e90c33d375</t>
  </si>
  <si>
    <t>77991fbd34068012371e0bada284ee6def30595f</t>
  </si>
  <si>
    <t>e14248afe9c959115a4360f7c6bf25b7d86a2618</t>
  </si>
  <si>
    <t>docker-compose/readme.md</t>
  </si>
  <si>
    <t xml:space="preserve">
-## 启动阿里注册中心
+## 启动监控类服务，如springboot-admin、sentinel-dashboard
-`docker-compose -f docker-compose.yml -f docker-compose.nacos.yml up`
\ No newline at end of file
+`docker-compose -f docker-compose.yml -f docker-compose.monitor.yml up`
\ No newline at end of file</t>
  </si>
  <si>
    <t xml:space="preserve">
@@ -16,4 +16,8 @@ postgres、redis、rabbitmq
 ## 启动阿里注册中心
-`docker-compose -f docker-compose.yml -f docker-compose.nacos.yml up`
\ No newline at end of file
+`docker-compose -f docker-compose.yml -f docker-compose.nacos.yml up`
+
+## 启动MOSS
+
+`docker-compose -f docker-compose.yml -f docker-compose.nacos.yml up moss`
\ No newline at end of file
</t>
  </si>
  <si>
    <t xml:space="preserve">
## 启动监控类服务，如springboot-admin、sentinel-dashboard
&lt;&lt;&lt;&lt;&lt;&lt;&lt; HEAD
`docker-compose -f docker-compose.yml -f docker-compose.monitor.yml up`
=======
`docker-compose -f docker-compose.yml -f docker-compose.nacos.yml up`
## 启动MOSS
`docker-compose -f docker-compose.yml -f docker-compose.nacos.yml up moss`
&gt;&gt;&gt;&gt;&gt;&gt;&gt; 77991fbd34068012371e0bada284ee6def30595f
</t>
  </si>
  <si>
    <t xml:space="preserve">
-## 启动阿里注册中心
+## 启动监控类服务，如springboot-admin、sentinel-dashboard
-`docker-compose -f docker-compose.yml -f docker-compose.nacos.yml up`
\ No newline at end of file
+`docker-compose -f docker-compose.yml -f docker-compose.monitor.yml up`
+
+## 启动MOSS
+
+`docker-compose -f docker-compose.yml -f docker-compose.moss.yml up moss`</t>
  </si>
  <si>
    <t>U vs. U I</t>
  </si>
  <si>
    <t>accept both sides puls additional change(add additional lines)</t>
  </si>
  <si>
    <t xml:space="preserve">
## 启动监控类服务，如springboot-admin、sentinel-dashboard
`docker-compose -f docker-compose.yml -f docker-compose.monitor.yml up`
## 启动MOSS
`docker-compose -f docker-compose.yml -f docker-compose.nacos.yml up moss`</t>
  </si>
  <si>
    <t>https://github.com/oldmanpushcart/greys-anatomy</t>
  </si>
  <si>
    <t>greys-anatomy</t>
  </si>
  <si>
    <t>025cc5ca25926aad8c95ff80d310e30e1a9a5a67</t>
  </si>
  <si>
    <t>d3ed214b8ffc25c24190a394b15eeb40cd9887e2</t>
  </si>
  <si>
    <t>ec706c9bca7080b9db16f9f7cab022dbe60e0e90</t>
  </si>
  <si>
    <t>a692468f48c9da6dae5db85ec275d4ff1df24480</t>
  </si>
  <si>
    <t>src/main/java/com/googlecode/greysanatomy/GreysAnatomyMain.java</t>
  </si>
  <si>
    <t xml:space="preserve">
         if (null == attachVmdObj) {
-            throw new IllegalArgumentException("pid:" + configer.getJavaPid() + " not existed.");
+            throw new IllegalArgumentException("pid:" + configure.getJavaPid() + " not existed.");
         }</t>
  </si>
  <si>
    <t xml:space="preserve">
         if (null == attachVmdObj) {
-            throw new IllegalArgumentException("pid:" + configer.getJavaPid() + " not existed.");
+            // throw new IllegalArgumentException("pid:" + configer.getJavaPid() + " not existed.");
         }</t>
  </si>
  <si>
    <t xml:space="preserve">
        if (null == attachVmdObj) {
&lt;&lt;&lt;&lt;&lt;&lt;&lt; HEAD
            throw new IllegalArgumentException("pid:" + configure.getJavaPid() + " not existed.");
=======
            // throw new IllegalArgumentException("pid:" + configer.getJavaPid() + " not existed.");
&gt;&gt;&gt;&gt;&gt;&gt;&gt; ec706c9bca7080b9db16f9f7cab022dbe60e0e90
        }</t>
  </si>
  <si>
    <t xml:space="preserve">
         if (null == attachVmdObj) {
-            throw new IllegalArgumentException("pid:" + configer.getJavaPid() + " not existed.");
+            // throw new IllegalArgumentException("pid:" + configure.getJavaPid() + " not existed.");
         }</t>
  </si>
  <si>
    <t>accept both sides and mix in one line</t>
  </si>
  <si>
    <t xml:space="preserve">
    &lt;&lt;&lt;&lt;&lt;&lt;&lt; .../FSTMerge/fstmerge_tmp1647881351584/fstmerge_var1_2125029991635626717
=======
private void attachAgent(Configer configer) throws IOException, ClassNotFoundException, IllegalArgumentException, SecurityException, IllegalAccessException, InvocationTargetException, NoSuchMethodException {
        final ClassLoader loader = Thread.currentThread().getContextClassLoader();
        final Class&lt;?&gt; vmdClass = loader.loadClass("com.sun.tools.attach.VirtualMachineDescriptor");
        final Class&lt;?&gt; vmClass = loader.loadClass("com.sun.tools.attach.VirtualMachine");
        Object attachVmdObj = null;
        for (Object obj : (List&lt;?&gt;) vmClass.getMethod("list", (Class&lt;?&gt;[]) null).invoke(null, (Object[]) null)) {
            if (((String) vmdClass.getMethod("id", (Class&lt;?&gt;[]) null).invoke(obj, (Object[]) null)).equals("" + configer.getJavaPid())) {
                attachVmdObj = obj;
            }
        }
        if (null == attachVmdObj) {
            // throw new IllegalArgumentException("pid:" + configer.getJavaPid() + " not existed.");
        }
        Object vmObj = null;
        try {
            if (null == attachVmdObj) { // ʹ�� attach(String pid) ���ַ�ʽ
                vmObj = vmClass.getMethod("attach", String.class).invoke(null, "" + configer.getJavaPid());
            } else {
                vmObj = vmClass.getMethod("attach", vmdClass).invoke(null, attachVmdObj);
            }
            vmClass.getMethod("loadAgent", String.class, String.class).invoke(vmObj, JARFILE, configer.toString());
        } finally {
            if (null != vmObj) {
                vmClass.getMethod("detach", (Class&lt;?&gt;[]) null).invoke(vmObj, (Object[]) null);
            }
        }
    }
&gt;&gt;&gt;&gt;&gt;&gt;&gt; .../FSTMerge/fstmerge_tmp1647881351584/fstmerge_var2_7268073386084136198
</t>
  </si>
  <si>
    <t xml:space="preserve">
    if (null == attachVmdObj) {
&lt;&lt;&lt;&lt;&lt;&lt;&lt; .../left/src/main/java/com/googlecode/greysanatomy/GreysAnatomyMain.java
      throw new IllegalArgumentException("pid:" + configure.getJavaPid() + " not existed.");
=======
&gt;&gt;&gt;&gt;&gt;&gt;&gt; Unknown file: This is a bug in JDime.
    }</t>
  </si>
  <si>
    <t xml:space="preserve">
        if (null == attachVmdObj) {
&lt;&lt;&lt;&lt;&lt;&lt;&lt; ours
            throw new IllegalArgumentException("pid:" + configure.getJavaPid() + " not existed.");
=======
            // throw new IllegalArgumentException("pid:" + configer.getJavaPid() + " not existed.");
&gt;&gt;&gt;&gt;&gt;&gt;&gt; theirs
        }</t>
  </si>
  <si>
    <t xml:space="preserve">
    if (null == attachVmdObj) {
      throw new IllegalArgumentException("pid:" + configure.getJavaPid() + " not existed.");
    }</t>
  </si>
  <si>
    <t xml:space="preserve">
        if (null == attachVmdObj) {
&lt;&lt;&lt;&lt;&lt;&lt;&lt; ../greys-anatomy/025cc5ca25926aad8c95ff80d310e30e1a9a5a67/left/src/main/java/com/googlecode/greysanatomy/GreysAnatomyMain.java
            throw new IllegalArgumentException("pid:" + configure.getJavaPid() + " not existed.");
||||||| ../greys-anatomy/025cc5ca25926aad8c95ff80d310e30e1a9a5a67/base/src/main/java/com/googlecode/greysanatomy/GreysAnatomyMain.java
            throw new IllegalArgumentException("pid:" + configer.getJavaPid() + " not existed.");
=======
            // throw new IllegalArgumentException("pid:" + configer.getJavaPid() + " not existed.");
&gt;&gt;&gt;&gt;&gt;&gt;&gt; ../greys-anatomy/025cc5ca25926aad8c95ff80d310e30e1a9a5a67/right/src/main/java/com/googlecode/greysanatomy/GreysAnatomyMain.java</t>
  </si>
  <si>
    <t>https://github.com/codingapi/tx-lcn</t>
  </si>
  <si>
    <t>tx-lcn</t>
  </si>
  <si>
    <t>dafb5ec0c2922a0c11bd8bb2e42c57bd952ed3e9</t>
  </si>
  <si>
    <t>ab44765377dcf6236136fe2a2e89995ab73b1cb3</t>
  </si>
  <si>
    <t>4a50e1937323b1e4422f87687c88cc6401007275</t>
  </si>
  <si>
    <t>fed68654f29c7e54c4796be70d51dd6d42c57669</t>
  </si>
  <si>
    <t>tx-spi-message-netty/src/main/java/com/codingapi/tx/spi/message/netty/impl/NettyRpcClientInitializer.java</t>
  </si>
  <si>
    <t xml:space="preserve">
--- a/tx-spi-message-netty/src/main/java/com/codingapi/tx/spi/message/netty/impl/NettyRpcClientInitializer.java
+++ b/tx-spi-message-netty/src/main/java/com/codingapi/tx/spi/message/netty/impl/NettyRpcClientInitializer.java
</t>
  </si>
  <si>
    <t xml:space="preserve">
--- a/tx-spi-message-netty/src/main/java/com/codingapi/tx/spi/message/netty/impl/NettyRpcClientInitializer.java
+++ /dev/null</t>
  </si>
  <si>
    <t xml:space="preserve">
CONFLICT (modify/delete): tx-spi-message-netty/src/main/java/com/codingapi/tx/spi/message/netty/impl/NettyRpcClientInitializer.java deleted in 4a50e1937323b1e4422f87687c88cc6401007275 and modified in HEAD. Version HEAD of tx-spi-message-netty/src/main/java/com/codingapi/tx/spi/message/netty/impl/NettyRpcClientInitializer.java left in tree.</t>
  </si>
  <si>
    <t xml:space="preserve">
--- a/tx-spi-message-netty/src/main/java/com/codingapi/tx/spi/message/netty/impl/NettyRpcClientInitializer.java
+++ b/tx-spi-message-netty/src/main/java/com/codingapi/tx/spi/message/netty/impl/NettyRpcClientInitializer.java</t>
  </si>
  <si>
    <t>U vs. D (Java file)</t>
  </si>
  <si>
    <t xml:space="preserve">
    &lt;&lt;&lt;&lt;&lt;&lt;&lt; .../FSTMerge/fstmerge_tmp1647924605664/fstmerge_var1_1995276554068275195
@Override
    public void init(List&lt;TxManagerHost&gt; hosts) {
        NettyContext.type = NettyType.client;
        NettyContext.params = hosts;
        workerGroup = new NioEventLoopGroup();
        for (TxManagerHost host : hosts) {
            connect(new InetSocketAddress(host.getHost(), host.getPort()));
        }
    }
=======
&gt;&gt;&gt;&gt;&gt;&gt;&gt; .../FSTMerge/fstmerge_tmp1647924605664/fstmerge_var2_6678130190680217908
</t>
  </si>
  <si>
    <t xml:space="preserve">
&lt;&lt;&lt;&lt;&lt;&lt;&lt; ../tx-lcn/dafb5ec0c2922a0c11bd8bb2e42c57bd952ed3e9/left/tx-spi-message-netty/src/main/java/com/codingapi/tx/spi/message/netty/impl/NettyRpcClientInitializer.java
import com.codingapi.tx.spi.message.RpcConfig;
||||||| ../tx-lcn/dafb5ec0c2922a0c11bd8bb2e42c57bd952ed3e9/base/tx-spi-message-netty/src/main/java/com/codingapi/tx/spi/message/netty/impl/NettyRpcClientInitializer.java
=======
&gt;&gt;&gt;&gt;&gt;&gt;&gt; ../tx-lcn/dafb5ec0c2922a0c11bd8bb2e42c57bd952ed3e9/right/tx-spi-message-netty/src/main/java/com/codingapi/tx/spi/message/netty/impl/NettyRpcClientInitializer.java</t>
  </si>
  <si>
    <t>https://github.com/roncoo/roncoo-pay</t>
  </si>
  <si>
    <t>roncoo-pay</t>
  </si>
  <si>
    <t>2c4e1b951da74d3896f5843c9d14000f6a1135c9</t>
  </si>
  <si>
    <t>e9bad20eb80f8b8e399e6e7e6747c0adc5cf0d65</t>
  </si>
  <si>
    <t>80fabf6795839c03ddf096213402c517eeea37ef</t>
  </si>
  <si>
    <t>7ef653ac7077b0bc0035d6f82db42a611ea1dcf2</t>
  </si>
  <si>
    <t>roncoo-pay-web-boss/src/main/webapp/jsp/system/login.jsp</t>
  </si>
  <si>
    <t xml:space="preserve">
@@ -75,12 +75,6 @@
                 &lt;/div&gt;
             &lt;/form&gt;
-            &lt;div&gt;
-                &lt;br/&gt; &lt;br/&gt; &lt;font color="red"&gt;请先到&lt;a href="http://www.roncoo.com?fromSource=roncoo-pay" target="_blank"&gt;龙果学院&lt;/a&gt;注册,
-                然后使用注册账户登录!
-            &lt;/font&gt;
-            &lt;/div&gt;
-
                         &lt;/div&gt;
                         &lt;div class="login_banner"&gt;
                                 &lt;img src="${baseURL }/dwz/themes/default/images/login_banner.jpg" /&gt;</t>
  </si>
  <si>
    <t xml:space="preserve">
-            &lt;div&gt;
-                &lt;br/&gt; &lt;br/&gt; &lt;font color="red"&gt;请先到&lt;a href="http://www.roncoo.com?fromSource=roncoo-pay" target="_blank"&gt;龙果学院&lt;/a&gt;注册,
-                然后使用注册账户登录!
-            &lt;/font&gt;
-            &lt;/div&gt;
+                                &lt;/c:if&gt;
+                                &lt;div class="login_bar"&gt;
+                                        &lt;input class="sub" type="submit" value=" "/&gt;
+                                &lt;/div&gt;
+                        &lt;/form&gt;</t>
  </si>
  <si>
    <t xml:space="preserve">
&lt;&lt;&lt;&lt;&lt;&lt;&lt; HEAD
                                        &lt;c:if test="${captchaEbabled}"&gt;
                                                &lt;div class="login_code"&gt;
                                                        &lt;ul&gt;
                                                                &lt;li&gt;
                                                                        &lt;label&gt;验证码：&lt;/label&gt;
                                                                &lt;/li&gt;
                                                                &lt;li class="input_code"&gt;
                                                                        &lt;input id="code" name="captchaCode" size="6" /&gt;
                                                                &lt;/li&gt;
                                                                &lt;li&gt;
                                                                        &lt;span&gt; &lt;img class="rcCaptcha-btn rcCaptcha-img" src="${baseURL}/rcCaptcha.jpg" alt="点击更换验证码" title="点击更换验证码" width="65" height="24" /&gt;
                                                                        &lt;/span&gt;
                            &lt;/li&gt;
                        &lt;/ul&gt;
                    &lt;/div&gt;
                &lt;/c:if&gt;
                &lt;div class="login_bar"&gt;
                    &lt;input class="sub" type="submit" value=" "/&gt;
                &lt;/div&gt;
            &lt;/form&gt;
                        &lt;/div&gt;
                        &lt;div class="login_banner"&gt;
                                &lt;img src="${baseURL }/dwz/themes/default/images/login_banner.jpg" /&gt;
                        &lt;/div&gt;
                        &lt;div class="login_main"&gt;
                                &lt;ul class="helpList"&gt;
                                &lt;/ul&gt;
                                &lt;div class="login_inner"&gt;&lt;/div&gt;
                        &lt;/div&gt;
=======
                                &lt;/c:if&gt;
                                &lt;div class="login_bar"&gt;
                                        &lt;input class="sub" type="submit" value=" "/&gt;
                                &lt;/div&gt;
                        &lt;/form&gt;
&gt;&gt;&gt;&gt;&gt;&gt;&gt; 80fabf6795839c03ddf096213402c517eeea37ef</t>
  </si>
  <si>
    <t>D vs. D I (.jsp)</t>
  </si>
  <si>
    <t xml:space="preserve">
					&lt;/div&gt;
				&lt;/c:if&gt;
				&lt;div class="login_bar"&gt;
					&lt;input class="sub" type="submit" value=" "/&gt;
				&lt;/div&gt;
			&lt;/form&gt;
		&lt;/div&gt;
		&lt;div class="login_banner"&gt;
			&lt;img src="${baseURL }/dwz/themes/default/images/login_banner.jpg" /&gt;
		&lt;/div&gt;</t>
  </si>
  <si>
    <t>https://github.com/deathmarine/Luyten</t>
  </si>
  <si>
    <t>Luyten</t>
  </si>
  <si>
    <t>f2153b295cf851a1b317c2a47f0852b13e55dff2</t>
  </si>
  <si>
    <t>7fefb1bc37644ddb4a864270e9110280d05a43f1</t>
  </si>
  <si>
    <t>87d3718a252e309b196d4a8234619f9b16cb981c</t>
  </si>
  <si>
    <t>86ca2f210b176de5437c2a6dcf030ee7b3afc54b</t>
  </si>
  <si>
    <t>src/com/modcrafting/luyten/Selection.java</t>
  </si>
  <si>
    <t xml:space="preserve">
rename from src/com/modcrafting/luyten/*.java
rename to src/us/deathmarine/luyten/*.java</t>
  </si>
  <si>
    <t xml:space="preserve">
--- /dev/null
+++ b/src/com/modcrafting/luyten/Selection.java</t>
  </si>
  <si>
    <t xml:space="preserve">
CONFLICT (file location): src/com/modcrafting/luyten/Selection.java added in 87d3718a252e309b196d4a8234619f9b16cb981c inside a directory that was renamed in HEAD, suggesting it should perhaps be moved to src/us/deathmarine/luyten/Selection.java.</t>
  </si>
  <si>
    <t xml:space="preserve">
--- /dev/null
+++ b/src/us/deathmarine/luyten/Selection.java</t>
  </si>
  <si>
    <t>U vs. I (folder rename vs. file insertion)</t>
  </si>
  <si>
    <t>accept both sides plus additional change(change package name)</t>
  </si>
  <si>
    <t>keep both folder before and after renaming but remove part files</t>
  </si>
  <si>
    <t>keep both sides partially but also remove some files</t>
  </si>
  <si>
    <t>keep the folder before renaming and the folder and renaming, insert the new added file in the folder before renaming</t>
  </si>
  <si>
    <t>keep both sides partially</t>
  </si>
  <si>
    <t>merge 0 file because nothing match</t>
  </si>
  <si>
    <t>https://github.com/confluentinc/ksql</t>
  </si>
  <si>
    <t>ksql</t>
  </si>
  <si>
    <t>a11d25d2fb2213127b8df35e9e6de3118aff2adb</t>
  </si>
  <si>
    <t>57088e28d1bee3e59c0ef4aac6c8001a64980261</t>
  </si>
  <si>
    <t>7645abd7c8e00e3c0e83796fe592357684776a90</t>
  </si>
  <si>
    <t>b3db23ca536ffe32c3fd78449d5554568bc1118a</t>
  </si>
  <si>
    <t>ksqldb-rest-app/src/test/java/io/confluent/ksql/rest/server/services/TestDefaultKsqlClientFactory.java</t>
  </si>
  <si>
    <t xml:space="preserve">
@@ -12,7 +14,13 @@ public class TestDefaultKsqlClientFactory {
   // Creates an instance with no auth
   public static SimpleKsqlClient instance(Map&lt;String, Object&gt; clientProps) {
-    return new DefaultKsqlClient(Optional.empty(), clientProps);
+    return new DefaultKsqlClient(Optional.empty(), clientProps, SocketAddress::inetSocketAddress);
+  }
+
+  // Creates an instance with no auth
+  public static SimpleKsqlClient instance(Map&lt;String, Object&gt; clientProps,
+      final BiFunction&lt;Integer, String, SocketAddress&gt; socketAddressFactory) {
+    return new DefaultKsqlClient(Optional.empty(), clientProps, socketAddressFactory);
   }
 }</t>
  </si>
  <si>
    <t xml:space="preserve">
@@ -12,7 +13,7 @@ public class TestDefaultKsqlClientFactory {
   // Creates an instance with no auth
   public static SimpleKsqlClient instance(Map&lt;String, Object&gt; clientProps) {
-    return new DefaultKsqlClient(Optional.empty(), clientProps);
+    return new DefaultKsqlClient(Optional.empty(), clientProps, SocketAddress::inetSocketAddress);
   }
 }</t>
  </si>
  <si>
    <t xml:space="preserve">
public class TestDefaultKsqlClientFactory {
  // Creates an instance with no auth
  public static SimpleKsqlClient instance(Map&lt;String, Object&gt; clientProps) {
    return new DefaultKsqlClient(Optional.empty(), clientProps, SocketAddress::inetSocketAddress);
&lt;&lt;&lt;&lt;&lt;&lt;&lt; HEAD
  }
  // Creates an instance with no auth
  public static SimpleKsqlClient instance(Map&lt;String, Object&gt; clientProps,
      final BiFunction&lt;Integer, String, SocketAddress&gt; socketAddressFactory) {
    return new DefaultKsqlClient(Optional.empty(), clientProps, socketAddressFactory);
=======
&gt;&gt;&gt;&gt;&gt;&gt;&gt; 7645abd7c8e00e3c0e83796fe592357684776a90
  }
}</t>
  </si>
  <si>
    <t>I + N
L includes R
Origin(U I vs. U)</t>
  </si>
  <si>
    <t xml:space="preserve">
public class TestDefaultKsqlClientFactory {
  public static SimpleKsqlClient instance(Map&lt;String, Object&gt; clientProps) {
    return new DefaultKsqlClient(Optional.empty(), clientProps, SocketAddress::inetSocketAddress);
  }
  public static SimpleKsqlClient instance(Map&lt;String, Object&gt; clientProps, final BiFunction&lt;Integer, String, SocketAddress&gt; socketAddressFactory) {
    return new DefaultKsqlClient(Optional.empty(), clientProps, socketAddressFactory);
  }</t>
  </si>
  <si>
    <t>only left but no comment</t>
  </si>
  <si>
    <t xml:space="preserve">
public class TestDefaultKsqlClientFactory {  // Creates an instance with no auth
  public static SimpleKsqlClient instance(Map&lt;String, Object&gt; clientProps) {
    return new DefaultKsqlClient(Optional.empty(), clientProps, SocketAddress::inetSocketAddress);
  }
  // Creates an instance with no auth
  public static SimpleKsqlClient instance(Map&lt;String, Object&gt; clientProps,
      final BiFunction&lt;Integer, String, SocketAddress&gt; socketAddressFactory) {
    return new DefaultKsqlClient(Optional.empty(), clientProps, socketAddressFactory);
  }</t>
  </si>
  <si>
    <t xml:space="preserve">
  // Creates an instance with no auth
  public static SimpleKsqlClient instance(Map&lt;String, Object&gt; clientProps) {
    return new DefaultKsqlClient(Optional.empty(), clientProps, SocketAddress::inetSocketAddress);
  }
  // Creates an instance with no auth
  public static SimpleKsqlClient instance(Map&lt;String, Object&gt; clientProps,
      final BiFunction&lt;Integer, String, SocketAddress&gt; socketAddressFactory) {
    return new DefaultKsqlClient(Optional.empty(), clientProps, socketAddressFactory);
  }
}</t>
  </si>
  <si>
    <t>https://github.com/bluelinelabs/LoganSquare</t>
  </si>
  <si>
    <t>LoganSquare</t>
  </si>
  <si>
    <t>a928069d8bd987348aad5f5c0756c65ac1e1d27c</t>
  </si>
  <si>
    <t>b6036290ec1cb2958933afae6e55ba922c02d1ad</t>
  </si>
  <si>
    <t>12269f2a9afd3c4ba636baa9d8e1f7bb2553da71</t>
  </si>
  <si>
    <t>6af7ee2376f1e971fb112ad7de1dd0a94b4dbdc9</t>
  </si>
  <si>
    <t>processor/src/main/java/com/bluelinelabs/logansquare/processor/type/field/TypeConverterFieldType.java</t>
  </si>
  <si>
    <t xml:space="preserve">
@@ -39,7 +41,7 @@ public class TypeConverterFieldType extends FieldType {
     }
     @Override
-    public void serialize(Builder builder, int depth, String fieldName, String getter, boolean isObjectProperty, boolean checkIfNull, boolean writeIfNull, boolean writeCollectionElementIfNull) {
+    public void serialize(Builder builder, int depth, String fieldName, List&lt;String&gt; processedFieldNames, String getter, boolean isObjectProperty, boolean checkIfNull, boolean writeIfNull, boolean writeCollectionElementIfNull) {
         builder.addStatement("$L.serialize($L, $S, $L, $L)", TextUtils.toUpperCaseWithUnderscores(mTypeConverter.simpleName()), getter, fieldName, isObjectProperty, JSON_GENERATOR_VARIABLE_NAME);
     }
 }</t>
  </si>
  <si>
    <t xml:space="preserve">
@@ -35,11 +35,11 @@ public class TypeConverterFieldType extends FieldType {
     @Override
     public void parse(Builder builder, int depth, String setter, Object... setterFormatArgs) {
         setter = replaceLastLiteral(setter, "$L.parse($L)");
-        builder.addStatement(setter, expandStringArgs(setterFormatArgs, TextUtils.toUpperCaseWithUnderscores(mTypeConverter.simpleName()), JSON_PARSER_VARIABLE_NAME));
+        builder.addStatement(setter, expandStringArgs(setterFormatArgs, ObjectMapperInjector.getTypeConverterVariableName(mTypeConverter), JSON_PARSER_VARIABLE_NAME));
     }
     @Override
     public void serialize(Builder builder, int depth, String fieldName, String getter, boolean isObjectProperty, boolean checkIfNull, boolean writeIfNull, boolean writeCollectionElementIfNull) {
-        builder.addStatement("$L.serialize($L, $S, $L, $L)", TextUtils.toUpperCaseWithUnderscores(mTypeConverter.simpleName()), getter, fieldName, isObjectProperty, JSON_GENERATOR_VARIABLE_NAME);
+        builder.addStatement("$L.serialize($L, $S, $L, $L)", ObjectMapperInjector.getTypeConverterVariableName(mTypeConverter), getter, fieldName, isObjectProperty, JSON_GENERATOR_VARIABLE_NAME);
     }
 }</t>
  </si>
  <si>
    <t xml:space="preserve">
    @Override
&lt;&lt;&lt;&lt;&lt;&lt;&lt; HEAD
    public void serialize(Builder builder, int depth, String fieldName, List&lt;String&gt; processedFieldNames, String getter, boolean isObjectProperty, boolean checkIfNull, boolean writeIfNull, boolean writeCollectionElementIfNull) {
        builder.addStatement("$L.serialize($L, $S, $L, $L)", TextUtils.toUpperCaseWithUnderscores(mTypeConverter.simpleName()), getter, fieldName, isObjectProperty, JSON_GENERATOR_VARIABLE_NAME);
=======
    public void serialize(Builder builder, int depth, String fieldName, String getter, boolean isObjectProperty, boolean checkIfNull, boolean writeIfNull, boolean writeCollectionElementIfNull) {
        builder.addStatement("$L.serialize($L, $S, $L, $L)", ObjectMapperInjector.getTypeConverterVariableName(mTypeConverter), getter, fieldName, isObjectProperty, JSON_GENERATOR_VARIABLE_NAME);
&gt;&gt;&gt;&gt;&gt;&gt;&gt; 12269f2a9afd3c4ba636baa9d8e1f7bb2553da71
    }</t>
  </si>
  <si>
    <t xml:space="preserve">
@@ -35,11 +37,11 @@ public class TypeConverterFieldType extends FieldType {
     @Override
     public void parse(Builder builder, int depth, String setter, Object... setterFormatArgs) {
         setter = replaceLastLiteral(setter, "$L.parse($L)");
-        builder.addStatement(setter, expandStringArgs(setterFormatArgs, TextUtils.toUpperCaseWithUnderscores(mTypeConverter.simpleName()), JSON_PARSER_VARIABLE_NAME));
+        builder.addStatement(setter, expandStringArgs(setterFormatArgs, ObjectMapperInjector.getTypeConverterVariableName(mTypeConverter), JSON_PARSER_VARIABLE_NAME));
     }
     @Override
-    public void serialize(Builder builder, int depth, String fieldName, String getter, boolean isObjectProperty, boolean checkIfNull, boolean writeIfNull, boolean writeCollectionElementIfNull) {
-        builder.addStatement("$L.serialize($L, $S, $L, $L)", TextUtils.toUpperCaseWithUnderscores(mTypeConverter.simpleName()), getter, fieldName, isObjectProperty, JSON_GENERATOR_VARIABLE_NAME);
+    public void serialize(Builder builder, int depth, String fieldName, List&lt;String&gt; processedFieldNames, String getter, boolean isObjectProperty, boolean checkIfNull, boolean writeIfNull, boolean writeCollectionElementIfNull) {
+        builder.addStatement("$L.serialize($L, $S, $L, $L)", ObjectMapperInjector.getTypeConverterVariableName(mTypeConverter), getter, fieldName, isObjectProperty, JSON_GENERATOR_VARIABLE_NAME);
     }
 }</t>
  </si>
  <si>
    <t>U + U</t>
  </si>
  <si>
    <t xml:space="preserve">
    &lt;&lt;&lt;&lt;&lt;&lt;&lt; .../FSTMerge/fstmerge_tmp1647881635329/fstmerge_var1_1448478018412399372
=======
@Override
    public void serialize(Builder builder, int depth, String fieldName, String getter, boolean isObjectProperty, boolean checkIfNull, boolean writeIfNull, boolean writeCollectionElementIfNull) {
        builder.addStatement("$L.serialize($L, $S, $L, $L)", ObjectMapperInjector.getTypeConverterVariableName(mTypeConverter), getter, fieldName, isObjectProperty, JSON_GENERATOR_VARIABLE_NAME);
    }
&gt;&gt;&gt;&gt;&gt;&gt;&gt; .../FSTMerge/fstmerge_tmp1647881635329/fstmerge_var2_6195260852417100773
</t>
  </si>
  <si>
    <t xml:space="preserve">
  @Override public void serialize(Builder builder, int depth, String fieldName, List&lt;String&gt; processedFieldNames, String getter, boolean isObjectProperty, boolean checkIfNull, boolean writeIfNull, boolean writeCollectionElementIfNull) {
    builder.addStatement("$L.serialize($L, $S, $L, $L)", ObjectMapperInjector.getTypeConverterVariableName(mTypeConverter), getter, fieldName, isObjectProperty, JSON_GENERATOR_VARIABLE_NAME);
  }</t>
  </si>
  <si>
    <t>accept both sides and format change</t>
  </si>
  <si>
    <t xml:space="preserve">
    @Override
    public void serialize(Builder builder, int depth, String fieldName, List&lt;String&gt; processedFieldNames, String getter, boolean isObjectProperty, boolean checkIfNull, boolean writeIfNull, boolean writeCollectionElementIfNull) {
        builder.addStatement("$L.serialize($L, $S, $L, $L)", ObjectMapperInjector.getTypeConverterVariableName(mTypeConverter), getter, fieldName, isObjectProperty, JSON_GENERATOR_VARIABLE_NAME);
    }</t>
  </si>
  <si>
    <t>https://github.com/oblac/jodd</t>
  </si>
  <si>
    <t>jodd</t>
  </si>
  <si>
    <t>9e22afffbe45c9364671a1364d4bcfe2de10e4d3</t>
  </si>
  <si>
    <t>a754a5e9d9bdc5f1ebf03f6b337586ce03ee6e91</t>
  </si>
  <si>
    <t>53d351498310e8a021be5dfd7336e07f798d6c37</t>
  </si>
  <si>
    <t>8697137ce437be3a655ccbc9c0727c6f8d01a3af</t>
  </si>
  <si>
    <t xml:space="preserve">
@@ -69,8 +69,9 @@ ext {
 //                asm:                        'org.ow2.asm:asm:4.1',
 //                junit:                         'junit:junit:4.12',
-                junit5:                        'org.junit.jupiter:junit-jupiter-engine:5.0.0',
-                junit5_console: 'org.junit.platform:junit-platform-console:1.0.0',
+                junit5:                        'org.junit.jupiter:junit-jupiter-engine:5.0.1',
+                junit5_params:        'org.junit.jupiter:junit-jupiter-params:5.0.1',
+                junit5_console: 'org.junit.platform:junit-platform-console:1.0.1',
                 hamcrest:       'org.hamcrest:hamcrest-core:1.3',
                 mockito:                'org.mockito:mockito-core:2.10.0',
                 hsqldb:                        'org.hsqldb:hsqldb:2.2.9',</t>
  </si>
  <si>
    <t xml:space="preserve">
@@ -69,8 +69,8 @@ ext {
 //                asm:                        'org.ow2.asm:asm:4.1',
 //                junit:                         'junit:junit:4.12',
-                junit5:                        'org.junit.jupiter:junit-jupiter-engine:5.0.0',
-                junit5_console: 'org.junit.platform:junit-platform-console:1.0.0',
+                junit5:                        'org.junit.jupiter:junit-jupiter-engine:5.0.1',
+                junit5_console: 'org.junit.platform:junit-platform-console:1.0.1',
                 hamcrest:       'org.hamcrest:hamcrest-core:1.3',
                 mockito:                'org.mockito:mockito-core:2.10.0',
                 hsqldb:                        'org.hsqldb:hsqldb:2.2.9',</t>
  </si>
  <si>
    <t xml:space="preserve">
                junit5:                        'org.junit.jupiter:junit-jupiter-engine:5.0.1',
&lt;&lt;&lt;&lt;&lt;&lt;&lt; HEAD
                junit5_params:        'org.junit.jupiter:junit-jupiter-params:5.0.1',
=======
&gt;&gt;&gt;&gt;&gt;&gt;&gt; 53d351498310e8a021be5dfd7336e07f798d6c37</t>
  </si>
  <si>
    <t xml:space="preserve">
&lt;&lt;&lt;&lt;&lt;&lt;&lt; ../jodd/9e22afffbe45c9364671a1364d4bcfe2de10e4d3/left/build.gradle
		junit5:			'org.junit.jupiter:junit-jupiter-engine:5.0.1',
		junit5_params:	'org.junit.jupiter:junit-jupiter-params:5.0.1',
		junit5_console: 'org.junit.platform:junit-platform-console:1.0.1',
||||||| ../jodd/9e22afffbe45c9364671a1364d4bcfe2de10e4d3/base/build.gradle
		junit5:			'org.junit.jupiter:junit-jupiter-engine:5.0.0',
		junit5_console: 'org.junit.platform:junit-platform-console:1.0.0',
=======
		junit5:			'org.junit.jupiter:junit-jupiter-engine:5.0.1',
		junit5_console: 'org.junit.platform:junit-platform-console:1.0.1',
&gt;&gt;&gt;&gt;&gt;&gt;&gt; ../jodd/9e22afffbe45c9364671a1364d4bcfe2de10e4d3/right/build.gradle</t>
  </si>
  <si>
    <t>https://github.com/aws/aws-sdk-java</t>
  </si>
  <si>
    <t>aws-sdk-java</t>
  </si>
  <si>
    <t>2dd166f640dc18e124b848431d96e669881ba859</t>
  </si>
  <si>
    <t>68aa8700908e41c43eb9157fda13f03075679101</t>
  </si>
  <si>
    <t>c8f9fcab8fad592a4af66189b0a07a581bc1b454</t>
  </si>
  <si>
    <t>3463cca2971f5fe8f0e7be1c8a41f32ab7207334</t>
  </si>
  <si>
    <t>src/main/java/com/amazonaws/services/s3/transfer/TransferManager.java</t>
  </si>
  <si>
    <t xml:space="preserve">
@@ -964,4 +964,4 @@ public class TransferManager {
     private static final String USER_AGENT = TransferManager.class.getName() + "/" + VersionInfoUtils.getVersion();
     private static final String DEFAULT_DELIMITER = "/";
-}
\ No newline at end of file
+}</t>
  </si>
  <si>
    <t xml:space="preserve">
@@ -964,4 +966,19 @@ public class TransferManager {
     private static final String USER_AGENT = TransferManager.class.getName() + "/" + VersionInfoUtils.getVersion();
     private static final String DEFAULT_DELIMITER = "/";
+
+    /**
+     * There is no need for threads from timedThreadPool if there is no more running threads in current process,
+     * so we need a daemon thread factory for it.
+     */
+    private static final ThreadFactory daemonThreadFactory = new ThreadFactory() {
+        final AtomicInteger threadCount = new AtomicInteger( 0 );
+        public Thread newThread(Runnable r) {
+            int threadNumber = threadCount.incrementAndGet();
+            Thread thread = new Thread(r);
+            thread.setDaemon(true);
+            thread.setName("S3TransferManagerTimedThread-" + threadNumber);
+            return thread;
+        }
+    };
 }
\ No newline at end of file
</t>
  </si>
  <si>
    <t xml:space="preserve">
    private static final String DEFAULT_DELIMITER = "/";
&lt;&lt;&lt;&lt;&lt;&lt;&lt; HEAD
}
=======
    /**
     * There is no need for threads from timedThreadPool if there is no more running threads in current process,
     * so we need a daemon thread factory for it.
     */
    private static final ThreadFactory daemonThreadFactory = new ThreadFactory() {
        final AtomicInteger threadCount = new AtomicInteger( 0 );
        public Thread newThread(Runnable r) {
            int threadNumber = threadCount.incrementAndGet();
            Thread thread = new Thread(r);
            thread.setDaemon(true);
            thread.setName("S3TransferManagerTimedThread-" + threadNumber);
            return thread;
        }
    };
}
&gt;&gt;&gt;&gt;&gt;&gt;&gt; c8f9fcab8fad592a4af66189b0a07a581bc1b454</t>
  </si>
  <si>
    <t xml:space="preserve">
@@ -964,4 +966,19 @@ public class TransferManager {
     private static final String USER_AGENT = TransferManager.class.getName() + "/" + VersionInfoUtils.getVersion();
     private static final String DEFAULT_DELIMITER = "/";
-}
\ No newline at end of file
+
+    /**
+     * There is no need for threads from timedThreadPool if there is no more running threads in current process,
+     * so we need a daemon thread factory for it.
+     */
+    private static final ThreadFactory daemonThreadFactory = new ThreadFactory() {
+        final AtomicInteger threadCount = new AtomicInteger( 0 );
+        public Thread newThread(Runnable r) {
+            int threadNumber = threadCount.incrementAndGet();
+            Thread thread = new Thread(r);
+            thread.setDaemon(true);
+            thread.setName("S3TransferManagerTimedThread-" + threadNumber);
+            return thread;
+        }
+    };
+}</t>
  </si>
  <si>
    <t>D I + I
Origin(I vs. I)
left just inserts a new line at the end of file. So the "\ No newline at end of file" will be removed.</t>
  </si>
  <si>
    <t xml:space="preserve">
    private static final ThreadFactory daemonThreadFactory = new ThreadFactory() {
        final AtomicInteger threadCount = new AtomicInteger( 0 );
        public Thread newThread(Runnable r) {
            int threadNumber = threadCount.incrementAndGet();
            Thread thread = new Thread(r);
            thread.setDaemon(true);
            thread.setName("S3TransferManagerTimedThread-" + threadNumber);
            return thread;
        }
    };
	;
}</t>
  </si>
  <si>
    <t>accept both sides and insert empty lines</t>
  </si>
  <si>
    <t xml:space="preserve">
  private static final String DEFAULT_DELIMITER = "/";
  /**
     * There is no need for threads from timedThreadPool if there is no more running threads in current process,
     * so we need a daemon thread factory for it.
     */
  private static final ThreadFactory daemonThreadFactory = new ThreadFactory() {
    final AtomicInteger threadCount = new AtomicInteger(0);
    public Thread newThread(Runnable r) {
      int threadNumber = threadCount.incrementAndGet();
      Thread thread = new Thread(r);
      thread.setDaemon(true);
      thread.setName("S3TransferManagerTimedThread-" + threadNumber);
      return thread;
    }
  };
}</t>
  </si>
  <si>
    <t xml:space="preserve">
    private static final String DEFAULT_DELIMITER = "/";
    /**
     * There is no need for threads from timedThreadPool if there is no more running threads in current process,
     * so we need a daemon thread factory for it.
     */
    private static final ThreadFactory daemonThreadFactory = new ThreadFactory() {
        final AtomicInteger threadCount = new AtomicInteger( 0 );
        public Thread newThread(Runnable r) {
            int threadNumber = threadCount.incrementAndGet();
            Thread thread = new Thread(r);
            thread.setDaemon(true);
            thread.setName("S3TransferManagerTimedThread-" + threadNumber);
            return thread;
        }
    };
}</t>
  </si>
  <si>
    <t xml:space="preserve">
    private static final String DEFAULT_DELIMITER = "/";
    /**
     * There is no need for threads from timedThreadPool if there is no more running threads in current process,
     * so we need a daemon thread factory for it.
     */
    private static final ThreadFactory daemonThreadFactory = new ThreadFactory() {
        final AtomicInteger threadCount = new AtomicInteger( 0 );
        public Thread newThread(Runnable r) {
            int threadNumber = threadCount.incrementAndGet();
            Thread thread = new Thread(r);
            thread.setDaemon(true);
            thread.setName("S3TransferManagerTimedThread-" + threadNumber);
            return thread;
        }
    };
}</t>
  </si>
  <si>
    <t>https://github.com/CalebFenton/simplify</t>
  </si>
  <si>
    <t>simplify</t>
  </si>
  <si>
    <t>f1f39138ee268639c9563ef9107f75288be7b1b6</t>
  </si>
  <si>
    <t>9c92290aecab013c18eb7e98db3388469e50a956</t>
  </si>
  <si>
    <t>67b8bad8950659365d6ea9e1af8481c14ff6ff6e</t>
  </si>
  <si>
    <t>624775b8bf87562a862e4cef81117325fb284111</t>
  </si>
  <si>
    <t>smalivm/src/main/java/org/cf/smalivm/smali/SmaliClassLoader.java</t>
  </si>
  <si>
    <t xml:space="preserve">
+        // try {
+        // return jarLoader.loadClass(name);
+        // } catch (ClassNotFoundException e) {
+        // }
-    @Override
-    public synchronized Class&lt;?&gt; loadClass(String name) throws ClassNotFoundException {
-        Class&lt;?&gt; klazz = loadClassWithoutBuilding(name);
+        Class&lt;?&gt; klazz = cachedClasses.get(name);
         if (klazz != null) {
             return klazz;
         }</t>
  </si>
  <si>
    <t xml:space="preserve">
@@ -69,6 +72,18 @@ public class SmaliClassLoader extends ClassLoader {
         return cachedClasses.get(name);
     }
+    private void filterAvailableClasses(Set&lt;String&gt; classNames) {
+        Iterator&lt;String&gt; iter = classNames.iterator();
+        while (iter.hasNext()) {
+            String className = iter.next();
+            String baseName = ClassNameUtils.getComponentBase(className);
+            String binaryName = ClassNameUtils.internalToBinary(baseName);
+            if (loadClassWithoutBuilding(binaryName) != null) {
+                iter.remove();
+            }
+        }
+    }
     @Override
     public synchronized Class&lt;?&gt; loadClass(String name) throws ClassNotFoundException {
         Class&lt;?&gt; klazz = loadClassWithoutBuilding(name);</t>
  </si>
  <si>
    <t xml:space="preserve">
        // try {
        // return jarLoader.loadClass(name);
        // } catch (ClassNotFoundException e) {
        // }
&lt;&lt;&lt;&lt;&lt;&lt;&lt; HEAD
        Class&lt;?&gt; klazz = cachedClasses.get(name);
=======
    private void filterAvailableClasses(Set&lt;String&gt; classNames) {
        Iterator&lt;String&gt; iter = classNames.iterator();
        while (iter.hasNext()) {
            String className = iter.next();
            String baseName = ClassNameUtils.getComponentBase(className);
            String binaryName = ClassNameUtils.internalToBinary(baseName);
            if (loadClassWithoutBuilding(binaryName) != null) {
                iter.remove();
            }
        }
    }
    @Override
    public synchronized Class&lt;?&gt; loadClass(String name) throws ClassNotFoundException {
        Class&lt;?&gt; klazz = loadClassWithoutBuilding(name);
&gt;&gt;&gt;&gt;&gt;&gt;&gt; 67b8bad8950659365d6ea9e1af8481c14ff6ff6e
        if (klazz != null) {
            return klazz;
        }
&lt;&lt;&lt;&lt;&lt;&lt;&lt; HEAD
        String internalName = ClassNameUtils.binaryToInternal(name);
        if (!classManager.isLocalClass(internalName)) {
            throw new ClassNotFoundException(name);
        }
=======
        ClassDef classDef = classManager.getClass(ClassNameUtils.binaryToInternal(name));
        Set&lt;String&gt; classNames = ClassDependencyCollector.collect(classDef);
        filterAvailableClasses(classNames);
        Map&lt;String, Class&lt;?&gt;&gt; newClasses = classBuilder.build(classNames);
        cachedClasses.putAll(newClasses);
        // if (cachedClasses.isEmpty()) {
        // Set&lt;String&gt; classNames = classManager.getNonFrameworkClassNames();
        // classNames.clear();
        // classNames.add(name);
        // If I don't set this to null first, cachedClasses does not update.
        // VERY VERY STRANGE
        // cachedClasses = null;
        // cachedClasses = classBuilder.build(classNames);
        // }
&gt;&gt;&gt;&gt;&gt;&gt;&gt; 67b8bad8950659365d6ea9e1af8481c14ff6ff6e</t>
  </si>
  <si>
    <t>D I vs. I
Actually wrong match
The 1st insertion in left not conflict. The 2nd insertion in left report conflict</t>
  </si>
  <si>
    <t xml:space="preserve">
        // try {
        // return jarLoader.loadClass(name);
        // } catch (ClassNotFoundException e) {
        // }
        Class&lt;?&gt; klazz = cachedClasses.get(name);
        if (klazz != null) {
            return klazz;
        }
        String internalName = ClassNameUtils.binaryToInternal(name);
        if (!classManager.isLocalClass(internalName)) {
            throw new ClassNotFoundException(name);
        }
        ClassDef classDef = classManager.getClass(internalName);
        byte[] b = classBuilder.build(classDef);
        klazz = defineClass(name, b, 0, b.length);
        cachedClasses.put(name, klazz);
        // No one ever tells you this is also necessary, or you'll have null package for the class:
        String packageName = getPackageName(name);
        if (packageName != null &amp;&amp; getPackage(packageName) == null) {
            definePackage(getPackageName(name), null, null, null, null, null, null, null);
        }
        return klazz;
    }
    private void filterAvailableClasses(Set&lt;String&gt; classNames) {
        Iterator&lt;String&gt; iter = classNames.iterator();
        while (iter.hasNext()) {
            String className = iter.next();
            String baseName = ClassNameUtils.getComponentBase(className);
            String binaryName = ClassNameUtils.internalToBinary(baseName);
            if (loadClassWithoutBuilding(binaryName) != null) {
                iter.remove();
            }
        }
    }
    &lt;&lt;&lt;&lt;&lt;&lt;&lt; /home/ppp/Research_Projects/Merge_Conflicts/Resource/workspace/simplify/f1f39138ee268639c9563ef9107f75288be7b1b6/fstmerge_tmp1678845524104/fstmerge_var1_1676413652663221599
=======
@Override
    public synchronized Class&lt;?&gt; loadClass(String name) throws ClassNotFoundException {
        Class&lt;?&gt; klazz = loadClassWithoutBuilding(name);
        if (klazz != null) {
            return klazz;
        }
        ClassDef classDef = classManager.getClass(ClassNameUtils.binaryToInternal(name));
        Set&lt;String&gt; classNames = ClassDependencyCollector.collect(classDef);
        filterAvailableClasses(classNames);
        Map&lt;String, Class&lt;?&gt;&gt; newClasses = classBuilder.build(classNames);
        cachedClasses.putAll(newClasses);
        // if (cachedClasses.isEmpty()) {
        // Set&lt;String&gt; classNames = classManager.getNonFrameworkClassNames();
        // classNames.clear();
        // classNames.add(name);
        // If I don't set this to null first, cachedClasses does not update.
        // VERY VERY STRANGE
        // cachedClasses = null;
        // cachedClasses = classBuilder.build(classNames);
        // }
        klazz = findClass(name);
        if (klazz == null) {
            throw new ClassNotFoundException(name);
        }
        return klazz;
    }
&gt;&gt;&gt;&gt;&gt;&gt;&gt; /home/ppp/Research_Projects/Merge_Conflicts/Resource/workspace/simplify/f1f39138ee268639c9563ef9107f75288be7b1b6/fstmerge_tmp1678845524104/fstmerge_var2_8694836476662320252
</t>
  </si>
  <si>
    <t xml:space="preserve">
    Class&lt;?&gt; klazz = cachedClasses.get(name);
    if (klazz != null) {
      return klazz;
    }
    String internalName = ClassNameUtils.binaryToInternal(name);
    if (!classManager.isLocalClass(internalName)) {
      throw new ClassNotFoundException(name);
    }
    ClassDef classDef = classManager.getClass(internalName);
    byte[] b = classBuilder.build(classDef);
    klazz = defineClass(name, b, 0, b.length);
    cachedClasses.put(name, klazz);
    String packageName = getPackageName(name);
    if (packageName != null &amp;&amp; getPackage(packageName) == null) {
      definePackage(getPackageName(name), null, null, null, null, null, null, null);
    }
    return klazz;
  }
  private static String getPackageName(String className) {
    int i = className.lastIndexOf('.');
    if (i &gt; 0) {
      return className.substring(0, i);
    } else {
      return null;
    }
  }
  private void filterAvailableClasses(Set&lt;String&gt; classNames) {
    Iterator&lt;String&gt; iter = classNames.iterator();
    while (iter.hasNext()) {
      String className = iter.next();
      String baseName = ClassNameUtils.getComponentBase(className);
      String binaryName = ClassNameUtils.internalToBinary(baseName);
      if (loadClassWithoutBuilding(binaryName) != null) {
        iter.remove();
      }
    }
  }
&lt;&lt;&lt;&lt;&lt;&lt;&lt; Unknown file: This is a bug in JDime.
=======
  @Override public synchronized Class&lt;?&gt; loadClass(String name) throws ClassNotFoundException {
    Class&lt;?&gt; klazz = loadClassWithoutBuilding(name);
    if (klazz != null) {
      return klazz;
    }
    ClassDef classDef = classManager.getClass(ClassNameUtils.binaryToInternal(name));
    Set&lt;String&gt; classNames = ClassDependencyCollector.collect(classDef);
    filterAvailableClasses(classNames);
    Map&lt;String, Class&lt;?&gt;&gt; newClasses = classBuilder.build(classNames);
    cachedClasses.putAll(newClasses);
    klazz = findClass(name);
    if (klazz == null) {
      throw new ClassNotFoundException(name);
    }
    return klazz;
  }
&gt;&gt;&gt;&gt;&gt;&gt;&gt; right/smalivm/src/main/java/org/cf/smalivm/smali/SmaliClassLoader.java</t>
  </si>
  <si>
    <t xml:space="preserve">
        // try {
        // return jarLoader.loadClass(name);
        // } catch (ClassNotFoundException e) {
        // }
        Class&lt;?&gt; klazz = cachedClasses.get(name);
        if (klazz != null) {
            return klazz;
        }
        String internalName = ClassNameUtils.binaryToInternal(name);
        if (!classManager.isLocalClass(internalName)) {
            throw new ClassNotFoundException(name);
        }
        ClassDef classDef = classManager.getClass(internalName);
        byte[] b = classBuilder.build(classDef);
        klazz = defineClass(name, b, 0, b.length);
        cachedClasses.put(name, klazz);
        // No one ever tells you this is also necessary, or you'll have null package for the class:
        String packageName = getPackageName(name);
        if (packageName != null &amp;&amp; getPackage(packageName) == null) {
            definePackage(getPackageName(name), null, null, null, null, null, null, null);
        }
        return klazz;
    }
    private static String getPackageName(String className) {
        int i = className.lastIndexOf('.');
        if (i &gt; 0) {
            return className.substring(0, i);
        } else {
            // No package name, e.g. LsomeClass;
            return null;
        }
    }
    private void filterAvailableClasses(Set&lt;String&gt; classNames) {
        Iterator&lt;String&gt; iter = classNames.iterator();
        while (iter.hasNext()) {
            String className = iter.next();
            String baseName = ClassNameUtils.getComponentBase(className);
            String binaryName = ClassNameUtils.internalToBinary(baseName);
            if (loadClassWithoutBuilding(binaryName) != null) {
                iter.remove();
            }
        }
    }</t>
  </si>
  <si>
    <t xml:space="preserve">
&lt;&lt;&lt;&lt;&lt;&lt;&lt; ../simplify/f1f39138ee268639c9563ef9107f75288be7b1b6/left/smalivm/src/main/java/org/cf/smalivm/smali/SmaliClassLoader.java
        Class&lt;?&gt; klazz = cachedClasses.get(name);
||||||| ../simplify/f1f39138ee268639c9563ef9107f75288be7b1b6/base/smalivm/src/main/java/org/cf/smalivm/smali/SmaliClassLoader.java
=======
    private void filterAvailableClasses(Set&lt;String&gt; classNames) {
&gt;&gt;&gt;&gt;&gt;&gt;&gt; ../simplify/f1f39138ee268639c9563ef9107f75288be7b1b6/right/smalivm/src/main/java/org/cf/smalivm/smali/SmaliClassLoader.java
&lt;Merge Conflict&gt;
        Iterator&lt;String&gt; iter = classNames.iterator();</t>
  </si>
  <si>
    <t>https://github.com/eirslett/frontend-maven-plugin</t>
  </si>
  <si>
    <t>frontend-maven-plugin</t>
  </si>
  <si>
    <t>d543d86d84b8296cc62f5c5b070d78fb863df5af</t>
  </si>
  <si>
    <t>6382abfc7ec127ab0037ef86cb9ba5a5b18a34b1</t>
  </si>
  <si>
    <t>ef5e91e1bf7e7e31d99276276af672e49c817443</t>
  </si>
  <si>
    <t>1dd19c41f63d7c08f2a5fc0f86c9975a78146fb8</t>
  </si>
  <si>
    <t>frontend-plugin-core/src/main/java/com/github/eirslett/maven/plugins/frontend/lib/FrontendPluginFactory.java</t>
  </si>
  <si>
    <t xml:space="preserve">
@@ -25,7 +25,11 @@ public final class FrontendPluginFactory {
     public BowerRunner getBowerRunner() {
         return new DefaultBowerRunner(defaultPlatform, workingDirectory);
-    }    
+    }
+
+    public JspmRunner getJspmRunner() {
+        return new DefaultJspmRunner(defaultPlatform, workingDirectory);
+    }
     public NpmRunner getNpmRunner() {
         return new DefaultNpmRunner(defaultPlatform, workingDirectory, proxy);</t>
  </si>
  <si>
    <t xml:space="preserve">
     public BowerRunner getBowerRunner() {
-        return new DefaultBowerRunner(defaultPlatform, workingDirectory);
+        return new DefaultBowerRunner(getExecutorConfig());
     }    
-    public NpmRunner getNpmRunner() {
-        return new DefaultNpmRunner(defaultPlatform, workingDirectory, proxy);
+    public NpmRunner getNpmRunner(ProxyConfig proxy) {
+        return new DefaultNpmRunner(getExecutorConfig(), proxy);
     }</t>
  </si>
  <si>
    <t xml:space="preserve">
    public BowerRunner getBowerRunner() {
&lt;&lt;&lt;&lt;&lt;&lt;&lt; HEAD
        return new DefaultBowerRunner(defaultPlatform, workingDirectory);
    }
    public JspmRunner getJspmRunner() {
        return new DefaultJspmRunner(defaultPlatform, workingDirectory);
    }
=======
        return new DefaultBowerRunner(getExecutorConfig());
    }    
&gt;&gt;&gt;&gt;&gt;&gt;&gt; ef5e91e1bf7e7e31d99276276af672e49c817443</t>
  </si>
  <si>
    <t xml:space="preserve">
     public BowerRunner getBowerRunner() {
-        return new DefaultBowerRunner(defaultPlatform, workingDirectory);
+        return new DefaultBowerRunner(getExecutorConfig());
     }    
-    public NpmRunner getNpmRunner() {
-        return new DefaultNpmRunner(defaultPlatform, workingDirectory, proxy);
+    public JspmRunner getJspmRunner() {
+        return new DefaultJspmRunner(defaultPlatform, workingDirectory);
+    }
+
+    public NpmRunner getNpmRunner(ProxyConfig proxy) {
+        return new DefaultNpmRunner(getExecutorConfig(), proxy);
     }</t>
  </si>
  <si>
    <t>D I + U
Origin(D I vs. U)</t>
  </si>
  <si>
    <t xml:space="preserve">
    public BowerRunner getBowerRunner() {
        return new DefaultBowerRunner(getExecutorConfig());
    }
    public NpmRunner getNpmRunner(ProxyConfig proxy) {
        return new DefaultNpmRunner(getExecutorConfig(), proxy);
    }
…
    public JspmRunner getJspmRunner() {
        return new DefaultJspmRunner(defaultPlatform, workingDirectory);
    }</t>
  </si>
  <si>
    <t>accept both sides but change format</t>
  </si>
  <si>
    <t xml:space="preserve">
  public BowerRunner getBowerRunner() {
    return new DefaultBowerRunner(getExecutorConfig());
  }
  public JspmRunner getJspmRunner() {
    return new DefaultJspmRunner(defaultPlatform, workingDirectory);
  }
  public NpmRunner getNpmRunner(ProxyConfig proxy) {
    return new DefaultNpmRunner(getExecutorConfig(), proxy);
  }</t>
  </si>
  <si>
    <t>accept both sides and change indentation</t>
  </si>
  <si>
    <t xml:space="preserve">
    public BowerRunner getBowerRunner() {
        return new DefaultBowerRunner(getExecutorConfig());
    }
    public JspmRunner getJspmRunner() {
        return new DefaultJspmRunner(defaultPlatform, workingDirectory);
    }
    public NpmRunner getNpmRunner(ProxyConfig proxy) {
        return new DefaultNpmRunner(getExecutorConfig(), proxy);
    }</t>
  </si>
  <si>
    <t xml:space="preserve">
    public BowerRunner getBowerRunner() {
        return new DefaultBowerRunner(getExecutorConfig());
    }
    public JspmRunner getJspmRunner() {
        return new DefaultJspmRunner(defaultPlatform, workingDirectory);
    }
    public NpmRunner getNpmRunner(ProxyConfig proxy) {
        return new DefaultNpmRunner(getExecutorConfig(), proxy);
    }</t>
  </si>
  <si>
    <t>https://github.com/lettuce-io/lettuce-core</t>
  </si>
  <si>
    <t>lettuce-core</t>
  </si>
  <si>
    <t>dea8f66f846bf37494c18d1ca6036edd4a2f7898</t>
  </si>
  <si>
    <t>9b47dc89b072adf3b3c05f3b9731b54b909df322</t>
  </si>
  <si>
    <t>215dbee246b3556bff7f9b45daf07030c87e1bce</t>
  </si>
  <si>
    <t>902b811e23388f9dfdb63512cdeb87c92b71380c</t>
  </si>
  <si>
    <t>src/test/resources/log4j.properties</t>
  </si>
  <si>
    <t xml:space="preserve">
@@ -16,6 +16,7 @@ log4j.appender.file.layout.ConversionPattern=%d{yyyy-MM-dd HH:mm:ss} [%-5p] [%t]
 log4j.logger.com.lambdaworks=INFO
 log4j.logger.io.netty=INFO
+log4j.logger.com.lambdaworks.redis.protocol=DEBUG
 log4j.logger.com.lambdaworks.redis.cluster=INFO
 log4j.logger.com.lambdaworks.redis.protocol.ConnectionWatchdog=INFO</t>
  </si>
  <si>
    <t xml:space="preserve">
 log4j.logger.io.netty=INFO
+
+log4j.logger.com.lambdaworks=INFO
 log4j.logger.com.lambdaworks.redis.cluster=INFO
+log4j.logger.com.lambdaworks.redis.protocol=INFO
+log4j.logger.com.lambdaworks.redis.RedisClient=INFO
 log4j.logger.com.lambdaworks.redis.protocol.ConnectionWatchdog=INFO</t>
  </si>
  <si>
    <t xml:space="preserve">
log4j.logger.io.netty=INFO
&lt;&lt;&lt;&lt;&lt;&lt;&lt; HEAD
log4j.logger.com.lambdaworks.redis.protocol=DEBUG
=======
log4j.logger.com.lambdaworks=INFO
&gt;&gt;&gt;&gt;&gt;&gt;&gt; 215dbee246b3556bff7f9b45daf07030c87e1bce
log4j.logger.com.lambdaworks.redis.cluster=INFO</t>
  </si>
  <si>
    <t>I vs. I(.properties)</t>
  </si>
  <si>
    <t xml:space="preserve">
log4j.appender.file.layout.ConversionPattern=%d{yyyy-MM-dd HH:mm:ss} [%-5p] [%t] (%c{1}:%L) %m%n
log4j.logger.com.lambdaworks=INFO
log4j.logger.io.netty=INFO
log4j.logger.com.lambdaworks.redis.protocol=DEBUG
log4j.logger.com.lambdaworks.redis.cluster=INFO
log4j.logger.com.lambdaworks.redis.protocol.ConnectionWatchdog=INFO
</t>
  </si>
  <si>
    <t>remove multiple lines and keep left insertion and keep part of right insertion</t>
  </si>
  <si>
    <t xml:space="preserve">
log4j.logger.com.lambdaworks=INFO
&lt;&lt;&lt;&lt;&lt;&lt;&lt; ../lettuce-core/dea8f66f846bf37494c18d1ca6036edd4a2f7898/left/src/test/resources/log4j.properties
log4j.logger.com.lambdaworks.redis.protocol=DEBUG
||||||| ../lettuce-core/dea8f66f846bf37494c18d1ca6036edd4a2f7898/base/src/test/resources/log4j.properties
=======
&gt;&gt;&gt;&gt;&gt;&gt;&gt; ../lettuce-core/dea8f66f846bf37494c18d1ca6036edd4a2f7898/right/src/test/resources/log4j.properties</t>
  </si>
  <si>
    <t>https://github.com/chewiebug/GCViewer</t>
  </si>
  <si>
    <t>GCViewer</t>
  </si>
  <si>
    <t>ff12c68854fc4b37c8a0149063b93b0ea2f68c46</t>
  </si>
  <si>
    <t>707d5c7f81aac4db797181f9fae5ef25cd30dc0c</t>
  </si>
  <si>
    <t>acc3634b1c98ab38db57dffd46c02a4b68672db6</t>
  </si>
  <si>
    <t>abde52e55a9406969d74a139347da177daff478a</t>
  </si>
  <si>
    <t>src/test/java/com/tagtraum/perf/gcviewer/util/TestHttpUrlConnectionHelper.java</t>
  </si>
  <si>
    <t xml:space="preserve">
@@ -26,7 +26,7 @@ import java.nio.file.StandardOpenOption;
 import org.junit.Test;
-import com.tagtraum.perf.gcviewer.imp.UnittestHelper;
+import com.tagtraum.perf.gcviewer.UnittestHelper;
 </t>
  </si>
  <si>
    <t xml:space="preserve">
-import org.junit.Test;
 import com.tagtraum.perf.gcviewer.imp.UnittestHelper;
+import org.junit.Test;</t>
  </si>
  <si>
    <t xml:space="preserve">
&lt;&lt;&lt;&lt;&lt;&lt;&lt; HEAD
import com.tagtraum.perf.gcviewer.UnittestHelper;
=======
import com.tagtraum.perf.gcviewer.imp.UnittestHelper;
import org.junit.Test;
&gt;&gt;&gt;&gt;&gt;&gt;&gt; acc3634b1c98ab38db57dffd46c02a4b68672db6</t>
  </si>
  <si>
    <t xml:space="preserve">
-import com.tagtraum.perf.gcviewer.imp.UnittestHelper;
+import com.tagtraum.perf.gcviewer.UnittestHelper;</t>
  </si>
  <si>
    <t>U + I (import)</t>
  </si>
  <si>
    <t xml:space="preserve">
import org.junit.Test;
import com.tagtraum.perf.gcviewer.UnittestHelper;</t>
  </si>
  <si>
    <t xml:space="preserve">
import org.junit.Test;
import com.tagtraum.perf.gcviewer.UnittestHelper;</t>
  </si>
  <si>
    <t xml:space="preserve">
import java.nio.file.Paths;
import com.tagtraum.perf.gcviewer.UnittestHelper;
import org.junit.Test;</t>
  </si>
  <si>
    <t>https://github.com/azkaban/azkaban</t>
  </si>
  <si>
    <t>azkaban</t>
  </si>
  <si>
    <t>4816d7435f6d0ba469bf20e68852ccc056c9435d</t>
  </si>
  <si>
    <t>1c49afdf7b6ca4d5494fec16b8e59e499b627fa8</t>
  </si>
  <si>
    <t>6f3da04a88943eacf9bc2480cb6346821877e204</t>
  </si>
  <si>
    <t>8f0de0bcf090a25dff84a2e6ba658693354ac800</t>
  </si>
  <si>
    <t>src/java/azkaban/webapp/servlet/ScheduleServlet.java</t>
  </si>
  <si>
    <t xml:space="preserve">
 import org.joda.time.format.DateTimeFormat;
-import azkaban.executor.ExecutableFlow;
-import azkaban.executor.ExecutableNode;
-import azkaban.executor.ExecutorManagerException;
-import azkaban.executor.ExecutableFlow.FailureAction;
-import azkaban.executor.ExecutableFlow.Status;
+import azkaban.executor.ExecutionOptions;
 import azkaban.flow.Flow;
 import azkaban.flow.Node;</t>
  </si>
  <si>
    <t xml:space="preserve">
 import org.joda.time.format.DateTimeFormat;
-import azkaban.executor.ExecutableFlow;
-import azkaban.executor.ExecutableNode;
-import azkaban.executor.ExecutorManagerException;
 import azkaban.executor.ExecutableFlow.FailureAction;
-import azkaban.executor.ExecutableFlow.Status;
 import azkaban.flow.Flow;
 import azkaban.flow.Node;</t>
  </si>
  <si>
    <t xml:space="preserve">
import org.joda.time.format.DateTimeFormat;
&lt;&lt;&lt;&lt;&lt;&lt;&lt; HEAD
import azkaban.executor.ExecutionOptions;
=======
import azkaban.executor.ExecutableFlow.FailureAction;
&gt;&gt;&gt;&gt;&gt;&gt;&gt; 6f3da04a88943eacf9bc2480cb6346821877e204
import azkaban.flow.Flow;
import azkaban.flow.Node; </t>
  </si>
  <si>
    <t>D I vs. D (import, L includes R)</t>
  </si>
  <si>
    <t xml:space="preserve">
import azkaban.executor.ExecutableFlow.FailureAction; 
…
import azkaban.executor.ExecutionOptions; 
import azkaban.sla.SlaOptions; </t>
  </si>
  <si>
    <t xml:space="preserve">
import azkaban.executor.ExecutionOptions;
import azkaban.flow.Flow;
import azkaban.flow.Node;</t>
  </si>
  <si>
    <t xml:space="preserve">
import azkaban.executor.ExecutionOptions;
import azkaban.executor.ExecutableFlow.FailureAction;</t>
  </si>
  <si>
    <t xml:space="preserve">
&lt;&lt;&lt;&lt;&lt;&lt;&lt; ../azkaban/4816d7435f6d0ba469bf20e68852ccc056c9435d/left/src/java/azkaban/webapp/servlet/ScheduleServlet.java
import azkaban.executor.ExecutionOptions;
||||||| ../azkaban/4816d7435f6d0ba469bf20e68852ccc056c9435d/base/src/java/azkaban/webapp/servlet/ScheduleServlet.java
import azkaban.executor.ExecutableFlow;
import azkaban.executor.ExecutableNode;
import azkaban.executor.ExecutorManagerException;
import azkaban.executor.ExecutableFlow.FailureAction;
import azkaban.executor.ExecutableFlow.Status;
=======
import azkaban.executor.ExecutableFlow.FailureAction;
&gt;&gt;&gt;&gt;&gt;&gt;&gt; ../azkaban/4816d7435f6d0ba469bf20e68852ccc056c9435d/right/src/java/azkaban/webapp/servlet/ScheduleServlet.java</t>
  </si>
  <si>
    <t>https://github.com/ronmamo/reflections</t>
  </si>
  <si>
    <t>reflections</t>
  </si>
  <si>
    <t>2758efc78b67144432347064f5097b2aec656e98</t>
  </si>
  <si>
    <t>9add02fda9746a6634cdca0bcf2785260be55d6a</t>
  </si>
  <si>
    <t>e0f8c3565eeabfb4ac782cec5a33dcdd5af8a60c</t>
  </si>
  <si>
    <t>084cf4a759a06d88e88753ac00397478c2e0ed52</t>
  </si>
  <si>
    <t xml:space="preserve">
@@ -4,7 +4,7 @@
     &lt;groupId&gt;org.reflections&lt;/groupId&gt;
     &lt;artifactId&gt;reflections&lt;/artifactId&gt;
-    &lt;version&gt;0.9.12-SNAPSHOT&lt;/version&gt;
+    &lt;version&gt;0.9.12-jdk8&lt;/version&gt;</t>
  </si>
  <si>
    <t xml:space="preserve">
@@ -4,7 +4,7 @@
     &lt;groupId&gt;org.reflections&lt;/groupId&gt;
     &lt;artifactId&gt;reflections&lt;/artifactId&gt;
-    &lt;version&gt;0.9.12-SNAPSHOT&lt;/version&gt;
+    &lt;version&gt;0.9.13-SNAPSHOT&lt;/version&gt;</t>
  </si>
  <si>
    <t xml:space="preserve">
    &lt;groupId&gt;org.reflections&lt;/groupId&gt;
    &lt;artifactId&gt;reflections&lt;/artifactId&gt;
&lt;&lt;&lt;&lt;&lt;&lt;&lt; HEAD
    &lt;version&gt;0.9.12-jdk8&lt;/version&gt;
=======
    &lt;version&gt;0.9.13-SNAPSHOT&lt;/version&gt;
&gt;&gt;&gt;&gt;&gt;&gt;&gt; e0f8c3565eeabfb4ac782cec5a33dcdd5af8a60c</t>
  </si>
  <si>
    <t>U vs. U (xml, version no) L &lt; R version</t>
  </si>
  <si>
    <t xml:space="preserve">
   &lt;artifactId&gt;reflections&lt;/artifactId&gt;
   &lt;version&gt;0.9.12-jdk8&lt;/version&gt;
   &lt;name&gt;Reflections&lt;/name&gt;</t>
  </si>
  <si>
    <t>keep left and format change</t>
  </si>
  <si>
    <t xml:space="preserve">
&lt;&lt;&lt;&lt;&lt;&lt;&lt; ../reflections/2758efc78b67144432347064f5097b2aec656e98/left/pom.xml
    &lt;version&gt;0.9.12-jdk8&lt;/version&gt;
||||||| ../reflections/2758efc78b67144432347064f5097b2aec656e98/base/pom.xml
    &lt;version&gt;0.9.12-SNAPSHOT&lt;/version&gt;
=======
    &lt;version&gt;0.9.13-SNAPSHOT&lt;/version&gt;
&gt;&gt;&gt;&gt;&gt;&gt;&gt; ../reflections/2758efc78b67144432347064f5097b2aec656e98/right/pom.xml</t>
  </si>
  <si>
    <t>https://github.com/apache/ignite</t>
  </si>
  <si>
    <t>ignite</t>
  </si>
  <si>
    <t>97db8d4a2f5f6a878136bd20fffda8dc4abb46fb</t>
  </si>
  <si>
    <t>5b354e92a2918214f2122275a94d77eb61a61c5e</t>
  </si>
  <si>
    <t>34ba1e55486b288ffdaa9d7f439bd8289046ccee</t>
  </si>
  <si>
    <t>1637ac08d99f94a4060eb39083eda91e05a34b4e</t>
  </si>
  <si>
    <t>pom-standalone.xml</t>
  </si>
  <si>
    <t xml:space="preserve">
         &lt;module&gt;modules/ssh&lt;/module&gt;
-        &lt;module&gt;modules/servlet-startup&lt;/module&gt;
-        &lt;module&gt;modules/rest&lt;/module&gt;
-        &lt;module&gt;modules/mail&lt;/module&gt;
+        &lt;module&gt;modules/rest-tcp&lt;/module&gt;
+        &lt;module&gt;modules/rest-http&lt;/module&gt;
+        &lt;module&gt;modules/email&lt;/module&gt;</t>
  </si>
  <si>
    <t xml:space="preserve">
         &lt;module&gt;modules/ssh&lt;/module&gt;
-        &lt;module&gt;modules/servlet-startup&lt;/module&gt;
         &lt;module&gt;modules/rest&lt;/module&gt;
-        &lt;module&gt;modules/mail&lt;/module&gt;
+        &lt;module&gt;modules/email&lt;/module&gt;</t>
  </si>
  <si>
    <t xml:space="preserve">
        &lt;module&gt;modules/ssh&lt;/module&gt;
&lt;&lt;&lt;&lt;&lt;&lt;&lt; HEAD
        &lt;module&gt;modules/rest-tcp&lt;/module&gt;
        &lt;module&gt;modules/rest-http&lt;/module&gt;
=======
        &lt;module&gt;modules/rest&lt;/module&gt;
&gt;&gt;&gt;&gt;&gt;&gt;&gt; 34ba1e55486b288ffdaa9d7f439bd8289046ccee</t>
  </si>
  <si>
    <t>U vs. D U (xml, L includes R)
Origin(D I vs. D I)</t>
  </si>
  <si>
    <t xml:space="preserve">
        &lt;module&gt;modules/ssh&lt;/module&gt;
&lt;&lt;&lt;&lt;&lt;&lt;&lt; ../ignite/97db8d4a2f5f6a878136bd20fffda8dc4abb46fb/left/pom-standalone.xml
        &lt;module&gt;modules/rest-tcp&lt;/module&gt;
||||||| ../ignite/97db8d4a2f5f6a878136bd20fffda8dc4abb46fb/base/pom-standalone.xml
        &lt;module&gt;modules/servlet-startup&lt;/module&gt;
=======
&gt;&gt;&gt;&gt;&gt;&gt;&gt; ../ignite/97db8d4a2f5f6a878136bd20fffda8dc4abb46fb/right/pom-standalone.xml</t>
  </si>
  <si>
    <t>https://github.com/jfinal/jfinal</t>
  </si>
  <si>
    <t>jfinal</t>
  </si>
  <si>
    <t>478b7d2dc0ad8cbef8164cd8fd5eeb96c74934d9</t>
  </si>
  <si>
    <t>05989ee2524fe19ed35a5447bec751846aeb0bb1</t>
  </si>
  <si>
    <t>063c418638da6f4c83247e7cac52f83d7b3749ee</t>
  </si>
  <si>
    <t>e38c6947ad6bc79864d82fb5fd49e9d218dee125</t>
  </si>
  <si>
    <t xml:space="preserve">
                  &lt;/dependency&gt;
+                &lt;dependency&gt;
+                        &lt;groupId&gt;org.springframework&lt;/groupId&gt;
+                        &lt;artifactId&gt;spring-webmvc&lt;/artifactId&gt;
+                        &lt;version&gt;4.3.8.RELEASE&lt;/version&gt;
+                        &lt;scope&gt;provided&lt;/scope&gt;
+                &lt;/dependency&gt;
+                
         &lt;/dependencies&gt;</t>
  </si>
  <si>
    <t xml:space="preserve">
                  &lt;/dependency&gt;
+                &lt;dependency&gt;
+                        &lt;groupId&gt;org.springframework&lt;/groupId&gt;
+                        &lt;artifactId&gt;spring-webmvc&lt;/artifactId&gt;
+                        &lt;version&gt;4.3.8.RELEASE&lt;/version&gt;
+                        &lt;scope&gt;provided&lt;/scope&gt;
+                &lt;/dependency&gt;
         &lt;/dependencies&gt;</t>
  </si>
  <si>
    <t xml:space="preserve">
&lt;&lt;&lt;&lt;&lt;&lt;&lt; HEAD
=======
&gt;&gt;&gt;&gt;&gt;&gt;&gt; 063c418638da6f4c83247e7cac52f83d7b3749ee</t>
  </si>
  <si>
    <t xml:space="preserve">
 		 &lt;/dependency&gt;
+		&lt;dependency&gt;
+			&lt;groupId&gt;org.springframework&lt;/groupId&gt;
+			&lt;artifactId&gt;spring-webmvc&lt;/artifactId&gt;
+			&lt;version&gt;4.3.8.RELEASE&lt;/version&gt;
+			&lt;scope&gt;provided&lt;/scope&gt;
+		&lt;/dependency&gt;
 	&lt;/dependencies&gt;</t>
  </si>
  <si>
    <t>I vs. I(xml)</t>
  </si>
  <si>
    <t xml:space="preserve">
   &lt;dependencies&gt;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&lt;/dependencies&gt;</t>
  </si>
  <si>
    <t xml:space="preserve">
                &lt;dependency&gt;
                        &lt;groupId&gt;org.springframework&lt;/groupId&gt;
                        &lt;artifactId&gt;spring-webmvc&lt;/artifactId&gt;
                        &lt;version&gt;4.3.8.RELEASE&lt;/version&gt;
                        &lt;scope&gt;provided&lt;/scope&gt;
                &lt;/dependency&gt;
        &lt;/dependencies&gt;</t>
  </si>
  <si>
    <t>https://github.com/reactor/reactor-core</t>
  </si>
  <si>
    <t>reactor-core</t>
  </si>
  <si>
    <t>b0d45ffd9aa9b4bd11fff633191fd8cd4fff33a1</t>
  </si>
  <si>
    <t>7982d06713e8d2b32036acd2f6e62b5defcb04ea</t>
  </si>
  <si>
    <t>f1382c9433c42dd2afe1e470b3ce3c7fe6e266df</t>
  </si>
  <si>
    <t>e12cfcc104c4bc2a927063b6cfd2839b94f4e264</t>
  </si>
  <si>
    <t xml:space="preserve">
@@ -1,5 +1,5 @@
 micrometerVersion=1.3.0
-version=3.3.10.BUILD-SNAPSHOT
+version=3.4.0-SNAPSHOT
 reactiveStreamsVersion=1.0.3
 compatibleVersion=3.3.0.RELEASE
 perfBaselineVersion=3.3.6.RELEASE</t>
  </si>
  <si>
    <t xml:space="preserve">
@@ -1,5 +1,5 @@
 micrometerVersion=1.3.0
-version=3.3.10.BUILD-SNAPSHOT
+version=3.3.11.BUILD-SNAPSHOT
 reactiveStreamsVersion=1.0.3
 compatibleVersion=3.3.0.RELEASE
 perfBaselineVersion=3.3.6.RELEASE</t>
  </si>
  <si>
    <t xml:space="preserve">
&lt;&lt;&lt;&lt;&lt;&lt;&lt; HEAD
version=3.4.0-SNAPSHOT
=======
version=3.3.11.BUILD-SNAPSHOT
&gt;&gt;&gt;&gt;&gt;&gt;&gt; f1382c9433c42dd2afe1e470b3ce3c7fe6e266df</t>
  </si>
  <si>
    <t>U vs. U (properties, version no) L &gt; R version</t>
  </si>
  <si>
    <t xml:space="preserve">
micrometerVersion=1.3.0
version=3.4.0-SNAPSHOT
reactiveStreamsVersion=1.0.3
compatibleVersion=3.3.0.RELEASE
perfBaselineVersion=3.3.6.RELEASE
</t>
  </si>
  <si>
    <t xml:space="preserve">
&lt;&lt;&lt;&lt;&lt;&lt;&lt; ../reactor-core/b0d45ffd9aa9b4bd11fff633191fd8cd4fff33a1/left/gradle.properties
version=3.4.0-SNAPSHOT
||||||| ../reactor-core/b0d45ffd9aa9b4bd11fff633191fd8cd4fff33a1/base/gradle.properties
version=3.3.10.BUILD-SNAPSHOT
=======
version=3.3.11.BUILD-SNAPSHOT
&gt;&gt;&gt;&gt;&gt;&gt;&gt; ../reactor-core/b0d45ffd9aa9b4bd11fff633191fd8cd4fff33a1/right/gradle.properties</t>
  </si>
  <si>
    <t>https://github.com/oracle/opengrok</t>
  </si>
  <si>
    <t>opengrok</t>
  </si>
  <si>
    <t>52b73a5a457a2b5b3ee60a83317b6ff3d6d86f4b</t>
  </si>
  <si>
    <t>3dc379d98a11243103242e2b43b1ab1322795b7e</t>
  </si>
  <si>
    <t>3436009bb8409e0a2d7f10a81fc99506ed3e6ca5</t>
  </si>
  <si>
    <t>eeab71d42fff6208ec8db21d6bf3b4be085f222c</t>
  </si>
  <si>
    <t>nbproject/project.properties</t>
  </si>
  <si>
    <t xml:space="preserve">
@@ -61,12 +62,12 @@ javac.classpath=\
     ${file.reference.ant.jar}:\
     ${file.reference.bcel-5.2.jar}:\
     ${file.reference.jrcs.jar}:\
-    ${file.reference.servlet-api.jar}:\
-    ${file.reference.swing-layout-0.9.jar}:\
-    ${file.reference.lucene-core.jar}:\
     ${file.reference.lucene-analyzers-common.jar}:\
+    ${file.reference.lucene-core.jar}:\
     ${file.reference.lucene-queryparser.jar}:\
-    ${file.reference.lucene-suggest.jar}
+    ${file.reference.lucene-suggest.jar}:\
+    ${file.reference.servlet-api.jar}:\
+    ${file.reference.swing-layout-0.9.jar}
 # Space-separated list of extra javac options</t>
  </si>
  <si>
    <t xml:space="preserve">
@@ -66,8 +67,8 @@ javac.classpath=\
     ${file.reference.lucene-core.jar}:\
     ${file.reference.lucene-analyzers-common.jar}:\
     ${file.reference.lucene-queryparser.jar}:\
-    ${file.reference.lucene-suggest.jar}
- 
+    ${file.reference.lucene-suggest.jar}:\
+    ${file.reference.json-simple-1.1.1.jar}
 # Space-separated list of extra javac options</t>
  </si>
  <si>
    <t xml:space="preserve">
javac.classpath=\
    ${file.reference.ant.jar}:\
    ${file.reference.bcel-5.2.jar}:\
    ${file.reference.jrcs.jar}:\
    ${file.reference.lucene-analyzers-common.jar}:\
    ${file.reference.lucene-core.jar}:\
    ${file.reference.lucene-queryparser.jar}:\
    ${file.reference.lucene-suggest.jar}:\
&lt;&lt;&lt;&lt;&lt;&lt;&lt; HEAD
    ${file.reference.servlet-api.jar}:\
    ${file.reference.swing-layout-0.9.jar}
=======
    ${file.reference.json-simple-1.1.1.jar}
&gt;&gt;&gt;&gt;&gt;&gt;&gt; 3436009bb8409e0a2d7f10a81fc99506ed3e6ca5
# Space-separated list of extra javac options</t>
  </si>
  <si>
    <t xml:space="preserve">
@@ -61,13 +63,14 @@ javac.classpath=\
     ${file.reference.ant.jar}:\
     ${file.reference.bcel-5.2.jar}:\
     ${file.reference.jrcs.jar}:\
-    ${file.reference.servlet-api.jar}:\
-    ${file.reference.swing-layout-0.9.jar}:\
-    ${file.reference.lucene-core.jar}:\
+    ${file.reference.json-simple-1.1.1.jar:\
     ${file.reference.lucene-analyzers-common.jar}:\
+    ${file.reference.lucene-core.jar}:\
     ${file.reference.lucene-queryparser.jar}:\
-    ${file.reference.lucene-suggest.jar}
- 
+    ${file.reference.lucene-suggest.jar}:\
+    ${file.reference.servlet-api.jar}:\
+    ${file.reference.swing-layout-0.9.jar}
+
 # Space-separated list of extra javac options</t>
  </si>
  <si>
    <t>U I vs. D I (.properties)
Origin(D I vs. D I)</t>
  </si>
  <si>
    <t xml:space="preserve">accept both sides </t>
  </si>
  <si>
    <t xml:space="preserve">
javac.classpath=\
    ${file.reference.ant.jar}:\
    ${file.reference.bcel-5.2.jar}:\
    ${file.reference.jrcs.jar}:\
    ${file.reference.lucene-analyzers-common.jar}:\
    ${file.reference.lucene-core.jar}:\
    ${file.reference.lucene-queryparser.jar}:\
    ${file.reference.lucene-suggest.jar}:\
    ${file.reference.servlet-api.jar}:\
    ${file.reference.swing-layout-0.9.jar}</t>
  </si>
  <si>
    <t xml:space="preserve">
&lt;&lt;&lt;&lt;&lt;&lt;&lt; ../opengrok/52b73a5a457a2b5b3ee60a83317b6ff3d6d86f4b/left/nbproject/project.properties
    ${file.reference.servlet-api.jar}:\
    ${file.reference.swing-layout-0.9.jar}
||||||| ../opengrok/52b73a5a457a2b5b3ee60a83317b6ff3d6d86f4b/base/nbproject/project.properties
=======
    ${file.reference.json-simple-1.1.1.jar}
&gt;&gt;&gt;&gt;&gt;&gt;&gt; ../opengrok/52b73a5a457a2b5b3ee60a83317b6ff3d6d86f4b/right/nbproject/project.properties</t>
  </si>
  <si>
    <t>https://github.com/mybatis/spring-boot-starter</t>
  </si>
  <si>
    <t>spring-boot-starter</t>
  </si>
  <si>
    <t>e416809bac692d7bde3c19b7202be12bfda96f9b</t>
  </si>
  <si>
    <t>5123437921244b0c59b9c066b0d0f74482da719e</t>
  </si>
  <si>
    <t>ce69a2be2af65f4b0335798b5456ae13dc4d998d</t>
  </si>
  <si>
    <t>79631d599cf6c3d48ad5c944cb075a6721fe51f1</t>
  </si>
  <si>
    <t>mybatis-spring-boot-test-autoconfigure/src/site/xdoc/index.xml.vm</t>
  </si>
  <si>
    <t xml:space="preserve">
@@ -47,10 +47,26 @@
       &lt;subsection name="Requirements"&gt;
         &lt;p&gt;
-          The MyBatis-Spring-Boot-Starter-Test requirements refer to &lt;a
-            href="http://www.mybatis.org/spring-boot-starter/mybatis-spring-boot-autoconfigure/#Requirements"&gt;
-          here&lt;/a&gt;.
+          The MyBatis-Spring-Boot-Starter-Test requires Java 6 or higher and the following Spring Boot version:
         &lt;/p&gt;
+        &lt;table&gt;
+          &lt;thead&gt;
+            &lt;tr&gt;
+              &lt;th&gt;MyBatis-Spring-Boot-Starter-Test&lt;/th&gt;
+              &lt;th&gt;Spring Boot&lt;/th&gt;
+            &lt;/tr&gt;
+          &lt;/thead&gt;
+          &lt;tbody&gt;
+            &lt;tr&gt;
+              &lt;td&gt;&lt;b&gt;1.3.x (1.3.0)&lt;/b&gt;&lt;/td&gt;
+              &lt;td&gt;1.5 or higher&lt;/td&gt;
+            &lt;/tr&gt;
+            &lt;tr&gt;
+              &lt;td&gt;&lt;b&gt;1.2.x (1.2.1)&lt;/b&gt;&lt;/td&gt;
+              &lt;td&gt;1.4&lt;/td&gt;
+            &lt;/tr&gt;
+          &lt;/tbody&gt;
+        &lt;/table&gt;
       &lt;/subsection&gt;</t>
  </si>
  <si>
    <t xml:space="preserve">
@@ -47,10 +47,22 @@
       &lt;subsection name="Requirements"&gt;
         &lt;p&gt;
-          The MyBatis-Spring-Boot-Starter-Test requirements refer to &lt;a
-            href="http://www.mybatis.org/spring-boot-starter/mybatis-spring-boot-autoconfigure/#Requirements"&gt;
-          here&lt;/a&gt;.
+          The MyBatis-Spring-Boot-Starter-Test requires Java 6 or higher and the following Spring Boot version:
         &lt;/p&gt;
+        &lt;table&gt;
+          &lt;thead&gt;
+            &lt;tr&gt;
+              &lt;th&gt;MyBatis-Spring-Boot-Starter-Test&lt;/th&gt;
+              &lt;th&gt;Spring Boot&lt;/th&gt;
+            &lt;/tr&gt;
+          &lt;/thead&gt;
+          &lt;tbody&gt;
+            &lt;tr&gt;
+              &lt;td&gt;&lt;b&gt;1.2.x (1.2.1)&lt;/b&gt;&lt;/td&gt;
+              &lt;td&gt;1.4&lt;/td&gt;
+            &lt;/tr&gt;
+          &lt;/tbody&gt;
+        &lt;/table&gt;
       &lt;/subsection&gt;</t>
  </si>
  <si>
    <t xml:space="preserve">
          &lt;tbody&gt;
            &lt;tr&gt;
&lt;&lt;&lt;&lt;&lt;&lt;&lt; HEAD
              &lt;td&gt;&lt;b&gt;1.3.x (1.3.0)&lt;/b&gt;&lt;/td&gt;
              &lt;td&gt;1.5 or higher&lt;/td&gt;
            &lt;/tr&gt;
            &lt;tr&gt;
=======
&gt;&gt;&gt;&gt;&gt;&gt;&gt; ce69a2be2af65f4b0335798b5456ae13dc4d998d
              &lt;td&gt;&lt;b&gt;1.2.x (1.2.1)&lt;/b&gt;&lt;/td&gt;
              &lt;td&gt;1.4&lt;/td&gt;
            &lt;/tr&gt;
          &lt;/tbody&gt;
        &lt;/table&gt;
      &lt;/subsection&gt;</t>
  </si>
  <si>
    <t>I vs. I
Origin(U I vs. U I)
L include R</t>
  </si>
  <si>
    <t xml:space="preserve">
&lt;&lt;&lt;&lt;&lt;&lt;&lt; ../spring-boot-starter/e416809bac692d7bde3c19b7202be12bfda96f9b/left/mybatis-spring-boot-test-autoconfigure/src/site/xdoc/index.xml.vm
              &lt;td&gt;&lt;b&gt;1.3.x (1.3.0)&lt;/b&gt;&lt;/td&gt;
              &lt;td&gt;1.5 or higher&lt;/td&gt;
||||||| ../spring-boot-starter/e416809bac692d7bde3c19b7202be12bfda96f9b/base/mybatis-spring-boot-test-autoconfigure/src/site/xdoc/index.xml.vm
=======
              &lt;td&gt;&lt;b&gt;1.2.x (1.2.1)&lt;/b&gt;&lt;/td&gt;
              &lt;td&gt;1.4&lt;/td&gt;
&gt;&gt;&gt;&gt;&gt;&gt;&gt; ../spring-boot-starter/e416809bac692d7bde3c19b7202be12bfda96f9b/right/mybatis-spring-boot-test-autoconfigure/src/site/xdoc/index.xml.vm</t>
  </si>
  <si>
    <t>https://github.com/knowm/XChange</t>
  </si>
  <si>
    <t>XChange</t>
  </si>
  <si>
    <t>16f86f72605dcfb5fffa9b72d459e51e9809b4f7</t>
  </si>
  <si>
    <t>ac4fae1922c2af8248d64fca83c62528529a6e34</t>
  </si>
  <si>
    <t>ddf60e08b46e00d1a902e739004342dbf48d07b6</t>
  </si>
  <si>
    <t>9235d1d743aaef8202ad5a2f4d70714b5baf9439</t>
  </si>
  <si>
    <t>xchange-binance/src/main/java/org/knowm/xchange/binance/service/BinanceBaseService.java</t>
  </si>
  <si>
    <t xml:space="preserve">
@@ -4,6 +4,7 @@ import java.io.IOException;
 import org.knowm.xchange.Exchange;
 import org.knowm.xchange.binance.BinanceAuthenticated;
+import org.knowm.xchange.binance.dto.meta.exchangeinfo.BinanceExchangeInfo;
 import org.knowm.xchange.service.BaseExchangeService;
 import org.knowm.xchange.service.BaseService;</t>
  </si>
  <si>
    <t xml:space="preserve">
@@ -4,6 +4,7 @@ import java.io.IOException;
 import org.knowm.xchange.Exchange;
 import org.knowm.xchange.binance.BinanceAuthenticated;
+import org.knowm.xchange.binance.BinanceExchange;
 import org.knowm.xchange.service.BaseExchangeService;
 import org.knowm.xchange.service.BaseService;
</t>
  </si>
  <si>
    <t xml:space="preserve">
import org.knowm.xchange.Exchange;
import org.knowm.xchange.binance.BinanceAuthenticated;
&lt;&lt;&lt;&lt;&lt;&lt;&lt; HEAD
import org.knowm.xchange.binance.dto.meta.exchangeinfo.BinanceExchangeInfo;
=======
import org.knowm.xchange.binance.BinanceExchange;
&gt;&gt;&gt;&gt;&gt;&gt;&gt; ddf60e08b46e00d1a902e739004342dbf48d07b6
import org.knowm.xchange.service.BaseExchangeService;
import org.knowm.xchange.service.BaseService;</t>
  </si>
  <si>
    <t xml:space="preserve">
@@ -4,6 +4,7 @@ import java.io.IOException;
 import org.knowm.xchange.Exchange;
 import org.knowm.xchange.binance.BinanceAuthenticated;
+import org.knowm.xchange.binance.BinanceExchange;
 import org.knowm.xchange.service.BaseExchangeService;
 import org.knowm.xchange.service.BaseService;</t>
  </si>
  <si>
    <t xml:space="preserve">
package org.knowm.xchange.binance.service; 
import java.io.IOException; 
import org.knowm.xchange.Exchange; 
import org.knowm.xchange.binance.BinanceAuthenticated; 
import org.knowm.xchange.binance.BinanceExchange; 
import org.knowm.xchange.service.BaseExchangeService; 
import org.knowm.xchange.service.BaseService; 
import si.mazi.rescu.ParamsDigest; 
import si.mazi.rescu.RestProxyFactory; 
import org.knowm.xchange.binance.dto.meta.exchangeinfo.BinanceExchangeInfo; </t>
  </si>
  <si>
    <t xml:space="preserve">
package org.knowm.xchange.binance.service;
import java.io.IOException;
import org.knowm.xchange.Exchange;
import org.knowm.xchange.binance.BinanceAuthenticated;
import org.knowm.xchange.binance.dto.meta.exchangeinfo.BinanceExchangeInfo;
import org.knowm.xchange.binance.BinanceExchange;
import org.knowm.xchange.service.BaseExchangeService;
import org.knowm.xchange.service.BaseService;
import si.mazi.rescu.ParamsDigest;
import si.mazi.rescu.RestProxyFactory;</t>
  </si>
  <si>
    <t xml:space="preserve">
package org.knowm.xchange.binance.service;
import java.io.IOException;
import org.knowm.xchange.Exchange;
import org.knowm.xchange.binance.BinanceAuthenticated;
import org.knowm.xchange.binance.dto.meta.exchangeinfo.BinanceExchangeInfo;
import org.knowm.xchange.binance.BinanceExchange;
import org.knowm.xchange.service.BaseExchangeService;
import org.knowm.xchange.service.BaseService;
import si.mazi.rescu.ParamsDigest;
import si.mazi.rescu.RestProxyFactory;</t>
  </si>
  <si>
    <t xml:space="preserve">
&lt;&lt;&lt;&lt;&lt;&lt;&lt; ../XChange/16f86f72605dcfb5fffa9b72d459e51e9809b4f7/left/xchange-binance/src/main/java/org/knowm/xchange/binance/service/BinanceBaseService.java
import org.knowm.xchange.binance.dto.meta.exchangeinfo.BinanceExchangeInfo;
||||||| ../XChange/16f86f72605dcfb5fffa9b72d459e51e9809b4f7/base/xchange-binance/src/main/java/org/knowm/xchange/binance/service/BinanceBaseService.java
=======
import org.knowm.xchange.binance.BinanceExchange;
&gt;&gt;&gt;&gt;&gt;&gt;&gt; ../XChange/16f86f72605dcfb5fffa9b72d459e51e9809b4f7/right/xchange-binance/src/main/java/org/knowm/xchange/binance/service/BinanceBaseService.java</t>
  </si>
  <si>
    <t>https://github.com/google/data-transfer-project</t>
  </si>
  <si>
    <t>data-transfer-project</t>
  </si>
  <si>
    <t>39ed1086b67ff5be8c9acdb440cfe6e3641e07c8</t>
  </si>
  <si>
    <t>79f132e3f2a78046bba3c3bbdf81581b3a366126</t>
  </si>
  <si>
    <t>95658f603bf6cd4200caf7fdb089279eef309d44</t>
  </si>
  <si>
    <t>f41b4f1118a963b13ac407132d6fe1cf04c5bd8c</t>
  </si>
  <si>
    <t>extensions/data-transfer/portability-data-transfer-smugmug/src/test/java/org/datatransfer/smugmug/photos/SmugMugInterfaceTest.java</t>
  </si>
  <si>
    <t xml:space="preserve">
 package org.datatransferproject.transfer.smugmug.photos;
-import org.junit.Test;
-
 import static org.junit.Assert.assertEquals;
+import org.junit.Test;
 public class SmugMugInterfaceTest {</t>
  </si>
  <si>
    <t xml:space="preserve">
 import static org.junit.Assert.assertEquals;
-
 public class SmugMugInterfaceTest {
</t>
  </si>
  <si>
    <t xml:space="preserve">
package org.datatransferproject.transfer.smugmug.photos;
import static org.junit.Assert.assertEquals;
&lt;&lt;&lt;&lt;&lt;&lt;&lt; HEAD
import org.junit.Test;
=======
&gt;&gt;&gt;&gt;&gt;&gt;&gt; 95658f603bf6cd4200caf7fdb089279eef309d44
public class SmugMugInterfaceTest {</t>
  </si>
  <si>
    <t>I + D</t>
  </si>
  <si>
    <t xml:space="preserve">
package org.datatransferproject.transfer.smugmug.photos; 
import org.junit.Test; 
import static org.junit.Assert.assertEquals; 
public  class  SmugMugInterfaceTest {</t>
  </si>
  <si>
    <t xml:space="preserve">
package org.datatransferproject.transfer.smugmug.photos;
import static org.junit.Assert.assertEquals;
import org.junit.Test;
public class SmugMugInterfaceTest {</t>
  </si>
  <si>
    <t xml:space="preserve">
package org.datatransferproject.transfer.smugmug.photos;
import static org.junit.Assert.assertEquals;
import org.junit.Test;
public class SmugMugInterfaceTest {</t>
  </si>
  <si>
    <t>https://github.com/donglua/PhotoPicker</t>
  </si>
  <si>
    <t>PhotoPicker</t>
  </si>
  <si>
    <t>2af54ff9cdb128f0717b056cb672b6b2ee7b846b</t>
  </si>
  <si>
    <t>f7dafdc22343f105a02926ebdd3fe7a72c06ba69</t>
  </si>
  <si>
    <t>1bf577804c9b385e1c40cd5a194a3e4853fabdb2</t>
  </si>
  <si>
    <t>2f309ac49052b5645fc7132540bde4cff2fbf241</t>
  </si>
  <si>
    <t>.idea/misc.xml</t>
  </si>
  <si>
    <t xml:space="preserve">
@@ -1,5 +1,8 @@
 &lt;?xml version="1.0" encoding="UTF-8"?&gt;
 &lt;project version="4"&gt;
+  &lt;component name="EntryPointsManager"&gt;
+    &lt;entry_points version="2.0" /&gt;
+  &lt;/component&gt;
   &lt;component name="NullableNotNullManager"&gt;
     &lt;option name="myDefaultNullable" value="android.support.annotation.Nullable" /&gt;
     &lt;option name="myDefaultNotNull" value="android.support.annotation.NonNull" /&gt;</t>
  </si>
  <si>
    <t xml:space="preserve">
--- a/.idea/misc.xml
+++ /dev/null</t>
  </si>
  <si>
    <t xml:space="preserve">
CONFLICT (modify/delete): .idea/misc.xml deleted in 1bf577804c9b385e1c40cd5a194a3e4853fabdb2 and modified in HEAD. Version HEAD of .idea/misc.xml left in tree.</t>
  </si>
  <si>
    <t>U vs. D (xml file)</t>
  </si>
  <si>
    <t xml:space="preserve">
&lt;?xml version="1.0" encoding="UTF-8"?&gt;
&lt;project version="4"&gt;
   &lt;component name="NullableNotNullManager"&gt;
      &lt;option name="myDefaultNullable" value="android.support.annotation.Nullable" /&gt;
      &lt;option name="myDefaultNotNull" value="android.support.annotation.NonNull" /&gt;
      &lt;option name="myNullables"&gt;
         &lt;value&gt;
            &lt;list size="4"&gt;
               &lt;item class="java.lang.String" index="0" itemvalue="org.jetbrains.annotations.Nullable" /&gt;
               &lt;item class="java.lang.String" index="0" itemvalue="org.jetbrains.annotations.Nullable" /&gt;
               &lt;item class="java.lang.String" index="0" itemvalue="org.jetbrains.annotations.Nullable" /&gt;
               &lt;item class="java.lang.String" index="0" itemvalue="org.jetbrains.annotations.Nullable" /&gt;
            &lt;/list&gt;
         &lt;/value&gt;
      &lt;/option&gt;
      &lt;option name="myNotNulls"&gt;
         &lt;value&gt;
            &lt;list size="4"&gt;
               &lt;item class="java.lang.String" index="0" itemvalue="org.jetbrains.annotations.NotNull" /&gt;
               &lt;item class="java.lang.String" index="0" itemvalue="org.jetbrains.annotations.NotNull" /&gt;
               &lt;item class="java.lang.String" index="0" itemvalue="org.jetbrains.annotations.NotNull" /&gt;
               &lt;item class="java.lang.String" index="0" itemvalue="org.jetbrains.annotations.NotNull" /&gt;
            &lt;/list&gt;
         &lt;/value&gt;
      &lt;/option&gt;
   &lt;/component&gt;
   &lt;component name="ProjectLevelVcsManager" settingsEditedManually="false"&gt;
      &lt;OptionsSetting id="Add" value="true" /&gt;
      &lt;OptionsSetting id="Remove" value="true" /&gt;
      &lt;OptionsSetting id="Checkout" value="true" /&gt;
      &lt;OptionsSetting id="Update" value="true" /&gt;
      &lt;OptionsSetting id="Status" value="true" /&gt;
      &lt;OptionsSetting id="Edit" value="true" /&gt;
      &lt;ConfirmationsSetting id="Add" value="0" /&gt;
      &lt;ConfirmationsSetting id="Remove" value="0" /&gt;
   &lt;/component&gt;
   &lt;component assert-keyword="true" default="true" jdk-15="true" languageLevel="JDK_1_7" name="ProjectRootManager" project-jdk-name="1.8" project-jdk-type="JavaSDK" version="2"&gt;
      &lt;output url="file://$PROJECT_DIR$/build/classes" /&gt;
   &lt;/component&gt;
   &lt;component name="ProjectType"&gt;
      &lt;option name="id" value="Android" /&gt;
   &lt;/component&gt;
   &lt;component name="EntryPointsManager"&gt;
      &lt;entry_points version="2.0" /&gt;
   &lt;/component&gt;
&lt;/project&gt;
</t>
  </si>
  <si>
    <t xml:space="preserve">
&lt;&lt;&lt;&lt;&lt;&lt;&lt; ../PhotoPicker/2af54ff9cdb128f0717b056cb672b6b2ee7b846b/left/.idea/misc.xml
  &lt;component name="EntryPointsManager"&gt;
    &lt;entry_points version="2.0" /&gt;
  &lt;/component&gt;
||||||| ../PhotoPicker/2af54ff9cdb128f0717b056cb672b6b2ee7b846b/base/.idea/misc.xml
=======
&gt;&gt;&gt;&gt;&gt;&gt;&gt; ../PhotoPicker/2af54ff9cdb128f0717b056cb672b6b2ee7b846b/right/.idea/misc.xml</t>
  </si>
  <si>
    <t>https://github.com/TeamAmaze/AmazeFileManager</t>
  </si>
  <si>
    <t>AmazeFileManager</t>
  </si>
  <si>
    <t>4ee2cdaf5fea7badeab009d4f1dc6ce276c60dbe</t>
  </si>
  <si>
    <t>25e6f003e08a9482b8d3262eaa3af83ca26e905b</t>
  </si>
  <si>
    <t>c8ea054f961561a9c08c29e89a0170fdf05b6628</t>
  </si>
  <si>
    <t>3310d495543af9a24df850b21bf141a802b0cbf6</t>
  </si>
  <si>
    <t>src/play/java/com/amaze/filemanager/activities/MainActivity.java</t>
  </si>
  <si>
    <t xml:space="preserve">
@@ -519,7 +520,7 @@ public class MainActivity extends BaseActivity implements
         File usb = getUsbDrive();
         if (usb != null &amp;&amp; !rv.contains(usb.getPath())) rv.add(usb.getPath());
-        if (Sp.getString(KEY_PREF_OTG, null)!=null) rv.add("OTG");
+        if (Sp.getString(KEY_PREF_OTG, null)!=null) rv.add("otg:/");
         return rv;
     }</t>
  </si>
  <si>
    <t xml:space="preserve">
@@ -519,7 +519,7 @@ public class MainActivity extends BaseActivity implements
         File usb = getUsbDrive();
         if (usb != null &amp;&amp; !rv.contains(usb.getPath())) rv.add(usb.getPath());
-        if (Sp.getString(KEY_PREF_OTG, null)!=null) rv.add("OTG");
+        if (Sp.getString(KEY_PREF_OTG, null) != null) rv.add("OTG");
         return rv;
     }</t>
  </si>
  <si>
    <t xml:space="preserve">
        File usb = getUsbDrive();
        if (usb != null &amp;&amp; !rv.contains(usb.getPath())) rv.add(usb.getPath());
&lt;&lt;&lt;&lt;&lt;&lt;&lt; HEAD
        if (Sp.getString(KEY_PREF_OTG, null)!=null) rv.add("otg:/");
=======
        if (Sp.getString(KEY_PREF_OTG, null) != null) rv.add("OTG");
&gt;&gt;&gt;&gt;&gt;&gt;&gt; c8ea054f961561a9c08c29e89a0170fdf05b6628
        return rv;
    }</t>
  </si>
  <si>
    <t>U vs. U (Java code) right only add space</t>
  </si>
  <si>
    <t xml:space="preserve">
    File usb = getUsbDrive();
    if (usb != null &amp;&amp; !rv.contains(usb.getPath())) {
      rv.add(usb.getPath());
    }
    if (Sp.getString(KEY_PREF_OTG, null) != null) {
      rv.add("otg:/");
    }</t>
  </si>
  <si>
    <t xml:space="preserve">
        File usb = getUsbDrive();
        if (usb != null &amp;&amp; !rv.contains(usb.getPath())) rv.add(usb.getPath());
        if (Sp.getString(KEY_PREF_OTG, null)!=null) rv.add("otg:/");</t>
  </si>
  <si>
    <t xml:space="preserve">
&lt;&lt;&lt;&lt;&lt;&lt;&lt; ../AmazeFileManager/4ee2cdaf5fea7badeab009d4f1dc6ce276c60dbe/left/src/play/java/com/amaze/filemanager/activities/MainActivity.java
        if (Sp.getString(KEY_PREF_OTG, null)!=null) rv.add("otg:/");
||||||| ../AmazeFileManager/4ee2cdaf5fea7badeab009d4f1dc6ce276c60dbe/base/src/play/java/com/amaze/filemanager/activities/MainActivity.java
        if (Sp.getString(KEY_PREF_OTG, null)!=null) rv.add("OTG");
=======
        if (Sp.getString(KEY_PREF_OTG, null) != null) rv.add("OTG");
&gt;&gt;&gt;&gt;&gt;&gt;&gt; ../AmazeFileManager/4ee2cdaf5fea7badeab009d4f1dc6ce276c60dbe/right/src/play/java/com/amaze/filemanager/activities/MainActivity.java</t>
  </si>
  <si>
    <t>https://github.com/theonedev/onedev</t>
  </si>
  <si>
    <t>onedev</t>
  </si>
  <si>
    <t>5475b2ffaeb3925e6307bb302a0c307cce45a8d3</t>
  </si>
  <si>
    <t>466713bf372be96589879919a0f3ce3cd3251443</t>
  </si>
  <si>
    <t>87bc4b960732caf6225c670c1f8355ab7407b945</t>
  </si>
  <si>
    <t>abf32369ae1a28cc579dd008e278e791e3845a78</t>
  </si>
  <si>
    <t>server-core/src/main/java/io/onedev/server/web/page/admin/user/UserPage.java</t>
  </si>
  <si>
    <t xml:space="preserve">
@@ -2,7 +2,6 @@ package io.onedev.server.web.page.admin.user;
 import java.util.ArrayList;
 import java.util.List;
-
 import org.apache.wicket.Component;
 import org.apache.wicket.behavior.AttributeAppender;
 import org.apache.wicket.markup.head.CssHeaderItem;</t>
  </si>
  <si>
    <t xml:space="preserve">
@@ -3,7 +3,9 @@ package io.onedev.server.web.page.admin.user;
 import java.util.ArrayList;
 import java.util.List;
+import org.apache.commons.lang3.StringUtils;
 import org.apache.wicket.Component;
+import org.apache.wicket.RestartResponseException;
 import org.apache.wicket.behavior.AttributeAppender;
 import org.apache.wicket.markup.head.CssHeaderItem;
 import org.apache.wicket.markup.head.IHeaderResponse;</t>
  </si>
  <si>
    <t xml:space="preserve">
import java.util.List;
&lt;&lt;&lt;&lt;&lt;&lt;&lt; HEAD
=======
import org.apache.commons.lang3.StringUtils;
&gt;&gt;&gt;&gt;&gt;&gt;&gt; 87bc4b960732caf6225c670c1f8355ab7407b945</t>
  </si>
  <si>
    <t>D + I (import) L only remove space</t>
  </si>
  <si>
    <t xml:space="preserve">
package io.onedev.server.web.page.admin.user;
import java.util.ArrayList;
import java.util.List;
import org.apache.commons.lang3.StringUtils;
import org.apache.wicket.Component;
import org.apache.wicket.RestartResponseException;</t>
  </si>
  <si>
    <t xml:space="preserve">
import java.util.ArrayList;
import java.util.List;
import org.apache.commons.lang3.StringUtils;
import org.apache.wicket.Component;
import org.apache.wicket.RestartResponseException;</t>
  </si>
  <si>
    <t xml:space="preserve">
package io.onedev.server.web.page.admin.user;
import java.util.ArrayList;
import java.util.List;
import org.apache.commons.lang3.StringUtils;
import org.apache.wicket.Component;
import org.apache.wicket.RestartResponseException;
import org.apache.wicket.behavior.AttributeAppender;</t>
  </si>
  <si>
    <t>https://github.com/coobird/thumbnailator</t>
  </si>
  <si>
    <t>thumbnailator</t>
  </si>
  <si>
    <t>56dee622995e7a742ed6653942f39db624e3b069</t>
  </si>
  <si>
    <t>d9d4eafeaa2c52d623c78f613aa31188e861414d</t>
  </si>
  <si>
    <t>0ca48bdcd2f12d8be5bad4c59dbd9fa8f36cc7ed</t>
  </si>
  <si>
    <t>c9f995e353be9f6ba25b2205bc3668c5e6924054</t>
  </si>
  <si>
    <t>src/net/coobird/thumbnailator/geometry/Size.java</t>
  </si>
  <si>
    <t xml:space="preserve">
@@ -7,6 +7,7 @@ import java.awt.Dimension;
  * object inside of an enclosing object.
  * 
  * @author coobird
+ * @since        0.3.4
  *
  */</t>
  </si>
  <si>
    <t xml:space="preserve">
@@ -7,6 +7,7 @@ import java.awt.Dimension;
  * object inside of an enclosing object.
  * 
  * @author coobird
+ * @since 0.3.4
  *
  */</t>
  </si>
  <si>
    <t xml:space="preserve">
 * @author coobird
&lt;&lt;&lt;&lt;&lt;&lt;&lt; HEAD
 * @since	0.3.4
=======
 * @since 0.3.4
&gt;&gt;&gt;&gt;&gt;&gt;&gt; 0ca48bdcd2f12d8be5bad4c59dbd9fa8f36cc7ed</t>
  </si>
  <si>
    <t>I vs. I (Java comment)</t>
  </si>
  <si>
    <t xml:space="preserve">
/**
 * This interface is implemented by classes which calculate the size of an
 * object inside of an enclosing object.
 * 
 * @author coobird
 * @since	0.3.4</t>
  </si>
  <si>
    <t xml:space="preserve">
package net.coobird.thumbnailator.geometry;
import java.awt.Dimension;
/**
 * This interface is implemented by classes which calculate the size of an
 * object inside of an enclosing object.
 * 
 * @author coobird
 * @since	0.3.4</t>
  </si>
  <si>
    <t xml:space="preserve">
package net.coobird.thumbnailator.geometry;
import java.awt.Dimension;
/**
 * This interface is implemented by classes which calculate the size of an
 * object inside of an enclosing object.
 * 
 * @author coobird
 * @since	0.3.4</t>
  </si>
  <si>
    <t xml:space="preserve">
&lt;&lt;&lt;&lt;&lt;&lt;&lt; ../thumbnailator/56dee622995e7a742ed6653942f39db624e3b069/left/src/net/coobird/thumbnailator/geometry/Size.java
 * @since        0.3.4
||||||| ../thumbnailator/56dee622995e7a742ed6653942f39db624e3b069/base/src/net/coobird/thumbnailator/geometry/Size.java
=======
 * @since 0.3.4
&gt;&gt;&gt;&gt;&gt;&gt;&gt; ../thumbnailator/56dee622995e7a742ed6653942f39db624e3b069/right/src/net/coobird/thumbnailator/geometry/Size.java</t>
  </si>
  <si>
    <t>https://github.com/jprante/elasticsearch-jdbc</t>
  </si>
  <si>
    <t>elasticsearch-jdbc</t>
  </si>
  <si>
    <t>c49372f0c40a1ae96dd7cd1e3440bd4010c287cd</t>
  </si>
  <si>
    <t>34f2ee232b6336ffc9b3fb4876caa7a8dfe6d6fc</t>
  </si>
  <si>
    <t>92e5bd9a80aec12725dce31dae15797d1096e0e3</t>
  </si>
  <si>
    <t>9d4477547e5ada6980ad07f43ed0451544b8b012</t>
  </si>
  <si>
    <t>src/test/java/org/xbib/elasticsearch/river/jdbc/strategy/column/ColumnRiverFlowTests.java</t>
  </si>
  <si>
    <t xml:space="preserve">
@@ -54,13 +54,13 @@ public class ColumnRiverFlowTests extends AbstractRiverNodeTest {
         RiverFlow flow = new ColumnRiverFlow();
         flow.setRiverContext(context);
         flow.getFeeder()
+                .setName(context.getRiverName())
                 .setRiverState(new RiverState())
                 .setSpec(spec)
                 .setSettings(settings)
                 .setClient(client)
                 .run();
-        // we can no longer test this, as _river index is always deleted between test runs!
-        //assertLastRiverRunTimeExists(client);
+        assertLastRiverRunTimeExists(client);
     }</t>
  </si>
  <si>
    <t xml:space="preserve">
@@ -54,13 +54,14 @@ public class ColumnRiverFlowTests extends AbstractRiverNodeTest {
         RiverFlow flow = new ColumnRiverFlow();
         flow.setRiverContext(context);
         flow.getFeeder()
+                .setName(context.getRiverName())
                 .setRiverState(new RiverState())
                 .setSpec(spec)
                 .setSettings(settings)
                 .setClient(client)
                 .run();
-        // we can no longer test this, as _river index is always deleted between test runs!
-        //assertLastRiverRunTimeExists(client);
+        client.admin().indices().refresh(Requests.refreshRequest("_river")).actionGet();
+        assertLastRiverRunTimeExists(client);
     }</t>
  </si>
  <si>
    <t xml:space="preserve">
&lt;&lt;&lt;&lt;&lt;&lt;&lt; HEAD
=======
        client.admin().indices().refresh(Requests.refreshRequest("_river")).actionGet();
&gt;&gt;&gt;&gt;&gt;&gt;&gt; 92e5bd9a80aec12725dce31dae15797d1096e0e3
        assertLastRiverRunTimeExists(client);
    }</t>
  </si>
  <si>
    <t>D U vs. D I(Java code)
Origin(D I vs. D I )
R includes L</t>
  </si>
  <si>
    <t xml:space="preserve">
&lt;&lt;&lt;&lt;&lt;&lt;&lt; .../FSTMerge/fstmerge_tmp1647883697087/fstmerge_var1_1251776131474085365
=======
        client.admin().indices().refresh(Requests.refreshRequest("_river")).actionGet();
&gt;&gt;&gt;&gt;&gt;&gt;&gt; .../FSTMerge/fstmerge_tmp1647883697087/fstmerge_var2_8394231877658568216
      </t>
  </si>
  <si>
    <t xml:space="preserve">
    flow.getFeeder().setName(context.getRiverName()).setRiverState(new RiverState()).setSpec(spec).setSettings(settings).setClient(client).run();
    client.admin().indices().refresh(Requests.refreshRequest("_river")).actionGet();
    assertLastRiverRunTimeExists(client);</t>
  </si>
  <si>
    <t xml:space="preserve">
&lt;&lt;&lt;&lt;&lt;&lt;&lt; ours
=======
        client.admin().indices().refresh(Requests.refreshRequest("_river")).actionGet();
&gt;&gt;&gt;&gt;&gt;&gt;&gt; theirs
        assertLastRiverRunTimeExists(client);
    }</t>
  </si>
  <si>
    <t xml:space="preserve">
&lt;&lt;&lt;&lt;&lt;&lt;&lt; ../elasticsearch-jdbc/c49372f0c40a1ae96dd7cd1e3440bd4010c287cd/left/src/test/java/org/xbib/elasticsearch/river/jdbc/strategy/column/ColumnRiverFlowTests.java
        assertLastRiverRunTimeExists(client);
||||||| ../elasticsearch-jdbc/c49372f0c40a1ae96dd7cd1e3440bd4010c287cd/base/src/test/java/org/xbib/elasticsearch/river/jdbc/strategy/column/ColumnRiverFlowTests.java
        // we can no longer test this, as _river index is always deleted between test runs!
        //assertLastRiverRunTimeExists(client);
=======
        client.admin().indices().refresh(Requests.refreshRequest("_river")).actionGet();
        assertLastRiverRunTimeExists(client);
&gt;&gt;&gt;&gt;&gt;&gt;&gt; ../elasticsearch-jdbc/c49372f0c40a1ae96dd7cd1e3440bd4010c287cd/right/src/test/java/org/xbib/elasticsearch/river/jdbc/strategy/column/ColumnRiverFlowTests.java</t>
  </si>
  <si>
    <t>https://github.com/MovingBlocks/Terasology</t>
  </si>
  <si>
    <t>Terasology</t>
  </si>
  <si>
    <t>f9957aa0ce00e9addad5b42e5d21175720afb78c</t>
  </si>
  <si>
    <t>b6a7ff05a867975a77b9464affc0db1a05058445</t>
  </si>
  <si>
    <t>a5d7b5476e290e60757074e74164d6855125c18d</t>
  </si>
  <si>
    <t>b19e3c3d84c040c2cc7b0537e0cd7fc4b6b3e4d8</t>
  </si>
  <si>
    <t>engine/src/main/java/org/terasology/world/generator/plugin/TempWorldGeneratorPluginLibrary.java</t>
  </si>
  <si>
    <t xml:space="preserve">
@@ -15,48 +15,18 @@
  */
 package org.terasology.world.generator.plugin;
-import java.util.Set;
-
-import org.terasology.asset.AssetManager;
-import org.terasology.config.Config;
-import org.terasology.engine.module.ModuleManager;
-import org.terasology.module.DependencyInfo;
-import org.terasology.module.Module;
 import org.terasology.module.ModuleEnvironment;
-import org.terasology.naming.Name;
 import org.terasology.reflection.copy.CopyStrategyLibrary;
 import org.terasology.reflection.reflect.ReflectFactory;
 import org.terasology.registry.CoreRegistry;
-import com.google.common.collect.Sets;
-</t>
  </si>
  <si>
    <t xml:space="preserve">
@@ -15,20 +15,17 @@
  */
 package org.terasology.world.generator.plugin;
-import java.util.Set;
-
+import com.google.common.collect.Sets;
 import org.terasology.asset.AssetManager;
 import org.terasology.config.Config;
+import org.terasology.context.Context;
 import org.terasology.engine.module.ModuleManager;
 import org.terasology.module.DependencyInfo;
 import org.terasology.module.Module;
 import org.terasology.module.ModuleEnvironment;
 import org.terasology.naming.Name;
-import org.terasology.reflection.copy.CopyStrategyLibrary;
-import org.terasology.reflection.reflect.ReflectFactory;
-import org.terasology.registry.CoreRegistry;
-import com.google.common.collect.Sets;
+import java.util.Set;</t>
  </si>
  <si>
    <t xml:space="preserve">
&lt;&lt;&lt;&lt;&lt;&lt;&lt; HEAD
import org.terasology.module.ModuleEnvironment;
import org.terasology.reflection.copy.CopyStrategyLibrary;
import org.terasology.reflection.reflect.ReflectFactory;
import org.terasology.registry.CoreRegistry;
=======
import com.google.common.collect.Sets;
import org.terasology.asset.AssetManager;
import org.terasology.config.Config;
import org.terasology.context.Context;
import org.terasology.engine.module.ModuleManager;
import org.terasology.module.DependencyInfo;
import org.terasology.module.Module;
import org.terasology.module.ModuleEnvironment;
import org.terasology.naming.Name;
import java.util.Set;
&gt;&gt;&gt;&gt;&gt;&gt;&gt; a5d7b5476e290e60757074e74164d6855125c18d</t>
  </si>
  <si>
    <t xml:space="preserve">
@@ -15,20 +15,8 @@
  */
 package org.terasology.world.generator.plugin;
-import java.util.Set;
-
-import org.terasology.asset.AssetManager;
-import org.terasology.config.Config;
-import org.terasology.engine.module.ModuleManager;
-import org.terasology.module.DependencyInfo;
-import org.terasology.module.Module;
+import org.terasology.context.Context;
 import org.terasology.module.ModuleEnvironment;
-import org.terasology.naming.Name;
-import org.terasology.reflection.copy.CopyStrategyLibrary;
-import org.terasology.reflection.reflect.ReflectFactory;
-import org.terasology.registry.CoreRegistry;
-
-import com.google.common.collect.Sets;</t>
  </si>
  <si>
    <t>D vs. D I (import)</t>
  </si>
  <si>
    <t>accept left plus partial right and remove more lines</t>
  </si>
  <si>
    <t xml:space="preserve">
package org.terasology.world.generator.plugin; 
import com.google.common.collect.Sets; 
import org.terasology.asset.AssetManager; 
import org.terasology.config.Config; 
import org.terasology.context.Context; 
import org.terasology.engine.module.ModuleManager; 
import org.terasology.module.DependencyInfo; 
import org.terasology.module.Module; 
import org.terasology.module.ModuleEnvironment; 
import org.terasology.naming.Name; 
import java.util.Set; 
import org.terasology.reflection.copy.CopyStrategyLibrary; 
import org.terasology.reflection.reflect.ReflectFactory; 
import org.terasology.registry.CoreRegistry; </t>
  </si>
  <si>
    <t>inherit right version, but keep removed lines</t>
  </si>
  <si>
    <t xml:space="preserve">
&lt;&lt;&lt;&lt;&lt;&lt;&lt; .../left/engine/src/main/java/org/terasology/world/generator/plugin/TempWorldGeneratorPluginLibrary.java
  ModuleEnvironment environment
=======
  Context context
&gt;&gt;&gt;&gt;&gt;&gt;&gt; .../right/engine/src/main/java/org/terasology/world/generator/plugin/TempWorldGeneratorPluginLibrary.java
  ) {
    super(
&lt;&lt;&lt;&lt;&lt;&lt;&lt; .../left/engine/src/main/java/org/terasology/world/generator/plugin/TempWorldGeneratorPluginLibrary.java
    environment
=======
    getEnv(context)
&gt;&gt;&gt;&gt;&gt;&gt;&gt; .../right/engine/src/main/java/org/terasology/world/generator/plugin/TempWorldGeneratorPluginLibrary.java
    , context);
  }</t>
  </si>
  <si>
    <t xml:space="preserve">
package org.terasology.world.generator.plugin;
import com.google.common.collect.Sets;
import org.terasology.asset.AssetManager;
import org.terasology.config.Config;
import org.terasology.context.Context;
import org.terasology.engine.module.ModuleManager;
import org.terasology.module.DependencyInfo;
import org.terasology.module.Module;
import org.terasology.module.ModuleEnvironment;
import org.terasology.naming.Name;
import java.util.Set;</t>
  </si>
  <si>
    <t xml:space="preserve">
&lt;&lt;&lt;&lt;&lt;&lt;&lt; Unknown file: This is a bug in JDime.
=======
  private static ModuleEnvironment getEnv(Context context) {
    ModuleManager moduleManager = context.get(ModuleManager.class);
    AssetManager assetManager = context.get(AssetManager.class);
    Config config = context.get(Config.class);
    Set&lt;Module&gt; selectedModules = Sets.newHashSet();
    for (Name moduleName : config.getDefaultModSelection().listModules()) {
      Module module = moduleManager.getRegistry().getLatestModuleVersion(moduleName);
      if (module != null) {
        selectedModules.add(module);
        for (DependencyInfo dependencyInfo : module.getMetadata().getDependencies()) {
          selectedModules.add(moduleManager.getRegistry().getLatestModuleVersion(dependencyInfo.getId()));
        }
      }
    }
    ModuleEnvironment environment = moduleManager.loadEnvironment(selectedModules, false);
    assetManager.setEnvironment(environment);
    return environment;
  }
&gt;&gt;&gt;&gt;&gt;&gt;&gt; .../right/engine/src/main/java/org/terasology/world/generator/plugin/TempWorldGeneratorPluginLibrary.java
}</t>
  </si>
  <si>
    <t xml:space="preserve">
&lt;&lt;&lt;&lt;&lt;&lt;&lt; ../Terasology/f9957aa0ce00e9addad5b42e5d21175720afb78c/left/engine/src/main/java/org/terasology/world/generator/plugin/TempWorldGeneratorPluginLibrary.java
||||||| ../Terasology/f9957aa0ce00e9addad5b42e5d21175720afb78c/base/engine/src/main/java/org/terasology/world/generator/plugin/TempWorldGeneratorPluginLibrary.java
import java.util.Set;
=======
import com.google.common.collect.Sets;
&gt;&gt;&gt;&gt;&gt;&gt;&gt; ../Terasology/f9957aa0ce00e9addad5b42e5d21175720afb78c/right/engine/src/main/java/org/terasology/world/generator/plugin/TempWorldGeneratorPluginLibrary.java</t>
  </si>
  <si>
    <t>https://github.com/flowable/flowable-engine</t>
  </si>
  <si>
    <t>flowable-engine</t>
  </si>
  <si>
    <t>ac0533b525fa907b5f9c6f6fbe10ee17c72000ad</t>
  </si>
  <si>
    <t>9fac8d1cbbb3b31877686e1e7c7c50ecc0a61945</t>
  </si>
  <si>
    <t>a68b2111883d0886e1625f16de7769cfbf10fa0d</t>
  </si>
  <si>
    <t>97d9bd3bc6e4e938c93d2f017dfb7a1f58819f56</t>
  </si>
  <si>
    <t>modules/activiti-engine/src/main/java/org/activiti/engine/impl/bpmn/parser/BpmnParse.java</t>
  </si>
  <si>
    <t xml:space="preserve">
@@ -957,7 +947,7 @@ public class BpmnParse implements BpmnXMLConstants {
     } else if (eventDefinition == null) {
       activityBehavior = new IntermediateThrowNoneEventActivityBehavior();
     } else { // None intermediate event
-      bpmnModel.addProblem("Unsupported intermediate throw event type " + eventDefinition, intermediateEvent.getId());
+      bpmnModel.addProblem("Unsupported intermediate throw event type " + eventDefinition, intermediateEvent);
     }
     nestedActivityImpl.setActivityBehavior(activityBehavior);</t>
  </si>
  <si>
    <t xml:space="preserve">
-      // IntermediateThrowNoneEventActivityBehavior
     } else if (eventDefinition == null) {
-      activityBehavior = new IntermediateThrowNoneEventActivityBehavior();
-    } else { // None intermediate event
+      activityBehavior = activityBehaviorFactory.createIntermediateThrowNoneEventActivityBehavior(intermediateEvent); 
+    } else { 
       bpmnModel.addProblem("Unsupported intermediate throw event type " + eventDefinition, intermediateEvent.getId());
     }</t>
  </si>
  <si>
    <t xml:space="preserve">
    } else if (eventDefinition == null) {
&lt;&lt;&lt;&lt;&lt;&lt;&lt; HEAD
      activityBehavior = new IntermediateThrowNoneEventActivityBehavior();
    } else { // None intermediate event
      bpmnModel.addProblem("Unsupported intermediate throw event type " + eventDefinition, intermediateEvent);
=======
      activityBehavior = activityBehaviorFactory.createIntermediateThrowNoneEventActivityBehavior(intermediateEvent); 
    } else { 
      bpmnModel.addProblem("Unsupported intermediate throw event type " + eventDefinition, intermediateEvent.getId());
&gt;&gt;&gt;&gt;&gt;&gt;&gt; a68b2111883d0886e1625f16de7769cfbf10fa0d
    }</t>
  </si>
  <si>
    <t xml:space="preserve">
-      // IntermediateThrowNoneEventActivityBehavior
     } else if (eventDefinition == null) {
-      activityBehavior = new IntermediateThrowNoneEventActivityBehavior();
-    } else { // None intermediate event
-      bpmnModel.addProblem("Unsupported intermediate throw event type " + eventDefinition, intermediateEvent.getId());
+      activityBehavior = activityBehaviorFactory.createIntermediateThrowNoneEventActivityBehavior(intermediateEvent); 
+    } else { 
+      bpmnModel.addProblem("Unsupported intermediate throw event type " + eventDefinition, intermediateEvent);
     }
     nestedActivityImpl.setActivityBehavior(activityBehavior);</t>
  </si>
  <si>
    <t>U + D I (Java code)
Origin(U + U)</t>
  </si>
  <si>
    <t xml:space="preserve">
&lt;&lt;&lt;&lt;&lt;&lt;&lt; .../FSTMerge/fstmerge_tmp1647884085057/fstmerge_var1_6184217660852861247
      activityBehavior = new IntermediateThrowNoneEventActivityBehavior();
    } else { // None intermediate event
      bpmnModel.addProblem("Unsupported intermediate throw event type " + eventDefinition, intermediateEvent);
=======
      activityBehavior = activityBehaviorFactory.createIntermediateThrowNoneEventActivityBehavior(intermediateEvent); 
    } else { 
      bpmnModel.addProblem("Unsupported intermediate throw event type " + eventDefinition, intermediateEvent.getId());
&gt;&gt;&gt;&gt;&gt;&gt;&gt; .../FSTMerge/fstmerge_tmp1647884085057/fstmerge_var2_1995335840214898493
    }</t>
  </si>
  <si>
    <t xml:space="preserve">
      } else {
        if (eventDefinition == null) {
          activityBehavior = activityBehaviorFactory.createIntermediateThrowNoneEventActivityBehavior(intermediateEvent);
        } else {
          bpmnModel.addProblem("Unsupported intermediate throw event type " + eventDefinition, intermediateEvent);
        }
      }</t>
  </si>
  <si>
    <t xml:space="preserve">
&lt;&lt;&lt;&lt;&lt;&lt;&lt; ours
      activityBehavior = new IntermediateThrowNoneEventActivityBehavior();
    } else { // None intermediate event
      bpmnModel.addProblem("Unsupported intermediate throw event type " + eventDefinition, intermediateEvent);
=======
      activityBehavior = activityBehaviorFactory.createIntermediateThrowNoneEventActivityBehavior(intermediateEvent); 
    } else { 
      bpmnModel.addProblem("Unsupported intermediate throw event type " + eventDefinition, intermediateEvent.getId());
&gt;&gt;&gt;&gt;&gt;&gt;&gt; theirs
    }</t>
  </si>
  <si>
    <t xml:space="preserve">
    } else if (eventDefinition == null) {
      activityBehavior = activityBehaviorFactory.createIntermediateThrowNoneEventActivityBehavior(intermediateEvent); 
    } else { 
      bpmnModel.addProblem("Unsupported intermediate throw event type " + eventDefinition, intermediateEvent);
    }</t>
  </si>
  <si>
    <t>https://github.com/AntennaPod/AntennaPod</t>
  </si>
  <si>
    <t>AntennaPod</t>
  </si>
  <si>
    <t>5d96effbd500a8378d9058f78c3149c048f3caf8</t>
  </si>
  <si>
    <t>44a8568ee6206a97b2a50137d50fb50300f461e4</t>
  </si>
  <si>
    <t>b80978c40ac22bdaaea528c3908c5cf347088562</t>
  </si>
  <si>
    <t>3bc94df9321385a633c87492f2f5d52f288c7793</t>
  </si>
  <si>
    <t>core/src/main/res/values/strings.xml</t>
  </si>
  <si>
    <t xml:space="preserve">
@@ -721,6 +722,9 @@
     &lt;string name="discover"&gt;Discover&lt;/string&gt;
     &lt;string name="discover_more"&gt;more »&lt;/string&gt;
     &lt;string name="search_powered_by"&gt;Search powered by %1$s&lt;/string&gt;
+    &lt;string name="add_local_folder"&gt;Add local folder&lt;/string&gt;
+    &lt;string name="add_local_folder_success"&gt;Adding local folder succeeded&lt;/string&gt;
+    &lt;string name="local_feed_description"&gt;This virtual podcast was created by adding a folder to AntennaPod.&lt;/string&gt;
     &lt;string name="filter"&gt;Filter&lt;/string&gt;</t>
  </si>
  <si>
    <t xml:space="preserve">
@@ -715,12 +715,13 @@
     &lt;string name="browse_gpoddernet_label"&gt;Browse gpodder.net&lt;/string&gt;
     &lt;string name="discover"&gt;Discover&lt;/string&gt;
     &lt;string name="discover_more"&gt;more »&lt;/string&gt;
-    &lt;string name="search_powered_by"&gt;Search powered by %1$s&lt;/string&gt;
+    &lt;string name="discover_powered_by_itunes"&gt;Suggestions by iTunes&lt;/string&gt;
+    &lt;string name="search_powered_by"&gt;Results by %1$s&lt;/string&gt;
     &lt;string name="filter"&gt;Filter&lt;/string&gt;</t>
  </si>
  <si>
    <t xml:space="preserve">
    &lt;!-- Add podcast fragment --&gt;
    &lt;string name="search_podcast_hint"&gt;Search podcast…&lt;/string&gt;
    &lt;string name="search_itunes_label"&gt;Search iTunes&lt;/string&gt;
    &lt;string name="search_fyyd_label"&gt;Search fyyd&lt;/string&gt;
    &lt;string name="advanced"&gt;Advanced&lt;/string&gt;
    &lt;string name="add_podcast_by_url"&gt;Add Podcast by RSS address&lt;/string&gt;
    &lt;string name="add_podcast_by_url_hint" translatable="false"&gt;www.example.com/feed&lt;/string&gt;
    &lt;string name="browse_gpoddernet_label"&gt;Browse gpodder.net&lt;/string&gt;
    &lt;string name="discover"&gt;Discover&lt;/string&gt;
    &lt;string name="discover_more"&gt;more »&lt;/string&gt;
&lt;&lt;&lt;&lt;&lt;&lt;&lt; HEAD
    &lt;string name="search_powered_by"&gt;Search powered by %1$s&lt;/string&gt;
    &lt;string name="add_local_folder"&gt;Add local folder&lt;/string&gt;
    &lt;string name="add_local_folder_success"&gt;Adding local folder succeeded&lt;/string&gt;
    &lt;string name="local_feed_description"&gt;This virtual podcast was created by adding a folder to AntennaPod.&lt;/string&gt;
=======
    &lt;string name="discover_powered_by_itunes"&gt;Suggestions by iTunes&lt;/string&gt;
    &lt;string name="search_powered_by"&gt;Results by %1$s&lt;/string&gt;
&gt;&gt;&gt;&gt;&gt;&gt;&gt; b80978c40ac22bdaaea528c3908c5cf347088562
    &lt;string name="filter"&gt;Filter&lt;/string&gt;</t>
  </si>
  <si>
    <t xml:space="preserve">
@@ -715,12 +716,16 @@
     &lt;string name="search_itunes_label"&gt;Search iTunes&lt;/string&gt;
     &lt;string name="search_fyyd_label"&gt;Search fyyd&lt;/string&gt;
     &lt;string name="advanced"&gt;Advanced&lt;/string&gt;
-    &lt;string name="add_podcast_by_url"&gt;Add Podcast by URL&lt;/string&gt;
+    &lt;string name="add_podcast_by_url"&gt;Add Podcast by RSS address&lt;/string&gt;
     &lt;string name="add_podcast_by_url_hint" translatable="false"&gt;www.example.com/feed&lt;/string&gt;
     &lt;string name="browse_gpoddernet_label"&gt;Browse gpodder.net&lt;/string&gt;
     &lt;string name="discover"&gt;Discover&lt;/string&gt;
     &lt;string name="discover_more"&gt;more »&lt;/string&gt;
-    &lt;string name="search_powered_by"&gt;Search powered by %1$s&lt;/string&gt;
+    &lt;string name="discover_powered_by_itunes"&gt;Suggestions by iTunes&lt;/string&gt;
+    &lt;string name="search_powered_by"&gt;Results by %1$s&lt;/string&gt;
+    &lt;string name="add_local_folder"&gt;Add local folder&lt;/string&gt;
+    &lt;string name="add_local_folder_success"&gt;Adding local folder succeeded&lt;/string&gt;
+    &lt;string name="local_feed_description"&gt;This virtual podcast was created by adding a folder to AntennaPod.&lt;/string&gt;
     &lt;string name="filter"&gt;Filter&lt;/string&gt;</t>
  </si>
  <si>
    <t>I+ U I
Origin(I vs. U I)</t>
  </si>
  <si>
    <t xml:space="preserve">
&lt;&lt;&lt;&lt;&lt;&lt;&lt; ../AntennaPod/5d96effbd500a8378d9058f78c3149c048f3caf8/left/core/src/main/res/values/strings.xml
    &lt;string name="search_powered_by"&gt;Search powered by %1$s&lt;/string&gt;
    &lt;string name="add_local_folder"&gt;Add local folder&lt;/string&gt;
    &lt;string name="add_local_folder_success"&gt;Adding local folder succeeded&lt;/string&gt;
    &lt;string name="local_feed_description"&gt;This virtual podcast was created by adding a folder to AntennaPod.&lt;/string&gt;
||||||| ../AntennaPod/5d96effbd500a8378d9058f78c3149c048f3caf8/base/core/src/main/res/values/strings.xml
    &lt;string name="search_powered_by"&gt;Search powered by %1$s&lt;/string&gt;
=======
    &lt;string name="discover_powered_by_itunes"&gt;Suggestions by iTunes&lt;/string&gt;
    &lt;string name="search_powered_by"&gt;Results by %1$s&lt;/string&gt;
&gt;&gt;&gt;&gt;&gt;&gt;&gt; ../AntennaPod/5d96effbd500a8378d9058f78c3149c048f3caf8/right/core/src/main/res/values/strings.xml</t>
  </si>
  <si>
    <t>https://github.com/stylefeng/Guns</t>
  </si>
  <si>
    <t>Guns</t>
  </si>
  <si>
    <t>153d123404524f50068d6df8a8e0c28f1c3bfae4</t>
  </si>
  <si>
    <t>e73ac7e669c214c36c725b10f4a9d33eedec83c7</t>
  </si>
  <si>
    <t>71fb46193c833709c4f917536c355974931acd2a</t>
  </si>
  <si>
    <t>2fbd74aff86a37c2e02277bece60c1b6698edc7f</t>
  </si>
  <si>
    <t xml:space="preserve">
@@ -3,8 +3,8 @@
 ## 介绍
 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2018目标 `更简洁`，`更规范`!
-## 云服务器全网最低 Guns专属优惠
-1核2G 99/年，298/3年，2核4G 500/1年，1227/3年，2核8G 5M带宽 2000/3年，仅限阿里云新用户，想买的老用户可以注册一个哦，点击链接购买[https://m.aliyun.com/act/team1111/#/share?params=N.lqp2rk5ITB.p4kqz45e](https://m.aliyun.com/act/team1111/#/share?params=N.lqp2rk5ITB.p4kqz45e) 
+## 旗舰版抢先看
+Guns旗舰版预计12月底发布第一个版本，目前功能尚不完善，demo地址（admin/111111）：[http://demo.stylefeng.cn](http://demo.stylefeng.cn)，不要再问旗舰版收不收费，不然我真的就收费了 :smiling_imp:  :smiling_imp: 
 ### Guns v5.1更新内容
 </t>
  </si>
  <si>
    <t xml:space="preserve">
@@ -1,20 +1,20 @@
-# Guns V5.1
+# Guns旗舰版v1.0 震撼发布
 ## 介绍
-Guns基于SpringBoot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2018目标 `更简洁`，`更规范`!
+Guns基于SpringBoot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
-## 云服务器全网最低 Guns专属优惠
-1核2G 99/年，298/3年，2核4G 500/1年，1227/3年，2核8G 5M带宽 2000/3年，仅限阿里云新用户，想买的老用户可以注册一个哦，点击链接购买[https://m.aliyun.com/act/team1111/#/share?params=N.lqp2rk5ITB.p4kqz45e](https://m.aliyun.com/act/team1111/#/share?params=N.lqp2rk5ITB.p4kqz45e) 
+### Guns旗舰版v1.0 更新内容</t>
  </si>
  <si>
    <t xml:space="preserve">
&lt;&lt;&lt;&lt;&lt;&lt;&lt; HEAD
## 旗舰版抢先看
Guns旗舰版预计12月底发布第一个版本，目前功能尚不完善，demo地址（admin/111111）：[http://demo.stylefeng.cn](http://demo.stylefeng.cn)，不要再问旗舰版收不收费，不然我真的就收费了 :smiling_imp:  :smiling_imp: 
=======
### Guns旗舰版v1.0 更新内容
&gt;&gt;&gt;&gt;&gt;&gt;&gt; 71fb46193c833709c4f917536c355974931acd2a</t>
  </si>
  <si>
    <t xml:space="preserve">
-# Guns V5.1
-
-## 介绍
-Guns基于SpringBoot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2018目标 `更简洁`，`更规范`!
-
-## 云服务器全网最低 Guns专属优惠
-1核2G 99/年，298/3年，2核4G 500/1年，1227/3年，2核8G 5M带宽 2000/3年，仅限阿里云新用户，想买的老用户可以注册一个哦，点击链接购买[https://m.aliyun.com/act/team1111/#/share?params=N.lqp2rk5ITB.p4kqz45e](https://m.aliyun.com/act/team1111/#/share?params=N.lqp2rk5ITB.p4kqz45e) 
-
-### Guns v5.1更新内容
…
+# Guns旗舰版v1.0 震撼发布
+
+## 介绍
+Guns基于SpringBoot 2，致力于做更简洁的后台管理系统，完美整合springmvc + shiro + mybatis-plus + beetl!Guns项目代码简洁，注释丰富，上手容易，同时Guns包含许多基础模块(用户管理，角色管理，部门管理，字典管理等10个模块)，可以直接作为一个后台管理系统的脚手架! 
+
+### Guns旗舰版v1.0 更新内容
+
+&gt; * 前端页面风格和架构焕然一新，全面升级bootstrap 4.0，您现在拥有两种界面风格可选
+&gt; * 引入vue.js，实现业务数据双向绑定，不增加学习成本的情况下，提升自己的开发效率
+&gt; * 优化前端框架结构，加载速度更快，使用更加灵活可配置
+&gt; * 前后端代码整体重构，逻辑更加清晰，代码量更加简洁，增加关键部分注释，代码的可读性提高
+&gt; * 增加docker-maven-plugin插件，可一键部署项目到装有docker的服务器
+&gt; * 重构shiro部分的业务代码和配置，更加清晰简洁
+&gt; * 规范后端数据库设计，字段和表的命名都修改为下划线命名，将以往的全小写命名去除
+</t>
  </si>
  <si>
    <t>D I vs. D I (.md)</t>
  </si>
  <si>
    <t>take right side plus some additional change</t>
  </si>
  <si>
    <t xml:space="preserve">
&lt;&lt;&lt;&lt;&lt;&lt;&lt; ../Guns/153d123404524f50068d6df8a8e0c28f1c3bfae4/left/README.md
## 旗舰版抢先看
Guns旗舰版预计12月底发布第一个版本，目前功能尚不完善，demo地址（admin/111111）：[http://demo.stylefeng.cn](http://demo.stylefeng.cn)，不要再问旗舰版收不收费，不然我真的就收费了 :smiling_imp:  :smiling_imp: 
||||||| ../Guns/153d123404524f50068d6df8a8e0c28f1c3bfae4/base/README.md
## 云服务器全网最低 Guns专属优惠
1核2G 99/年，298/3年，2核4G 500/1年，1227/3年，2核8G 5M带宽 2000/3年，仅限阿里云新用户，想买的老用户可以注册一个哦，点击链接购买[https://m.aliyun.com/act/team1111/#/share?params=N.lqp2rk5ITB.p4kqz45e](https://m.aliyun.com/act/team1111/#/share?params=N.lqp2rk5ITB.p4kqz45e) 
=======
### Guns旗舰版v1.0 更新内容
&gt;&gt;&gt;&gt;&gt;&gt;&gt; ../Guns/153d123404524f50068d6df8a8e0c28f1c3bfae4/right/README.md</t>
  </si>
  <si>
    <t>https://github.com/querydsl/querydsl</t>
  </si>
  <si>
    <t>querydsl</t>
  </si>
  <si>
    <t>9ad304fdbe48da1addb9f6a04b8e1e5a229c8031</t>
  </si>
  <si>
    <t>9f861e7f3c59a6b1487a6064fc57ab4389a0145c</t>
  </si>
  <si>
    <t>fdf4187044f94915843d349ac39044d52cbe1d05</t>
  </si>
  <si>
    <t>9d2cbb8e9466511c0280de313c646829571f2e71</t>
  </si>
  <si>
    <t>querydsl-sql/src/test/java/com/mysema/query/UnionBase.java</t>
  </si>
  <si>
    <t xml:space="preserve">
 import static com.mysema.query.Target.DERBY;
+import static com.mysema.query.Target.TERADATA;
 import static org.junit.Assert.assertEquals;</t>
  </si>
  <si>
    <t xml:space="preserve">
 import static com.mysema.query.Target.DERBY;
+import static com.mysema.query.Target.MYSQL;
 import static org.junit.Assert.assertEquals;</t>
  </si>
  <si>
    <t xml:space="preserve">
import static com.mysema.query.Target.DERBY;
&lt;&lt;&lt;&lt;&lt;&lt;&lt; HEAD
import static com.mysema.query.Target.TERADATA;
=======
import static com.mysema.query.Target.MYSQL;
&gt;&gt;&gt;&gt;&gt;&gt;&gt; fdf4187044f94915843d349ac39044d52cbe1d05
import static org.junit.Assert.assertEquals;</t>
  </si>
  <si>
    <t xml:space="preserve">
 import static com.mysema.query.Target.DERBY;
+import static com.mysema.query.Target.MYSQL;
+import static com.mysema.query.Target.TERADATA;
 import static org.junit.Assert.assertEquals;</t>
  </si>
  <si>
    <t xml:space="preserve">
import static com.mysema.query.Target.DERBY; 
import static com.mysema.query.Target.MYSQL; 
import static org.junit.Assert.assertEquals; 
…
import static com.mysema.query.Target.TERADATA; </t>
  </si>
  <si>
    <t xml:space="preserve">
import static com.mysema.query.Target.DERBY;
import static com.mysema.query.Target.TERADATA;
import static com.mysema.query.Target.MYSQL;
import static org.junit.Assert.assertEquals;
</t>
  </si>
  <si>
    <t xml:space="preserve">
import static com.mysema.query.Target.DERBY;
import static com.mysema.query.Target.TERADATA;
import static com.mysema.query.Target.MYSQL;
import static org.junit.Assert.assertEquals;</t>
  </si>
  <si>
    <t xml:space="preserve">
import static com.mysema.query.Target.DERBY;
&lt;&lt;&lt;&lt;&lt;&lt;&lt; ../querydsl/9ad304fdbe48da1addb9f6a04b8e1e5a229c8031/left/querydsl-sql/src/test/java/com/mysema/query/UnionBase.java
import static com.mysema.query.Target.TERADATA;
||||||| ../querydsl/9ad304fdbe48da1addb9f6a04b8e1e5a229c8031/base/querydsl-sql/src/test/java/com/mysema/query/UnionBase.java
=======
import static com.mysema.query.Target.MYSQL;
&gt;&gt;&gt;&gt;&gt;&gt;&gt; ../querydsl/9ad304fdbe48da1addb9f6a04b8e1e5a229c8031/right/querydsl-sql/src/test/java/com/mysema/query/UnionBase.java</t>
  </si>
  <si>
    <t>https://github.com/web3j/web3j</t>
  </si>
  <si>
    <t>web3j</t>
  </si>
  <si>
    <t>943ecbd825e0abc92f5c37cd68bad7cdbe91cc12</t>
  </si>
  <si>
    <t>bff2f9cb6b0adbcf8d8f33ecd4062beb126b6145</t>
  </si>
  <si>
    <t>8a84214742410c23592503fc2b8f2e0a1e25edc5</t>
  </si>
  <si>
    <t>b54a29e47efa335acf5079356e48306149afeaaf</t>
  </si>
  <si>
    <t>codegen/src/main/java/org/web3j/codegen/SolidityFunctionWrapper.java</t>
  </si>
  <si>
    <t xml:space="preserve">
@@ -889,8 +929,7 @@ public class SolidityFunctionWrapper extends Generator {
     }
     private void buildTupleResultContainer(
-            MethodSpec.Builder methodBuilder, ParameterizedTypeName tupleType)
-            throws ClassNotFoundException {
+            MethodSpec.Builder methodBuilder, ParameterizedTypeName tupleType) {
         List&lt;TypeName&gt; typeArguments = tupleType.typeArguments;</t>
  </si>
  <si>
    <t xml:space="preserve">
@@ -889,30 +917,53 @@ public class SolidityFunctionWrapper extends Generator {
     }
     private void buildTupleResultContainer(
-            MethodSpec.Builder methodBuilder, ParameterizedTypeName tupleType)
+            MethodSpec.Builder methodBuilder, ParameterizedTypeName tupleType, 
+            List&lt;TypeName&gt; outputParameterTypes)
             throws ClassNotFoundException {
         List&lt;TypeName&gt; typeArguments = tupleType.typeArguments;</t>
  </si>
  <si>
    <t xml:space="preserve">
    private void buildTupleResultContainer(
&lt;&lt;&lt;&lt;&lt;&lt;&lt; HEAD
            MethodSpec.Builder methodBuilder, ParameterizedTypeName tupleType) {
=======
            MethodSpec.Builder methodBuilder, ParameterizedTypeName tupleType, 
            List&lt;TypeName&gt; outputParameterTypes)
            throws ClassNotFoundException {
&gt;&gt;&gt;&gt;&gt;&gt;&gt; 8a84214742410c23592503fc2b8f2e0a1e25edc5
        List&lt;TypeName&gt; typeArguments = tupleType.typeArguments;</t>
  </si>
  <si>
    <t xml:space="preserve">
@@ -889,30 +957,52 @@ public class SolidityFunctionWrapper extends Generator {
     }
     private void buildTupleResultContainer(
-            MethodSpec.Builder methodBuilder, ParameterizedTypeName tupleType)
-            throws ClassNotFoundException {
+            MethodSpec.Builder methodBuilder, ParameterizedTypeName tupleType,
+            List&lt;TypeName&gt; outputParameterTypes) {
         List&lt;TypeName&gt; typeArguments = tupleType.typeArguments;</t>
  </si>
  <si>
    <t>D I vs. U I(Java code)
Origin(U vs. U)</t>
  </si>
  <si>
    <t xml:space="preserve">
  private void buildTupleResultContainer(MethodSpec.Builder methodBuilder, ParameterizedTypeName tupleType, List&lt;TypeName&gt; outputParameterTypes) {</t>
  </si>
  <si>
    <t xml:space="preserve">
    private void buildTupleResultContainer(
&lt;&lt;&lt;&lt;&lt;&lt;&lt; ours
            MethodSpec.Builder methodBuilder, ParameterizedTypeName tupleType)
=======
            MethodSpec.Builder methodBuilder, ParameterizedTypeName tupleType, 
            List&lt;TypeName&gt; outputParameterTypes)
            throws ClassNotFoundException
&gt;&gt;&gt;&gt;&gt;&gt;&gt; theirs
     {</t>
  </si>
  <si>
    <t xml:space="preserve">
    private void buildTupleResultContainer(
&lt;&lt;&lt;&lt;&lt;&lt;&lt; ../web3j/943ecbd825e0abc92f5c37cd68bad7cdbe91cc12/left/codegen/src/main/java/org/web3j/codegen/SolidityFunctionWrapper.java
            MethodSpec.Builder methodBuilder, ParameterizedTypeName tupleType) {
||||||| ../web3j/943ecbd825e0abc92f5c37cd68bad7cdbe91cc12/base/codegen/src/main/java/org/web3j/codegen/SolidityFunctionWrapper.java
            MethodSpec.Builder methodBuilder, ParameterizedTypeName tupleType)
=======
            MethodSpec.Builder methodBuilder, ParameterizedTypeName tupleType, 
&gt;&gt;&gt;&gt;&gt;&gt;&gt; ../web3j/943ecbd825e0abc92f5c37cd68bad7cdbe91cc12/right/codegen/src/main/java/org/web3j/codegen/SolidityFunctionWrapper.java</t>
  </si>
  <si>
    <t>https://github.com/undertow-io/undertow</t>
  </si>
  <si>
    <t>undertow</t>
  </si>
  <si>
    <t>6df0cc433bfe9a26dd730bca0d685a2dcae4e2be</t>
  </si>
  <si>
    <t>cca0f5ec7837ffe6dc3a573da78c65ccd8b980b5</t>
  </si>
  <si>
    <t>805a9e239a549a592dd6b5795af9c948641a7b41</t>
  </si>
  <si>
    <t>40c2fbc3b529930a9fe38c959e5eb9cfaafe2a69</t>
  </si>
  <si>
    <t>core/src/main/java/io/undertow/UndertowMessages.java</t>
  </si>
  <si>
    <t xml:space="preserve">
@@ -414,4 +414,7 @@ public interface UndertowMessages {
     @Message(id = 128, value = "Remote peer closed connection before all data could be read")
     IOException couldNotReadContentLengthData();
+    @Message(id = 129, value = "Failed to send after being safe to send")
+    IllegalStateException failedToSendAfterBeingSafe();
+
 }</t>
  </si>
  <si>
    <t xml:space="preserve">
@@ -414,4 +414,6 @@ public interface UndertowMessages {
     @Message(id = 128, value = "Remote peer closed connection before all data could be read")
     IOException couldNotReadContentLengthData();
+    @Message(id = 129, value = "HTTP reason phrase was too large for the buffer. Either provide a smaller message or a bigger buffer. Phrase: %s")
+    IllegalStateException reasonPhraseToLargeForBuffer(String phrase);
 }</t>
  </si>
  <si>
    <t xml:space="preserve">
&lt;&lt;&lt;&lt;&lt;&lt;&lt; HEAD
    @Message(id = 129, value = "Failed to send after being safe to send")
    IllegalStateException failedToSendAfterBeingSafe();
=======
    @Message(id = 129, value = "HTTP reason phrase was too large for the buffer. Either provide a smaller message or a bigger buffer. Phrase: %s")
    IllegalStateException reasonPhraseToLargeForBuffer(String phrase);
&gt;&gt;&gt;&gt;&gt;&gt;&gt; 805a9e239a549a592dd6b5795af9c948641a7b41
}</t>
  </si>
  <si>
    <t xml:space="preserve">
@@ -414,4 +414,9 @@ public interface UndertowMessages {
     @Message(id = 128, value = "Remote peer closed connection before all data could be read")
     IOException couldNotReadContentLengthData();
+    @Message(id = 129, value = "Failed to send after being safe to send")
+    IllegalStateException failedToSendAfterBeingSafe();
+
+    @Message(id = 130, value = "HTTP reason phrase was too large for the buffer. Either provide a smaller message or a bigger buffer. Phrase: %s")
+    IllegalStateException reasonPhraseToLargeForBuffer(String phrase);
 }</t>
  </si>
  <si>
    <t>I vs. I</t>
  </si>
  <si>
    <t>accept both sides pluse modification(change id)</t>
  </si>
  <si>
    <t xml:space="preserve">
    @Message(id = 129, value = "HTTP reason phrase was too large for the buffer. Either provide a smaller message or a bigger buffer. Phrase: %s")
    IllegalStateException reasonPhraseToLargeForBuffer(String phrase);
    @Message(id = 129, value = "Failed to send after being safe to send")
    IllegalStateException failedToSendAfterBeingSafe();</t>
  </si>
  <si>
    <t xml:space="preserve">
  @Message(id = 129, value = "Failed to send after being safe to send") IllegalStateException failedToSendAfterBeingSafe();
  @Message(id = 129, value = "HTTP reason phrase was too large for the buffer. Either provide a smaller message or a bigger buffer. Phrase: %s") IllegalStateException reasonPhraseToLargeForBuffer(String phrase);
</t>
  </si>
  <si>
    <t xml:space="preserve">
    @Message(id = 129, value = "Failed to send after being safe to send")
     IllegalStateException failedToSendAfterBeingSafe();
    @Message(id = 129, value = "HTTP reason phrase was too large for the buffer. Either provide a smaller message or a bigger buffer. Phrase: %s")
     IllegalStateException reasonPhraseToLargeForBuffer(String phrase);</t>
  </si>
  <si>
    <t xml:space="preserve">
&lt;&lt;&lt;&lt;&lt;&lt;&lt; ../undertow/6df0cc433bfe9a26dd730bca0d685a2dcae4e2be/left/core/src/main/java/io/undertow/UndertowMessages.java
    @Message(id = 129, value = "Failed to send after being safe to send")
    IllegalStateException failedToSendAfterBeingSafe();
||||||| ../undertow/6df0cc433bfe9a26dd730bca0d685a2dcae4e2be/base/core/src/main/java/io/undertow/UndertowMessages.java
=======
    @Message(id = 129, value = "HTTP reason phrase was too large for the buffer. Either provide a smaller message or a bigger buffer. Phrase: %s")
    IllegalStateException reasonPhraseToLargeForBuffer(String phrase);
&gt;&gt;&gt;&gt;&gt;&gt;&gt; ../undertow/6df0cc433bfe9a26dd730bca0d685a2dcae4e2be/right/core/src/main/java/io/undertow/UndertowMessages.java</t>
  </si>
  <si>
    <t>https://github.com/immutables/immutables</t>
  </si>
  <si>
    <t>immutables</t>
  </si>
  <si>
    <t>817c6ddab07032774447d3236602a79304dc5637</t>
  </si>
  <si>
    <t>1932324336861d0c83764270c915dc4df39d8fd0</t>
  </si>
  <si>
    <t>3ede203b654e06b00fb60facc6edc46542e1ed47</t>
  </si>
  <si>
    <t>82ca69633d14ddde00ef33d556b7e909fb3bded6</t>
  </si>
  <si>
    <t>changelog.md</t>
  </si>
  <si>
    <t xml:space="preserve">
--- a/changelog.md
+++ b/changelog.md
@@ -1,8 +1,16 @@
 Changelog
 ---------
+### 2.1.11 (2016-02-18)
+- Bugfix and Minor improvement release:
+  + Depluralization for `add*` and `put*` methods enabled with `Style(depluralize, depluralizeDictionary)`
+  + Fixed regression while using `java.util.Optional*` with `Builder.Factory` caused by auto-unboxing to nullable fields in 2.1.9
+  + Improved handling for some internal problems in the processor
+- Thanks to contributors and issue reporters!
+- [Issues](https://github.com/immutables/immutables/issues?q=milestone%3A2.1.11)
+</t>
  </si>
  <si>
    <t xml:space="preserve">
@@ -1,8 +1,16 @@
 Changelog
 ---------
+### 2.1.11 (2016-02-18)
+- Bugfix and Minor improvement release:
+  + Depluralization for `add*` and `put*` methods enabled with `Style(depluralize, depluralizeDictionary)`
+  + Fixed regression for using `java.util.Optional*` with `Builder.Factory` caused by autounboxing
+  + Improved handling for some internal problems in the processor
+- Thanks to contributors and issue reporters!
+- [Issues](https://github.com/immutables/immutables/issues?q=milestone%3A2.1.11)</t>
  </si>
  <si>
    <t xml:space="preserve">
### 2.1.11 (2016-02-18)
- Bugfix and Minor improvement release:
  + Depluralization for `add*` and `put*` methods enabled with `Style(depluralize, depluralizeDictionary)`
&lt;&lt;&lt;&lt;&lt;&lt;&lt; HEAD
  + Fixed regression while using `java.util.Optional*` with `Builder.Factory` caused by auto-unboxing to nullable fields in 2.1.9
=======
  + Fixed regression for using `java.util.Optional*` with `Builder.Factory` caused by autounboxing
&gt;&gt;&gt;&gt;&gt;&gt;&gt; 3ede203b654e06b00fb60facc6edc46542e1ed47</t>
  </si>
  <si>
    <t>I vs. I(.md)</t>
  </si>
  <si>
    <t xml:space="preserve">
&lt;&lt;&lt;&lt;&lt;&lt;&lt; ../immutables/817c6ddab07032774447d3236602a79304dc5637/left/changelog.md
### 2.1.11 (2016-02-18)
  + Fixed regression while using `java.util.Optional*` with `Builder.Factory` caused by auto-unboxing to nullable fields in 
||||||| ../immutables/817c6ddab07032774447d3236602a79304dc5637/base/changelog.md
=======
### 2.1.11 (2016-02-18)
  + Fixed regression for using `java.util.Optional*` with `Builder.Factory` caused by autounboxing
&gt;&gt;&gt;&gt;&gt;&gt;&gt; ../immutables/817c6ddab07032774447d3236602a79304dc5637/right/changelog.md</t>
  </si>
  <si>
    <t>https://github.com/ltsopensource/light-task-scheduler</t>
  </si>
  <si>
    <t>light-task-scheduler</t>
  </si>
  <si>
    <t>c96cd543e694396ec3ba9292159eeddbd9603bd2</t>
  </si>
  <si>
    <t>90b53c83c8f40c0f60241a6bccd5b9bd430cc6d2</t>
  </si>
  <si>
    <t>5a0c2ed73a9b21fecb721b913a778c92affa7934</t>
  </si>
  <si>
    <t>afb1257df4e3bc15a04a3424c5ac21fbe9236ee9</t>
  </si>
  <si>
    <t>lts-example/src/main/java/com/lts/example/api/TaskTrackerTest.java</t>
  </si>
  <si>
    <t xml:space="preserve">
@@ -30,7 +30,7 @@ public class TaskTrackerTest {
         // taskTracker.setBizLoggerLevel(Level.INFO);
         // 可选址  leveldb(默认), rocksdb, berkeleydb
         // taskTracker.addConfig("job.fail.store", "leveldb");
-        taskTracker.addConfig("lts.monitor.url", "http://localhost:8081/");
+        taskTracker.addConfig("lts.monitor.url", "http://localhost:9090/");
 //         taskTracker.addConfig("lts.remoting", "mina");
 //        taskTracker.addConfig("lts.remoting.serializable.default", "fastjson");
         taskTracker.addConfig(SpiKey.LTS_JSON, "ltsjson");</t>
  </si>
  <si>
    <t xml:space="preserve">
@@ -31,9 +30,11 @@ public class TaskTrackerTest {
         // 可选址  leveldb(默认), rocksdb, berkeleydb
         // taskTracker.addConfig("job.fail.store", "leveldb");
         taskTracker.addConfig("lts.monitor.url", "http://localhost:8081/");
-//         taskTracker.addConfig("lts.remoting", "mina");
+        taskTracker.addConfig("lts.remoting", "netty");
+//        taskTracker.addConfig("zk.client", "curator");
+
 //        taskTracker.addConfig("lts.remoting.serializable.default", "fastjson");
-        taskTracker.addConfig(SpiKey.LTS_JSON, "ltsjson");
+//        taskTracker.addConfig(SpiKey.LTS_JSON, "ltsjson");
         taskTracker.start();</t>
  </si>
  <si>
    <t xml:space="preserve">
        // taskTracker.addConfig("job.fail.store", "leveldb");
&lt;&lt;&lt;&lt;&lt;&lt;&lt; HEAD
        taskTracker.addConfig("lts.monitor.url", "http://localhost:9090/");
//         taskTracker.addConfig("lts.remoting", "mina");
=======
        taskTracker.addConfig("lts.monitor.url", "http://localhost:8081/");
        taskTracker.addConfig("lts.remoting", "netty");
//        taskTracker.addConfig("zk.client", "curator");
&gt;&gt;&gt;&gt;&gt;&gt;&gt; 5a0c2ed73a9b21fecb721b913a778c92affa7934
//        taskTracker.addConfig("lts.remoting.serializable.default", "fastjson");
//        taskTracker.addConfig(SpiKey.LTS_JSON, "ltsjson");</t>
  </si>
  <si>
    <t>U + U I</t>
  </si>
  <si>
    <t xml:space="preserve">
&lt;&lt;&lt;&lt;&lt;&lt;&lt; .../FSTMerge/fstmerge_tmp1647884448915/fstmerge_var1_3782602050481126377
        taskTracker.addConfig("lts.monitor.url", "http://localhost:9090/");
//         taskTracker.addConfig("lts.remoting", "mina");
=======
        taskTracker.addConfig("lts.monitor.url", "http://localhost:8081/");
        taskTracker.addConfig("lts.remoting", "netty");
//        taskTracker.addConfig("zk.client", "curator");
&gt;&gt;&gt;&gt;&gt;&gt;&gt; .../FSTMerge/fstmerge_tmp1647884448915/fstmerge_var2_2138974264621945408
</t>
  </si>
  <si>
    <t xml:space="preserve">
    taskTracker.addConfig("lts.monitor.url", "http://localhost:9090/");
    taskTracker.addConfig("lts.remoting", "netty");</t>
  </si>
  <si>
    <t>accept both sides but omit the comment</t>
  </si>
  <si>
    <t xml:space="preserve">
&lt;&lt;&lt;&lt;&lt;&lt;&lt; ours
        taskTracker.addConfig("lts.monitor.url", "http://localhost:9090/");
    //         taskTracker.addConfig("lts.remoting", "mina");
=======
        taskTracker.addConfig("lts.monitor.url", "http://localhost:8081/");
        taskTracker.addConfig("lts.remoting", "netty");
    //        taskTracker.addConfig("zk.client", "curator");
&gt;&gt;&gt;&gt;&gt;&gt;&gt; theirs
    //        taskTracker.addConfig("lts.remoting.serializable.default", "fastjson");
    //        taskTracker.addConfig(SpiKey.LTS_JSON, "ltsjson");</t>
  </si>
  <si>
    <t xml:space="preserve">
        // taskTracker.addConfig("job.fail.store", "leveldb");
        taskTracker.addConfig("lts.monitor.url", "http://localhost:9090/");
        taskTracker.addConfig("lts.remoting", "netty");
//        taskTracker.addConfig("zk.client", "curator");</t>
  </si>
  <si>
    <t>https://github.com/spockframework/spock</t>
  </si>
  <si>
    <t>spock</t>
  </si>
  <si>
    <t>bef054e079a96d1632f4371f9cf2767e5e539563</t>
  </si>
  <si>
    <t>0434ec52d06f4cf0cd12ba8731630cf02c392d6b</t>
  </si>
  <si>
    <t>11d4936ab9c0789963a88abc7652b53bcefe8f89</t>
  </si>
  <si>
    <t>ed19f82038c6db9925ecc85b29bec441644c9ac8</t>
  </si>
  <si>
    <t>spock-core/src/main/java/spock/lang/Unroll.java</t>
  </si>
  <si>
    <t xml:space="preserve">
@@ -27,6 +30,6 @@ import java.lang.annotation.*;
 @Target(ElementType.METHOD)
 public @interface Unroll {
   // to ensure best possible tool support, we use the same default naming
-  // scheme as JUnit's @Parameterized
-  String value() default "";
+  // scheme as Junit's @Parameterized
+  Class&lt;? extends Closure&gt; value() default Closure.class;
 }</t>
  </si>
  <si>
    <t xml:space="preserve">
@@ -28,5 +28,5 @@ import java.lang.annotation.*;
 public @interface Unroll {
   // to ensure best possible tool support, we use the same default naming
   // scheme as JUnit's @Parameterized
-  String value() default "";
+  String value() default "#featureName[#iterationCount]";
 }</t>
  </si>
  <si>
    <t xml:space="preserve">
public @interface Unroll {
  // to ensure best possible tool support, we use the same default naming
&lt;&lt;&lt;&lt;&lt;&lt;&lt; HEAD
  // scheme as Junit's @Parameterized
  Class&lt;? extends Closure&gt; value() default Closure.class;
=======
  // scheme as JUnit's @Parameterized
  String value() default "#featureName[#iterationCount]";
&gt;&gt;&gt;&gt;&gt;&gt;&gt; 11d4936ab9c0789963a88abc7652b53bcefe8f89
}</t>
  </si>
  <si>
    <t>D I vs. D I(Java code)
Origin(U vs. U)</t>
  </si>
  <si>
    <t xml:space="preserve">
  ~~FSTMerge~~ Class&lt;? extends Closure&gt; value() default Closure.class; ##FSTMerge## String value() default ""; ##FSTMerge## String value() default "#featureName[#iterationCount]";}</t>
  </si>
  <si>
    <t xml:space="preserve">
&lt;&lt;&lt;&lt;&lt;&lt;&lt; .../left/spock-core/src/main/java/spock/lang/Unroll.java
  Closure.class
=======
  "#featureName[#iterationCount]"
&gt;&gt;&gt;&gt;&gt;&gt;&gt; .../right/spock-core/src/main/java/spock/lang/Unroll.java
</t>
  </si>
  <si>
    <t xml:space="preserve">
Class&lt;? extends Closure&gt; value()&lt;&lt;&lt;&lt;&lt;&lt;&lt; ours
  default Closure.class;
=======
  default "#featureName[#iterationCount]";
&gt;&gt;&gt;&gt;&gt;&gt;&gt; theirs</t>
  </si>
  <si>
    <t xml:space="preserve">
&lt;&lt;&lt;&lt;&lt;&lt;&lt; ../spock/bef054e079a96d1632f4371f9cf2767e5e539563/left/spock-core/src/main/java/spock/lang/Unroll.java
  Class&lt;? extends Closure&gt; value() default Closure.class;
||||||| ../spock/bef054e079a96d1632f4371f9cf2767e5e539563/base/spock-core/src/main/java/spock/lang/Unroll.java
  String value() default "";
=======
  String value() default "#featureName[#iterationCount]";
&gt;&gt;&gt;&gt;&gt;&gt;&gt; ../spock/bef054e079a96d1632f4371f9cf2767e5e539563/right/spock-core/src/main/java/spock/lang/Unroll.java</t>
  </si>
  <si>
    <t>https://github.com/CrawlScript/WebCollector</t>
  </si>
  <si>
    <t>WebCollector</t>
  </si>
  <si>
    <t>8a987feaf91dadc94579c7fed1a66ce0c33b2ffb</t>
  </si>
  <si>
    <t>b3c6831bc43d2ac8d020ae2f4700d70d5e39b2be</t>
  </si>
  <si>
    <t>24a8b57e0b9ca408873f001154f8d50f923d829f</t>
  </si>
  <si>
    <t>11228cd254664072d87a2f59e32c7ed359f20bd2</t>
  </si>
  <si>
    <t xml:space="preserve">
--- a/README.md
+++ /dev/null</t>
  </si>
  <si>
    <t xml:space="preserve">
--- a/README.md
+++ b/README.md</t>
  </si>
  <si>
    <t xml:space="preserve">
CONFLICT (modify/delete): README.md deleted in HEAD and modified in 24a8b57e0b9ca408873f001154f8d50f923d829f. Version 24a8b57e0b9ca408873f001154f8d50f923d829f of README.md left in tree.</t>
  </si>
  <si>
    <t>D vs. U (.md file deletion vs. update)</t>
  </si>
  <si>
    <t>https://github.com/mock-server/mockserver</t>
  </si>
  <si>
    <t>mockserver</t>
  </si>
  <si>
    <t>5e06a30f7eb3f18983bc762d30a1ba13276b834b</t>
  </si>
  <si>
    <t>ed9a8d719ad7f66e3c3296ba2901317bd39f58a0</t>
  </si>
  <si>
    <t>fa0ad211f650bad3f2d44807a1b84739762f3c80</t>
  </si>
  <si>
    <t>6706ac01a3116047b6a648b5377d59fa57cc15b9</t>
  </si>
  <si>
    <t>mockserver-netty/src/main/java/org/mockserver/mockserver/MockServerHandler.java</t>
  </si>
  <si>
    <t xml:space="preserve">
@@ -18,7 +18,7 @@ import org.mockserver.mock.action.ActionHandler;
 import org.mockserver.mockserver.callback.ExpectationCallbackResponse;
 import org.mockserver.mockserver.callback.WebSocketClientRegistry;
 import org.mockserver.model.*;
-import org.mockserver.socket.SSLFactory;
+import org.mockserver.socket.KeyStoreFactory;
 import org.mockserver.validator.ExpectationValidator;
 import org.mockserver.verify.Verification;
 import org.mockserver.verify.VerificationSequence;</t>
  </si>
  <si>
    <t xml:space="preserve">
@@ -18,6 +18,7 @@ import org.mockserver.mock.action.ActionHandler;
 import org.mockserver.mockserver.callback.ExpectationCallbackResponse;
 import org.mockserver.mockserver.callback.WebSocketClientRegistry;
 import org.mockserver.model.*;
+import org.mockserver.socket.KeyStoreFactory;
 import org.mockserver.socket.SSLFactory;
 import org.mockserver.validator.ExpectationValidator;
 import org.mockserver.verify.Verification;</t>
  </si>
  <si>
    <t xml:space="preserve">
import org.mockserver.model.*;
import org.mockserver.socket.KeyStoreFactory;
&lt;&lt;&lt;&lt;&lt;&lt;&lt; HEAD
=======
import org.mockserver.socket.SSLFactory;
&gt;&gt;&gt;&gt;&gt;&gt;&gt; fa0ad211f650bad3f2d44807a1b84739762f3c80
import org.mockserver.validator.ExpectationValidator;</t>
  </si>
  <si>
    <t>child is identical to base</t>
  </si>
  <si>
    <t>U + I (import)
Origin(D I vs. I)</t>
  </si>
  <si>
    <t xml:space="preserve">completely new edits </t>
  </si>
  <si>
    <t xml:space="preserve">
import org.mockserver.model.*; 
import org.mockserver.socket.KeyStoreFactory; 
import org.mockserver.socket.SSLFactory; 
import org.mockserver.validator.ExpectationValidator; </t>
  </si>
  <si>
    <t xml:space="preserve">
import org.mockserver.model.*;
import org.mockserver.socket.KeyStoreFactory;
import org.mockserver.validator.ExpectationValidator;</t>
  </si>
  <si>
    <t xml:space="preserve">
import org.mockserver.model.*;
import org.mockserver.socket.KeyStoreFactory;
import org.mockserver.socket.SSLFactory;
import org.mockserver.validator.ExpectationValidator;</t>
  </si>
  <si>
    <t>https://github.com/graphhopper/graphhopper</t>
  </si>
  <si>
    <t>graphhopper</t>
  </si>
  <si>
    <t>ef7551194a3e2b9239bee1b661a7fbf3835c523a</t>
  </si>
  <si>
    <t>d49f50663cd7dfba6f1655584d8e98b01ce8190c</t>
  </si>
  <si>
    <t>ea1b609a0703b6b7b151876f28e3980e9d5a099f</t>
  </si>
  <si>
    <t>f70c6953e418933216979be7fb045bf2bb2101f8</t>
  </si>
  <si>
    <t>core/src/test/java/com/graphhopper/storage/index/LocationIndexTreeTest.java</t>
  </si>
  <si>
    <t xml:space="preserve">
@@ -38,7 +37,6 @@ import static org.junit.Assert.*;
  */
 public class LocationIndexTreeTest extends AbstractLocationIndexTester
 {
-
     protected final EncodingManager encodingManager = new EncodingManager("CAR");
     @Override</t>
  </si>
  <si>
    <t xml:space="preserve">
@@ -38,8 +38,7 @@ import static org.junit.Assert.*;
  */
 public class LocationIndexTreeTest extends AbstractLocationIndexTester
 {
-
-    protected final EncodingManager encodingManager = new EncodingManager("CAR");
+    protected final EncodingManager encodingManager = new EncodingManager("car");
     @Override</t>
  </si>
  <si>
    <t xml:space="preserve">
public class LocationIndexTreeTest extends AbstractLocationIndexTester
{
&lt;&lt;&lt;&lt;&lt;&lt;&lt; HEAD
    protected final EncodingManager encodingManager = new EncodingManager("CAR");
=======
    protected final EncodingManager encodingManager = new EncodingManager("car");
&gt;&gt;&gt;&gt;&gt;&gt;&gt; ea1b609a0703b6b7b151876f28e3980e9d5a099f
    @Override</t>
  </si>
  <si>
    <t xml:space="preserve">
@@ -38,8 +37,7 @@ import static org.junit.Assert.*;
  */
 public class LocationIndexTreeTest extends AbstractLocationIndexTester
 {
-
-    protected final EncodingManager encodingManager = new EncodingManager("CAR");
+    protected final EncodingManager encodingManager = new EncodingManager("car");
 </t>
  </si>
  <si>
    <t>D vs. D U
R includes L</t>
  </si>
  <si>
    <t xml:space="preserve">
public  class  LocationIndexTreeTest  extends AbstractLocationIndexTester {
    protected final EncodingManager encodingManager = new EncodingManager("car");</t>
  </si>
  <si>
    <t>keep right but keep the removed empty line</t>
  </si>
  <si>
    <t xml:space="preserve">
public class LocationIndexTreeTest extends AbstractLocationIndexTester {
  protected final EncodingManager encodingManager = new EncodingManager("car");</t>
  </si>
  <si>
    <t xml:space="preserve">
public class LocationIndexTreeTest extends AbstractLocationIndexTester
{
    protected final EncodingManager encodingManager = new EncodingManager("car");</t>
  </si>
  <si>
    <t>keep right and removed empty line</t>
  </si>
  <si>
    <t xml:space="preserve">
&lt;&lt;&lt;&lt;&lt;&lt;&lt; ../graphhopper/ef7551194a3e2b9239bee1b661a7fbf3835c523a/left/core/src/test/java/com/graphhopper/storage/index/LocationIndexTreeTest.java
    protected final EncodingManager encodingManager = new EncodingManager("CAR");
||||||| ../graphhopper/ef7551194a3e2b9239bee1b661a7fbf3835c523a/base/core/src/test/java/com/graphhopper/storage/index/LocationIndexTreeTest.java
    protected final EncodingManager encodingManager = new EncodingManager("CAR");
=======
    protected final EncodingManager encodingManager = new EncodingManager("car");
&gt;&gt;&gt;&gt;&gt;&gt;&gt; ../graphhopper/ef7551194a3e2b9239bee1b661a7fbf3835c523a/right/core/src/test/java/com/graphhopper/storage/index/LocationIndexTreeTest.java</t>
  </si>
  <si>
    <t>https://github.com/chanjarster/weixin-java-tools</t>
  </si>
  <si>
    <t>weixin-java-tools</t>
  </si>
  <si>
    <t>84a3683c35eedcda611b370430540a0120c24433</t>
  </si>
  <si>
    <t>7c3113eec80db184ab791dcdf65de1ed91ad2763</t>
  </si>
  <si>
    <t>4d6321e69b891de8528c0175db58d91396455c73</t>
  </si>
  <si>
    <t>7d4e8dc716fc923bd9934163c5d10bf8b9bcef4f</t>
  </si>
  <si>
    <t>weixin-java-mp/pom.xml</t>
  </si>
  <si>
    <t xml:space="preserve">
@@ -6,7 +6,7 @@
     &lt;parent&gt;
         &lt;groupId&gt;me.chanjar&lt;/groupId&gt;
         &lt;artifactId&gt;weixin-java-parent&lt;/artifactId&gt;
-        &lt;version&gt;1.1.0-SNAPSHOT&lt;/version&gt;
+        &lt;version&gt;1.1.1-SNAPSHOT&lt;/version&gt;
     &lt;/parent&gt;
     &lt;artifactId&gt;weixin-java-mp&lt;/artifactId&gt;
     &lt;name&gt;WeiXin Java Tools - MP&lt;/name&gt;</t>
  </si>
  <si>
    <t xml:space="preserve">
@@ -6,7 +6,7 @@
     &lt;parent&gt;
         &lt;groupId&gt;me.chanjar&lt;/groupId&gt;
         &lt;artifactId&gt;weixin-java-parent&lt;/artifactId&gt;
-        &lt;version&gt;1.1.0-SNAPSHOT&lt;/version&gt;
+        &lt;version&gt;1.1.0&lt;/version&gt;
     &lt;/parent&gt;
     &lt;artifactId&gt;weixin-java-mp&lt;/artifactId&gt;
     &lt;name&gt;WeiXin Java Tools - MP&lt;/name&gt;</t>
  </si>
  <si>
    <t xml:space="preserve">
    &lt;parent&gt;
        &lt;groupId&gt;me.chanjar&lt;/groupId&gt;
        &lt;artifactId&gt;weixin-java-parent&lt;/artifactId&gt;
&lt;&lt;&lt;&lt;&lt;&lt;&lt; HEAD
        &lt;version&gt;1.1.1-SNAPSHOT&lt;/version&gt;
=======
        &lt;version&gt;1.1.0&lt;/version&gt;
&gt;&gt;&gt;&gt;&gt;&gt;&gt; 4d6321e69b891de8528c0175db58d91396455c73</t>
  </si>
  <si>
    <t>U vs. U (xml, version no) L &gt; R version</t>
  </si>
  <si>
    <t xml:space="preserve">
   &lt;parent&gt;
      &lt;groupId&gt;me.chanjar&lt;/groupId&gt;
      &lt;artifactId&gt;weixin-java-parent&lt;/artifactId&gt;
      &lt;version&gt;1.1.1-SNAPSHOT&lt;/version&gt;
   &lt;/parent&gt;</t>
  </si>
  <si>
    <t xml:space="preserve">
&lt;&lt;&lt;&lt;&lt;&lt;&lt; ../weixin-java-tools/84a3683c35eedcda611b370430540a0120c24433/left/weixin-java-mp/pom.xml
        &lt;version&gt;1.1.1-SNAPSHOT&lt;/version&gt;
||||||| ../weixin-java-tools/84a3683c35eedcda611b370430540a0120c24433/base/weixin-java-mp/pom.xml
        &lt;version&gt;1.1.0-SNAPSHOT&lt;/version&gt;
=======
        &lt;version&gt;1.1.0&lt;/version&gt;
&gt;&gt;&gt;&gt;&gt;&gt;&gt; ../weixin-java-tools/84a3683c35eedcda611b370430540a0120c24433/right/weixin-java-mp/pom.xml</t>
  </si>
  <si>
    <t>https://github.com/apache/dubbo-admin</t>
  </si>
  <si>
    <t>dubbo-admin</t>
  </si>
  <si>
    <t>5c17102d3ab91bcc92e94e41c7404da37d7f0bbb</t>
  </si>
  <si>
    <t>3ad0eeabae406a5f7754ebe9b52059e1652c59a1</t>
  </si>
  <si>
    <t>58811500bbf8cf1244618d097f04a6e2404a1ec2</t>
  </si>
  <si>
    <t>7490b7ed6d6179e36f10c462f54d8c79c2772b35</t>
  </si>
  <si>
    <t>dubbo-admin-backend/pom.xml</t>
  </si>
  <si>
    <t xml:space="preserve">
         &lt;/dependency&gt;
-        &lt;dependency&gt;
-            &lt;groupId&gt;org.apache.dubbo&lt;/groupId&gt;
-            &lt;artifactId&gt;dubbo-metadata-report-api&lt;/artifactId&gt;
-        &lt;/dependency&gt;
+        &lt;!--&lt;dependency&gt;--&gt;
+            &lt;!--&lt;groupId&gt;org.apache.dubbo&lt;/groupId&gt;--&gt;
+            &lt;!--&lt;artifactId&gt;dubbo-metadata-report-api&lt;/artifactId&gt;--&gt;
+        &lt;!--&lt;/dependency&gt;--&gt;
         &lt;dependency&gt;</t>
  </si>
  <si>
    <t xml:space="preserve">
         &lt;/dependency&gt;
-        &lt;dependency&gt;
-            &lt;groupId&gt;org.apache.dubbo&lt;/groupId&gt;
-            &lt;artifactId&gt;dubbo-metadata-report-api&lt;/artifactId&gt;
-        &lt;/dependency&gt;
-
         &lt;dependency&gt;</t>
  </si>
  <si>
    <t>U vs. D</t>
  </si>
  <si>
    <t xml:space="preserve">
&lt;&lt;&lt;&lt;&lt;&lt;&lt; ../dubbo-admin/5c17102d3ab91bcc92e94e41c7404da37d7f0bbb/left/dubbo-admin-backend/pom.xml
        &lt;!--&lt;dependency&gt;--&gt;
            &lt;!--&lt;groupId&gt;org.apache.dubbo&lt;/groupId&gt;--&gt;
            &lt;!--&lt;artifactId&gt;dubbo-metadata-report-api&lt;/artifactId&gt;--&gt;
        &lt;!--&lt;/dependency&gt;--&gt;
        &lt;dependency&gt;
||||||| ../dubbo-admin/5c17102d3ab91bcc92e94e41c7404da37d7f0bbb/base/dubbo-admin-backend/pom.xml
        &lt;dependency&gt;
            &lt;groupId&gt;org.apache.dubbo&lt;/groupId&gt;
            &lt;artifactId&gt;dubbo-metadata-report-api&lt;/artifactId&gt;
        &lt;/dependency&gt;
        &lt;dependency&gt;
=======
        &lt;dependency&gt;
&gt;&gt;&gt;&gt;&gt;&gt;&gt; ../dubbo-admin/5c17102d3ab91bcc92e94e41c7404da37d7f0bbb/right/dubbo-admin-backend/pom.xml</t>
  </si>
  <si>
    <t>https://github.com/esoxjem/MovieGuide</t>
  </si>
  <si>
    <t>MovieGuide</t>
  </si>
  <si>
    <t>3ca75a84d9179b1364861ecead99069e749535dd</t>
  </si>
  <si>
    <t>b0fffbddae3c27e938cab5ae06ab15eb6ff01911</t>
  </si>
  <si>
    <t>578d04b87d97b86a2f373d90541acc0322d530fd</t>
  </si>
  <si>
    <t>7428df08b3db2393240454e64aef3c21e7cc1881</t>
  </si>
  <si>
    <t xml:space="preserve">
@@ -6,7 +6,7 @@ buildscript {
     }
     dependencies {
         classpath 'com.android.tools.build:gradle:1.3.1'
-
+        classpath 'com.neenbedankt.gradle.plugins:android-apt:1.8'
         // NOTE: Do not place your application dependencies here; they belong
         // in the individual module build.gradle files
     }</t>
  </si>
  <si>
    <t xml:space="preserve">
@@ -5,7 +5,8 @@ buildscript {
         jcenter()
     }
     dependencies {
-        classpath 'com.android.tools.build:gradle:1.3.1'
+        classpath 'com.android.tools.build:gradle:2.1.2'
+        classpath 'com.neenbedankt.gradle.plugins:android-apt:1.8'
         // NOTE: Do not place your application dependencies here; they belong
         // in the individual module build.gradle files</t>
  </si>
  <si>
    <t xml:space="preserve">
buildscript {
    repositories {
        jcenter()
    }
    dependencies {
&lt;&lt;&lt;&lt;&lt;&lt;&lt; HEAD
        classpath 'com.android.tools.build:gradle:1.3.1'
        classpath 'com.neenbedankt.gradle.plugins:android-apt:1.8'
=======
        classpath 'com.android.tools.build:gradle:2.1.2'
        classpath 'com.neenbedankt.gradle.plugins:android-apt:1.8'
&gt;&gt;&gt;&gt;&gt;&gt;&gt; 578d04b87d97b86a2f373d90541acc0322d530fd
        // NOTE: Do not place your application dependencies here; they belong
        // in the individual module build.gradle files
    }
}</t>
  </si>
  <si>
    <t xml:space="preserve">
@@ -5,8 +5,8 @@ buildscript {
         jcenter()
     }
     dependencies {
-        classpath 'com.android.tools.build:gradle:1.3.1'
-
+        classpath 'com.android.tools.build:gradle:2.1.2'
+        classpath 'com.neenbedankt.gradle.plugins:android-apt:1.8'
         // NOTE: Do not place your application dependencies here; they belong
         // in the individual module build.gradle files
     }</t>
  </si>
  <si>
    <t>D I + U I
Origin(D I vs. U I)</t>
  </si>
  <si>
    <t>aceept both sides and insert the same line only once</t>
  </si>
  <si>
    <t xml:space="preserve">
    dependencies {
        classpath 'com.android.tools.build:gradle:2.1.2'
        classpath 'com.neenbedankt.gradle.plugins:android-apt:1.8'</t>
  </si>
  <si>
    <t>https://github.com/Netflix/conductor</t>
  </si>
  <si>
    <t>conductor</t>
  </si>
  <si>
    <t>62e9252e8c6bcab43ad450138ad93b56d5e96039</t>
  </si>
  <si>
    <t>dd22c02201ac974c8e491731a871935efbe5e3f5</t>
  </si>
  <si>
    <t>c86bad176e5fe2dd991f999d14ee823acd327753</t>
  </si>
  <si>
    <t>056f8fa990388fac200c0fb73b8d621bbdbc28b6</t>
  </si>
  <si>
    <t>contribs/build.gradle</t>
  </si>
  <si>
    <t xml:space="preserve">
@@ -5,6 +5,7 @@ dependencies {
         compile 'com.amazonaws:aws-java-sdk-sqs:latest.release'
         compile ('com.google.inject:guice:4.1+') { force= true}
+        compile 'net.thisptr:jackson-jq:+'
         provided 'javax.ws.rs:jsr311-api:1.1.1'
         provided 'io.swagger:swagger-jaxrs:1.5.9'</t>
  </si>
  <si>
    <t xml:space="preserve">
@@ -5,13 +5,13 @@ dependencies {
         compile 'com.amazonaws:aws-java-sdk-sqs:latest.release'
         compile ('com.google.inject:guice:4.1+') { force= true}
-        
+
+        compile 'com.sun.jersey.contribs.jersey-oauth:oauth-client:1.19.+'
+        compile 'com.sun.jersey.contribs.jersey-oauth:oauth-signature:1.19.+'
+
         provided 'javax.ws.rs:jsr311-api:1.1.1'
         provided 'io.swagger:swagger-jaxrs:1.5.9'</t>
  </si>
  <si>
    <t xml:space="preserve">
        compile ('com.google.inject:guice:4.1+') { force= true}
&lt;&lt;&lt;&lt;&lt;&lt;&lt; HEAD
        compile 'net.thisptr:jackson-jq:+'
=======
        compile 'com.sun.jersey.contribs.jersey-oauth:oauth-client:1.19.+'
        compile 'com.sun.jersey.contribs.jersey-oauth:oauth-signature:1.19.+'
&gt;&gt;&gt;&gt;&gt;&gt;&gt; c86bad176e5fe2dd991f999d14ee823acd327753</t>
  </si>
  <si>
    <t xml:space="preserve">
@@ -5,13 +5,15 @@ dependencies {
         compile 'com.amazonaws:aws-java-sdk-sqs:latest.release'
         compile ('com.google.inject:guice:4.1+') { force= true}
-        
+
+        compile 'net.thisptr:jackson-jq:+'
+
+        compile 'com.sun.jersey.contribs.jersey-oauth:oauth-client:1.19.+'
+        compile 'com.sun.jersey.contribs.jersey-oauth:oauth-signature:1.19.+'
+</t>
  </si>
  <si>
    <t>I + D I
Origin(I vs. D I)</t>
  </si>
  <si>
    <t xml:space="preserve">
        compile ('com.google.inject:guice:4.1+') { force= true}
        compile 'net.thisptr:jackson-jq:+'
        compile 'com.sun.jersey.contribs.jersey-oauth:oauth-client:1.19.+'
        compile 'com.sun.jersey.contribs.jersey-oauth:oauth-signature:1.19.+'
	provided 'javax.ws.rs:jsr311-api:1.1.1'
	provided 'io.swagger:swagger-jaxrs:1.5.9'</t>
  </si>
  <si>
    <t>aceept both sides</t>
  </si>
  <si>
    <t>https://github.com/spring-projects/spring-loaded</t>
  </si>
  <si>
    <t>spring-loaded</t>
  </si>
  <si>
    <t>76c7ae8c98c47cc94f41f81b813c7a4ea9bfc3ae</t>
  </si>
  <si>
    <t>a663846679d3c54c08832a08abdc88500c977311</t>
  </si>
  <si>
    <t>b9c7cdf4a75bc5665508e0f23836042497b9c4f9</t>
  </si>
  <si>
    <t>8dff505b88018bc7b95ec3c8682a5c942587b58a</t>
  </si>
  <si>
    <t>testdata/.classpath</t>
  </si>
  <si>
    <t xml:space="preserve">
@@ -2,7 +2,7 @@
 &lt;classpath&gt;
         &lt;classpathentry kind="src" path="src/main/java"/&gt;
         &lt;classpathentry kind="con" path="org.eclipse.ajdt.core.ASPECTJRT_CONTAINER"/&gt;
-        &lt;classpathentry kind="con" path="org.eclipse.jdt.launching.JRE_CONTAINER/org.eclipse.jdt.internal.launching.macosx.MacOSXType/Java SE 7 [1.7.0_21]"/&gt;
+        &lt;classpathentry kind="con" path="org.eclipse.jdt.launching.JRE_CONTAINER/org.eclipse.jdt.internal.launching.macosx.MacOSXType/Java SE 7 [1.7.0_51]"/&gt;
         &lt;classpathentry kind="lib" path="code.jar"/&gt;
         &lt;classpathentry kind="lib" path="lib/cglib-nodep-2.2.jar"/&gt;
         &lt;classpathentry kind="lib" path="/springloaded/lib/asm-3.2.jar"/&gt;</t>
  </si>
  <si>
    <t xml:space="preserve">
@@ -1,11 +1,10 @@
 &lt;?xml version="1.0" encoding="UTF-8"?&gt;
 &lt;classpath&gt;
         &lt;classpathentry kind="src" path="src/main/java"/&gt;
-        &lt;classpathentry kind="con" path="org.eclipse.ajdt.core.ASPECTJRT_CONTAINER"/&gt;
-        &lt;classpathentry kind="con" path="org.eclipse.jdt.launching.JRE_CONTAINER/org.eclipse.jdt.internal.launching.macosx.MacOSXType/Java SE 7 [1.7.0_21]"/&gt;
         &lt;classpathentry kind="lib" path="code.jar"/&gt;
         &lt;classpathentry kind="lib" path="lib/cglib-nodep-2.2.jar"/&gt;
         &lt;classpathentry kind="lib" path="/springloaded/lib/asm-3.2.jar"/&gt;
         &lt;classpathentry kind="lib" path="/springloaded/lib/asm-tree-3.2.jar"/&gt;
+        &lt;classpathentry kind="con" path="org.eclipse.jdt.launching.JRE_CONTAINER"/&gt;
         &lt;classpathentry kind="output" path="bin"/&gt;
 &lt;/classpath&gt;</t>
  </si>
  <si>
    <t xml:space="preserve">
&lt;classpath&gt;
        &lt;classpathentry kind="src" path="src/main/java"/&gt;
&lt;&lt;&lt;&lt;&lt;&lt;&lt; HEAD
        &lt;classpathentry kind="con" path="org.eclipse.ajdt.core.ASPECTJRT_CONTAINER"/&gt;
        &lt;classpathentry kind="con" path="org.eclipse.jdt.launching.JRE_CONTAINER/org.eclipse.jdt.internal.launching.macosx.MacOSXType/Java SE 7 [1.7.0_51]"/&gt;
=======
&gt;&gt;&gt;&gt;&gt;&gt;&gt; b9c7cdf4a75bc5665508e0f23836042497b9c4f9
        &lt;classpathentry kind="lib" path="code.jar"/&gt;
        &lt;classpathentry kind="lib" path="lib/cglib-nodep-2.2.jar"/&gt;
        &lt;classpathentry kind="lib" path="/springloaded/lib/asm-3.2.jar"/&gt;
        &lt;classpathentry kind="lib" path="/springloaded/lib/asm-tree-3.2.jar"/&gt;
        &lt;classpathentry kind="con" path="org.eclipse.jdt.launching.JRE_CONTAINER"/&gt;
        &lt;classpathentry kind="output" path="bin"/&gt;
&lt;/classpath&gt;</t>
  </si>
  <si>
    <t xml:space="preserve">
@@ -1,11 +1,10 @@
 &lt;?xml version="1.0" encoding="UTF-8"?&gt;
 &lt;classpath&gt;
 	&lt;classpathentry kind="src" path="src/main/java"/&gt;
-	&lt;classpathentry kind="con" path="org.eclipse.ajdt.core.ASPECTJRT_CONTAINER"/&gt;
-	&lt;classpathentry kind="con" path="org.eclipse.jdt.launching.JRE_CONTAINER/org.eclipse.jdt.internal.launching.macosx.MacOSXType/Java SE 7 [1.7.0_21]"/&gt;
 	&lt;classpathentry kind="lib" path="code.jar"/&gt;
 	&lt;classpathentry kind="lib" path="lib/cglib-nodep-2.2.jar"/&gt;
 	&lt;classpathentry kind="lib" path="/springloaded/lib/asm-3.2.jar"/&gt;
 	&lt;classpathentry kind="lib" path="/springloaded/lib/asm-tree-3.2.jar"/&gt;
+	&lt;classpathentry kind="con" path="org.eclipse.jdt.launching.JRE_CONTAINER"/&gt;
 	&lt;classpathentry kind="output" path="bin"/&gt;
 &lt;/classpath&gt;</t>
  </si>
  <si>
    <t>U vs. D(.classpath)
Origin(U vs. D I)</t>
  </si>
  <si>
    <t xml:space="preserve">
&lt;&lt;&lt;&lt;&lt;&lt;&lt; ../spring-loaded/76c7ae8c98c47cc94f41f81b813c7a4ea9bfc3ae/left/testdata/.classpath
	&lt;classpathentry kind="con" path="org.eclipse.jdt.launching.JRE_CONTAINER/org.eclipse.jdt.internal.launching.macosx.MacOSXType/Java SE 7 [1.7.0_51]"/&gt;
||||||| ../spring-loaded/76c7ae8c98c47cc94f41f81b813c7a4ea9bfc3ae/base/testdata/.classpath
	&lt;classpathentry kind="con" path="org.eclipse.jdt.launching.JRE_CONTAINER/org.eclipse.jdt.internal.launching.macosx.MacOSXType/Java SE 7 [1.7.0_21]"/&gt;
=======
&gt;&gt;&gt;&gt;&gt;&gt;&gt; ../spring-loaded/76c7ae8c98c47cc94f41f81b813c7a4ea9bfc3ae/right/testdata/.classpath</t>
  </si>
  <si>
    <t>https://github.com/prontera/spring-cloud-rest-tcc</t>
  </si>
  <si>
    <t>spring-cloud-rest-tcc</t>
  </si>
  <si>
    <t>dfe5d6c5cb296909d52e411c34f5271342ede3dc</t>
  </si>
  <si>
    <t>7d0ccd667b05a922ef4f5256afdf4e7372d6860b</t>
  </si>
  <si>
    <t>bf6a163a82fb0ddc7b35a0cf6bf86205531a54d8</t>
  </si>
  <si>
    <t>10f44797ad135ed44dfdffe840d01d12ff2213b3</t>
  </si>
  <si>
    <t>product-ms/src/main/resources/bootstrap.yml</t>
  </si>
  <si>
    <t xml:space="preserve">
--- /dev/null
+++ b/product-ms/src/main/resources/bootstrap.yml
@@ -0,0 +1,53 @@
+server:
+  port: 8040
+management:
+  port: 10912
+  context-path: '/78d504ff-82e8-4a87-82e8-724d72d1171b'
+eureka:
+  client:
+    service-url:
+      defaultZone: 'http://peer1:8763/eureka/,http://peer2:8762/eureka/'
+  instance:
+    metadata-map:
+      cluster: prontera
+      management:
+        port: ${management.port}
+        context-path: ${management.context-path}
+      health:
+        path: ${management.context-path}/health
+    status-page-url-path: ${management.context-path}/info
+    health-check-url-path: ${management.context-path}/health
+    prefer-ip-address: false
+spring:
+  application:
+    name: 'product'
+  datasource:
+    username: chris
+    password: 123123
+    url: 'jdbc:mysql://prontera/product?useLegacyDatetimeCode=false&amp;serverTimezone=Asia/Hong_Kong&amp;useSSL=false'
+  rabbitmq:
+    host: prontera
+    username: chris
+    password: 123123
+    virtual-host: prontera
+    listener:
+      retry:
+        enabled: true
+    template:
+      retry:
+        enabled: true
+  cloud:
+    loadbalancer:
+      retry:
+        enabled: true
+    config:
+      discovery:
+        enabled: true
+        service-id: 'config-server'
+      fail-fast: true
+encrypt:
+  key: '*&amp;3loa#@9no_0*(!'
+mybatis:
+  type-handlers-package: 'com.github.prontera.domain.type.handler'
+  mapper-locations: 'classpath*:mapper/**/*Mapper.xml'
+  type-aliases-package: 'com.github.prontera.domain'</t>
  </si>
  <si>
    <t xml:space="preserve">
--- /dev/null
+++ b/product-ms/src/main/resources/bootstrap.yml
@@ -0,0 +1,57 @@
+server:
+  port: 8040
+management:
+  port: 10912
+  context-path: '/78d504ff-82e8-4a87-82e8-724d72d1171b'
+eureka:
+  client:
+    service-url:
+      defaultZone: 'http://peer1:8763/eureka/,http://peer2:8762/eureka/'
+  instance:
+    metadata-map:
+      cluster: prontera
+      management:
+        port: ${management.port}
+        context-path: ${management.context-path}
+      health:
+        path: ${management.context-path}/health
+    status-page-url-path: ${management.context-path}/info
+    health-check-url-path: ${management.context-path}/health
+    prefer-ip-address: false
+spring:
+  application:
+    name: 'product'
+  datasource:
+    username: chris
+    password: 123123
+    url: 'jdbc:mysql://prontera/product?useLegacyDatetimeCode=false&amp;serverTimezone=Asia/Hong_Kong&amp;useSSL=false'
+  rabbitmq:
+    host: prontera
+    username: chris
+    password: 123123
+    virtual-host: prontera
+    listener:
+      retry:
+        enabled: true
+    template:
+      retry:
+        enabled: true
+  cloud:
+    loadbalancer:
+      retry:
+        enabled: true
+    config:
+      discovery:
+        enabled: true
+        service-id: 'config-server'
+      fail-fast: true
+encrypt:
+  key: '*&amp;3loa#@9no_0*(!'
+mybatis:
+  type-handlers-package: 'com.github.prontera.domain.type.handler'
+  mapper-locations: 'classpath*:mapper/**/*Mapper.xml'
+  type-aliases-package: 'com.github.prontera.domain'
+flyway:
+  enabled: true
+  baseline-on-migrate: true
+  validate-on-migrate: false</t>
  </si>
  <si>
    <t xml:space="preserve">
&lt;&lt;&lt;&lt;&lt;&lt;&lt; HEAD:product-ms/src/main/resources/bootstrap.yml
=======
flyway:
  enabled: true
  baseline-on-migrate: true
  validate-on-migrate: false
&gt;&gt;&gt;&gt;&gt;&gt;&gt; bf6a163a82fb0ddc7b35a0cf6bf86205531a54d8:product-ms/src/main/resources/application.yml</t>
  </si>
  <si>
    <t>I vs. I (insert the same named .yml files) 
R includes L</t>
  </si>
  <si>
    <t xml:space="preserve">
&lt;&lt;&lt;&lt;&lt;&lt;&lt; ../spring-cloud-rest-tcc/dfe5d6c5cb296909d52e411c34f5271342ede3dc/left/product-ms/src/main/resources/bootstrap.yml
||||||| ../spring-cloud-rest-tcc/dfe5d6c5cb296909d52e411c34f5271342ede3dc/base/product-ms/src/main/resources/bootstrap.yml
=======
flyway:
  enabled: true
  baseline-on-migrate: true
  validate-on-migrate: false
&gt;&gt;&gt;&gt;&gt;&gt;&gt; ../spring-cloud-rest-tcc/dfe5d6c5cb296909d52e411c34f5271342ede3dc/right/product-ms/src/main/resources/bootstrap.yml</t>
  </si>
  <si>
    <t>https://github.com/FasterXML/jackson-databind</t>
  </si>
  <si>
    <t>jackson-databind</t>
  </si>
  <si>
    <t>db73b724df2b4267805619dddafb6b79370340fe</t>
  </si>
  <si>
    <t>a99cea2f2f5ab95de02523ac6b3081f8377d74fc</t>
  </si>
  <si>
    <t>d4a6617691d6eb10af81a8b2c2d298e9d8b09aa8</t>
  </si>
  <si>
    <t>3710d4742cfdc12cc056454250cc3ab0c382eac7</t>
  </si>
  <si>
    <t>src/main/java/com/fasterxml/jackson/databind/util/StdDateFormat.java</t>
  </si>
  <si>
    <t xml:space="preserve">
@@ -153,12 +151,10 @@ public class StdDateFormat
     /** 
      * Whether the TZ offset must be formatted with a colon between hours and minutes ({@code HH:mm} format)
      *&lt;p&gt;
-     * Defaults to {@code false} for backwards compatibility reasons
-     *
-     * @since 2.9.1
+     * NOTE: default changed to `true` in Jackson 3.0; was `false` earlier.
      */
-    private boolean _tzSerializedWithColon = false;
-    
+    protected boolean _tzSerializedWithColon = true;
+
     /*
     /**********************************************************
     /* Life cycle, accessing singleton "standard" formats</t>
  </si>
  <si>
    <t xml:space="preserve">
@@ -158,7 +158,7 @@ public class StdDateFormat
      * @since 2.9.1
      */
     private boolean _tzSerializedWithColon = false;
-    
+
     /*
     /**********************************************************
     /* Life cycle, accessing singleton "standard" formats</t>
  </si>
  <si>
    <t xml:space="preserve">
    /** 
     * Whether the TZ offset must be formatted with a colon between hours and minutes ({@code HH:mm} format)
     *&lt;p&gt;
     * NOTE: default changed to `true` in Jackson 3.0; was `false` earlier.
     */
&lt;&lt;&lt;&lt;&lt;&lt;&lt; HEAD
    protected boolean _tzSerializedWithColon = true;
=======
    private boolean _tzSerializedWithColon = false;
&gt;&gt;&gt;&gt;&gt;&gt;&gt; d4a6617691d6eb10af81a8b2c2d298e9d8b09aa8</t>
  </si>
  <si>
    <t xml:space="preserve">
@@ -147,18 +145,16 @@ public class StdDateFormat
      * @since 2.9.1
      */
     private transient Calendar _calendar;
-    
+
     private transient DateFormat _formatRFC1123;
     /** 
      * Whether the TZ offset must be formatted with a colon between hours and minutes ({@code HH:mm} format)
      *&lt;p&gt;
-     * Defaults to {@code false} for backwards compatibility reasons
-     *
-     * @since 2.9.1
+     * NOTE: default changed to `true` in Jackson 3.0; was `false` earlier.
      */
-    private boolean _tzSerializedWithColon = false;
-    
+    protected boolean _tzSerializedWithColon = true;
+</t>
  </si>
  <si>
    <t xml:space="preserve">
    /** 
     * Whether the TZ offset must be formatted with a colon between hours and minutes ({@code HH:mm} format)
     *&lt;p&gt;
     * NOTE: default changed to `true` in Jackson 3.0; was `false` earlier.
     */
    protected boolean _tzSerializedWithColon = true;
    /*</t>
  </si>
  <si>
    <t xml:space="preserve">
  /** 
     * Whether the TZ offset must be formatted with a colon between hours and minutes ({@code HH:mm} format)
     *&lt;p&gt;
     * NOTE: default changed to `true` in Jackson 3.0; was `false` earlier.
     */
  protected boolean _tzSerializedWithColon = true;
  public StdDateFormat() {</t>
  </si>
  <si>
    <t xml:space="preserve">
    /** 
     * Whether the TZ offset must be formatted with a colon between hours and minutes ({@code HH:mm} format)
     *&lt;p&gt;
     * NOTE: default changed to `true` in Jackson 3.0; was `false` earlier.
     */
    protected boolean _tzSerializedWithColon = true;
    /*
    /**********************************************************</t>
  </si>
  <si>
    <t xml:space="preserve">
    /** 
     * Whether the TZ offset must be formatted with a colon between hours and minutes ({@code HH:mm} format)
     *&lt;p&gt;
     * NOTE: default changed to `true` in Jackson 3.0; was `false` earlier.
     */
    protected boolean _tzSerializedWithColon = true;
    /*
    /**********************************************************
    /* Life cycle, accessing singleton "standard" formats
    /**********************************************************
     */</t>
  </si>
  <si>
    <t>https://github.com/ata4/disunity</t>
  </si>
  <si>
    <t>disunity</t>
  </si>
  <si>
    <t>dd5480db1fd9c27850fb0da3508c660a0e81cc35</t>
  </si>
  <si>
    <t>4ba535e2e73db52bad92ffc409b890bc57beda2e</t>
  </si>
  <si>
    <t>1f780886c2a9c467c435ac56858cf9520d5cd5bc</t>
  </si>
  <si>
    <t>a5f3a45309f044012fdf8f874f934837d70fbd17</t>
  </si>
  <si>
    <t xml:space="preserve">
@@ -42,28 +42,33 @@
             &lt;version&gt;3.3.1&lt;/version&gt;
         &lt;/dependency&gt;
         &lt;dependency&gt;
-            &lt;groupId&gt;org.json&lt;/groupId&gt;
-            &lt;artifactId&gt;json&lt;/artifactId&gt;
-            &lt;version&gt;20141113&lt;/version&gt;
+            &lt;groupId&gt;com.google.code.gson&lt;/groupId&gt;
+            &lt;artifactId&gt;gson&lt;/artifactId&gt;
+            &lt;version&gt;2.5&lt;/version&gt;
+            &lt;type&gt;jar&lt;/type&gt;
+        &lt;/dependency&gt;
+        &lt;dependency&gt;
+            &lt;groupId&gt;com.google.guava&lt;/groupId&gt;
+            &lt;artifactId&gt;guava&lt;/artifactId&gt;
+            &lt;version&gt;19.0-rc2&lt;/version&gt;
         &lt;/dependency&gt;</t>
  </si>
  <si>
    <t xml:space="preserve">
@@ -44,7 +44,7 @@
         &lt;dependency&gt;
             &lt;groupId&gt;org.json&lt;/groupId&gt;
             &lt;artifactId&gt;json&lt;/artifactId&gt;
-            &lt;version&gt;20141113&lt;/version&gt;
+            &lt;version&gt;20140107&lt;/version&gt;
         &lt;/dependency&gt;
         &lt;!-- Dependencies from jitpack.io --&gt;</t>
  </si>
  <si>
    <t xml:space="preserve">
        &lt;dependency&gt;
&lt;&lt;&lt;&lt;&lt;&lt;&lt; HEAD
            &lt;groupId&gt;com.google.code.gson&lt;/groupId&gt;
            &lt;artifactId&gt;gson&lt;/artifactId&gt;
            &lt;version&gt;2.5&lt;/version&gt;
            &lt;type&gt;jar&lt;/type&gt;
        &lt;/dependency&gt;
        &lt;dependency&gt;
            &lt;groupId&gt;com.google.guava&lt;/groupId&gt;
            &lt;artifactId&gt;guava&lt;/artifactId&gt;
            &lt;version&gt;19.0-rc2&lt;/version&gt;
=======
            &lt;groupId&gt;org.json&lt;/groupId&gt;
            &lt;artifactId&gt;json&lt;/artifactId&gt;
            &lt;version&gt;20140107&lt;/version&gt;
&gt;&gt;&gt;&gt;&gt;&gt;&gt; 1f780886c2a9c467c435ac56858cf9520d5cd5bc
        &lt;/dependency&gt;</t>
  </si>
  <si>
    <t>U I vs. U (xml)
Origin(D I vs. U)</t>
  </si>
  <si>
    <t xml:space="preserve">
         &lt;groupId&gt;commons-io&lt;/groupId&gt;
         &lt;artifactId&gt;commons-io&lt;/artifactId&gt;
         &lt;version&gt;2.4&lt;/version&gt;
      &lt;/dependency&gt;
      &lt;dependency&gt;
         &lt;groupId&gt;commons-io&lt;/groupId&gt;
         &lt;artifactId&gt;commons-io&lt;/artifactId&gt;
         &lt;version&gt;2.4&lt;/version&gt;
      &lt;/dependency&gt;
      &lt;dependency&gt;
         &lt;groupId&gt;commons-io&lt;/groupId&gt;
         &lt;artifactId&gt;commons-io&lt;/artifactId&gt;
         &lt;version&gt;2.4&lt;/version&gt;
      &lt;/dependency&gt;
      &lt;dependency&gt;
         &lt;groupId&gt;commons-io&lt;/groupId&gt;
         &lt;artifactId&gt;commons-io&lt;/artifactId&gt;
         &lt;version&gt;2.4&lt;/version&gt;
      &lt;/dependency&gt;
      &lt;dependency&gt;
         &lt;groupId&gt;commons-io&lt;/groupId&gt;
         &lt;artifactId&gt;commons-io&lt;/artifactId&gt;
         &lt;version&gt;2.4&lt;/version&gt;
      &lt;/dependency&gt;
   &lt;/dependencies&gt;</t>
  </si>
  <si>
    <t xml:space="preserve">
&lt;&lt;&lt;&lt;&lt;&lt;&lt; ../disunity/dd5480db1fd9c27850fb0da3508c660a0e81cc35/left/pom.xml
            &lt;version&gt;2.5&lt;/version&gt;
||||||| ../disunity/dd5480db1fd9c27850fb0da3508c660a0e81cc35/base/pom.xml
            &lt;version&gt;20141113&lt;/version&gt;
=======
            &lt;version&gt;20140107&lt;/version&gt;
&gt;&gt;&gt;&gt;&gt;&gt;&gt; ../disunity/dd5480db1fd9c27850fb0da3508c660a0e81cc35/right/pom.xml</t>
  </si>
  <si>
    <t>https://github.com/mapstruct/mapstruct</t>
  </si>
  <si>
    <t>mapstruct</t>
  </si>
  <si>
    <t>48d7963cca4f1a890969ba66af36aece22272e33</t>
  </si>
  <si>
    <t>22b28f58db7d777fab9d970c3be6dd1c462560ce</t>
  </si>
  <si>
    <t>00a4ea2cfbfae78f8e34e116edfa059226d3c21e</t>
  </si>
  <si>
    <t>ec6913618ea1e5c92e4e092beb0f234be1fc293e</t>
  </si>
  <si>
    <t>processor/src/main/resources/org/mapstruct/ap/internal/model/assignment/UpdateNullCheckWrapper.ftl</t>
  </si>
  <si>
    <t xml:space="preserve">
--- a/processor/src/main/resources/org/mapstruct/ap/internal/model/assignment/UpdateNullCheckWrapper.ftl
+++ /dev/null</t>
  </si>
  <si>
    <t xml:space="preserve">
--- a/processor/src/main/resources/org/mapstruct/ap/internal/model/assignment/UpdateNullCheckWrapper.ftl
+++ b/processor/src/main/resources/org/mapstruct/ap/internal/model/assignment/UpdateNullCheckWrapper.ftl
</t>
  </si>
  <si>
    <t xml:space="preserve">
CONFLICT (modify/delete): processor/src/main/resources/org/mapstruct/ap/internal/model/assignment/UpdateNullCheckWrapper.ftl deleted in HEAD and modified in 00a4ea2cfbfae78f8e34e116edfa059226d3c21e. Version 00a4ea2cfbfae78f8e34e116edfa059226d3c21e of processor/src/main/resources/org/mapstruct/ap/internal/model/assignment/UpdateNullCheckWrapper.ftl left in tree.</t>
  </si>
  <si>
    <t xml:space="preserve">
--- a/processor/src/main/resources/org/mapstruct/ap/internal/model/assignment/UpdateNullCheckWrapper.ftl
+++ /dev/null
</t>
  </si>
  <si>
    <t>D vs. U (delete vs. update .ftl file)</t>
  </si>
  <si>
    <t>https://github.com/voldemort/voldemort</t>
  </si>
  <si>
    <t>voldemort</t>
  </si>
  <si>
    <t>056d93c1b5487020e0a467c3a02371b29f73c339</t>
  </si>
  <si>
    <t>c8ab434ef7376a7e502b1c7be877044dc8b58de8</t>
  </si>
  <si>
    <t>24dbf6165a7bf777edbfe76fe1a3ed51bac02ddc</t>
  </si>
  <si>
    <t>4957e952aaf836b9eda3f178de348380c7d9be0c</t>
  </si>
  <si>
    <t>src/java/voldemort/VoldemortAdminTool.java</t>
  </si>
  <si>
    <t xml:space="preserve">
@@ -208,6 +208,10 @@ public class VoldemortAdminTool {
         parser.accepts("backup-incremental",
                        "Perform an incremental backup for point-in-time recovery."
                                + " By default backup has latest consistent snapshot.");
+        parser.accepts("zone", "zone id")
+              .withRequiredArg()
+              .describedAs("zone-id")
+              .ofType(Integer.class);
         OptionSet options = parser.parse(args);</t>
  </si>
  <si>
    <t xml:space="preserve">
@@ -208,6 +208,14 @@ public class VoldemortAdminTool {
         parser.accepts("backup-incremental",
                        "Perform an incremental backup for point-in-time recovery."
                                + " By default backup has latest consistent snapshot.");
+        parser.accepts("rollback", "rollback a store")
+              .withRequiredArg()
+              .describedAs("store-name")
+              .ofType(String.class);
+        parser.accepts("version", "Push version of store to rollback to")
+              .withRequiredArg()
+              .describedAs("version")
+              .ofType(Long.class);
         OptionSet options = parser.parse(args);</t>
  </si>
  <si>
    <t xml:space="preserve">
&lt;&lt;&lt;&lt;&lt;&lt;&lt; HEAD
        parser.accepts("zone", "zone id")
              .withRequiredArg()
              .describedAs("zone-id")
              .ofType(Integer.class);
=======
        parser.accepts("rollback", "rollback a store")
              .withRequiredArg()
              .describedAs("store-name")
              .ofType(String.class);
        parser.accepts("version", "Push version of store to rollback to")
              .withRequiredArg()
              .describedAs("version")
              .ofType(Long.class);
&gt;&gt;&gt;&gt;&gt;&gt;&gt; 24dbf6165a7bf777edbfe76fe1a3ed51bac02ddc
        OptionSet options = parser.parse(args);</t>
  </si>
  <si>
    <t xml:space="preserve">
@@ -208,6 +208,18 @@ public class VoldemortAdminTool {
         parser.accepts("backup-incremental",
                        "Perform an incremental backup for point-in-time recovery."
                                + " By default backup has latest consistent snapshot.");
+        parser.accepts("zone", "zone id")
+              .withRequiredArg()
+              .describedAs("zone-id")
+              .ofType(Integer.class);
+        parser.accepts("rollback", "rollback a store")
+              .withRequiredArg()
+              .describedAs("store-name")
+              .ofType(String.class);
+        parser.accepts("version", "Push version of store to rollback to")
+              .withRequiredArg()
+              .describedAs("version")
+              .ofType(Long.class);
         OptionSet options = parser.parse(args);</t>
  </si>
  <si>
    <t xml:space="preserve">
&lt;&lt;&lt;&lt;&lt;&lt;&lt; .../FSTMerge/fstmerge_tmp1647884735412/fstmerge_var1_104712515318651077
        parser.accepts("zone", "zone id")
              .withRequiredArg()
              .describedAs("zone-id")
              .ofType(Integer.class);
=======
        parser.accepts("rollback", "rollback a store")
              .withRequiredArg()
              .describedAs("store-name")
              .ofType(String.class);
        parser.accepts("version", "Push version of store to rollback to")
              .withRequiredArg()
              .describedAs("version")
              .ofType(Long.class);
&gt;&gt;&gt;&gt;&gt;&gt;&gt; .../FSTMerge/fstmerge_tmp1647884735412/fstmerge_var2_2504866465915947585
</t>
  </si>
  <si>
    <t xml:space="preserve">
&lt;&lt;&lt;&lt;&lt;&lt;&lt; .../left/src/java/voldemort/VoldemortAdminTool.java
    "zone"
=======
    "version"
&gt;&gt;&gt;&gt;&gt;&gt;&gt; .../right/src/java/voldemort/VoldemortAdminTool.java
    , 
&lt;&lt;&lt;&lt;&lt;&lt;&lt; .../left/src/java/voldemort/VoldemortAdminTool.java
    "zone id"</t>
  </si>
  <si>
    <t xml:space="preserve">
&lt;&lt;&lt;&lt;&lt;&lt;&lt; ours
        parser.accepts("zone", "zone id")
              .withRequiredArg()
              .describedAs("zone-id")
              .ofType(Integer.class);
=======
        parser.accepts("rollback", "rollback a store")
              .withRequiredArg()
              .describedAs("store-name")
              .ofType(String.class);
        parser.accepts("version", "Push version of store to rollback to")
              .withRequiredArg()
              .describedAs("version")
              .ofType(Long.class);
&gt;&gt;&gt;&gt;&gt;&gt;&gt; theirs</t>
  </si>
  <si>
    <t xml:space="preserve">
&lt;&lt;&lt;&lt;&lt;&lt;&lt; .../left/src/java/voldemort/VoldemortAdminTool.java
    Integer
=======
    Long
&gt;&gt;&gt;&gt;&gt;&gt;&gt; .../right/src/java/voldemort/VoldemortAdminTool.java
 </t>
  </si>
  <si>
    <t xml:space="preserve">
&lt;&lt;&lt;&lt;&lt;&lt;&lt; ../voldemort/056d93c1b5487020e0a467c3a02371b29f73c339/left/src/java/voldemort/VoldemortAdminTool.java
        parser.accepts("zone", "zone id")
||||||| ../voldemort/056d93c1b5487020e0a467c3a02371b29f73c339/base/src/java/voldemort/VoldemortAdminTool.java
=======
        parser.accepts("rollback", "rollback a store")
&gt;&gt;&gt;&gt;&gt;&gt;&gt; ../voldemort/056d93c1b5487020e0a467c3a02371b29f73c339/right/src/java/voldemort/VoldemortAdminTool.java</t>
  </si>
  <si>
    <t>https://github.com/square/tape</t>
  </si>
  <si>
    <t>tape</t>
  </si>
  <si>
    <t>db536233ef2f4c274c1093ea1fdd88da8a5db5a2</t>
  </si>
  <si>
    <t>d8127676f0f0de0576f90c7ae030713f80bdea84</t>
  </si>
  <si>
    <t>1281e7e8cd960650b7e205dbe5b0b27c5151a6c4</t>
  </si>
  <si>
    <t>ce90a1dbee3a74a2fd177c56c39606013003831f</t>
  </si>
  <si>
    <t>tape/src/test/java/com/squareup/tape/QueueFileTest.java</t>
  </si>
  <si>
    <t xml:space="preserve">
-    queueFile.peek(new QueueFile.ElementReader() {
+    queueFile.peek(new QueueFileJava.ElementReader() {
       @Override public void read(InputStream in, int length) throws IOException {
         assertThat(length).isEqualTo(2);
         byte[] actual = new byte[length];</t>
  </si>
  <si>
    <t xml:space="preserve">
+    final AtomicInteger peeks = new AtomicInteger(0);
+
     queueFile.peek(new QueueFile.ElementReader() {
       @Override public void read(InputStream in, int length) throws IOException {
+        peeks.incrementAndGet();
+</t>
  </si>
  <si>
    <t xml:space="preserve">
&lt;&lt;&lt;&lt;&lt;&lt;&lt; HEAD
    queueFile.peek(new QueueFileJava.ElementReader() {
=======
    final AtomicInteger peeks = new AtomicInteger(0);
    queueFile.peek(new QueueFile.ElementReader() {
&gt;&gt;&gt;&gt;&gt;&gt;&gt; 1281e7e8cd960650b7e205dbe5b0b27c5151a6c4</t>
  </si>
  <si>
    <t>U + I</t>
  </si>
  <si>
    <t xml:space="preserve">
&lt;&lt;&lt;&lt;&lt;&lt;&lt; .../FSTMerge/fstmerge_tmp1647884788475/fstmerge_var1_6556691089649820860
    queueFile.peek(new QueueFileJava.ElementReader() {
=======
    final AtomicInteger peeks = new AtomicInteger(0);
    queueFile.peek(new QueueFile.ElementReader() {
&gt;&gt;&gt;&gt;&gt;&gt;&gt; .../FSTMerge/fstmerge_tmp1647884788475/fstmerge_var2_7603857720489242411
</t>
  </si>
  <si>
    <t xml:space="preserve">
    final AtomicInteger peeks = new AtomicInteger(0);
    queueFile.peek(new QueueFileJava.ElementReader() {</t>
  </si>
  <si>
    <t xml:space="preserve">
&lt;&lt;&lt;&lt;&lt;&lt;&lt; ours
    queueFile.peek(new QueueFileJava.ElementReader() {
=======
    final AtomicInteger peeks = new AtomicInteger(0);
    queueFile.peek(new QueueFile.ElementReader() {
&gt;&gt;&gt;&gt;&gt;&gt;&gt; theirs</t>
  </si>
  <si>
    <t xml:space="preserve">
&lt;&lt;&lt;&lt;&lt;&lt;&lt; ../tape/db536233ef2f4c274c1093ea1fdd88da8a5db5a2/left/tape/src/test/java/com/squareup/tape/QueueFileTest.java
    queueFile.peek(new QueueFileJava.ElementReader() {
||||||| ../tape/db536233ef2f4c274c1093ea1fdd88da8a5db5a2/base/tape/src/test/java/com/squareup/tape/QueueFileTest.java
    queueFile.peek(new QueueFile.ElementReader() {
=======
    final AtomicInteger peeks = new AtomicInteger(0);
    queueFile.peek(new QueueFile.ElementReader() {
&gt;&gt;&gt;&gt;&gt;&gt;&gt; ../tape/db536233ef2f4c274c1093ea1fdd88da8a5db5a2/right/tape/src/test/java/com/squareup/tape/QueueFileTest.java</t>
  </si>
  <si>
    <t>https://github.com/tronprotocol/java-tron</t>
  </si>
  <si>
    <t>java-tron</t>
  </si>
  <si>
    <t>5884e57ba084b9d13912ce3f077a6edbf48d5b1d</t>
  </si>
  <si>
    <t>47c64230331db18b7278a3d9b246aab003d0ab77</t>
  </si>
  <si>
    <t>b9e5344b0f0259ccced74af4b9043fec0cdaf3b5</t>
  </si>
  <si>
    <t>60b0dc9ac32fa739842b93428eb4a26431e0b96f</t>
  </si>
  <si>
    <t>src/main/protos/core/Tron.proto</t>
  </si>
  <si>
    <t xml:space="preserve">
-message authority {
-  AccountId account = 1;
-  bytes permission_name = 2;
+message Key {
+  bytes address = 1;
+  int64 weight = 2;
 }</t>
  </si>
  <si>
    <t xml:space="preserve">
+
+message DelegatedResource {
+  bytes from = 1;
+  bytes to = 2;
+  int64 frozen_balance_for_bandwidth = 3;
+  int64 frozen_balance_for_energy = 4;
+  int64 expire_time_for_bandwidth = 5;
+  int64 expire_time_for_energy = 6;
+}
+
 message authority {
   AccountId account = 1;
   bytes permission_name = 2;</t>
  </si>
  <si>
    <t xml:space="preserve">
&lt;&lt;&lt;&lt;&lt;&lt;&lt; HEAD
message Key {
  bytes address = 1;
  int64 weight = 2;
=======
message DelegatedResource {
  bytes from = 1;
  bytes to = 2;
  int64 frozen_balance_for_bandwidth = 3;
  int64 frozen_balance_for_energy = 4;
  int64 expire_time_for_bandwidth = 5;
  int64 expire_time_for_energy = 6;
}
message authority {
  AccountId account = 1;
  bytes permission_name = 2;
&gt;&gt;&gt;&gt;&gt;&gt;&gt; b9e5344b0f0259ccced74af4b9043fec0cdaf3b5
}</t>
  </si>
  <si>
    <t xml:space="preserve">
+message Key {
+  bytes address = 1;
+  int64 weight = 2;
+}
+
+message DelegatedResource {
+  bytes from = 1;
+  bytes to = 2;
+  int64 frozen_balance_for_bandwidth = 3;
+  int64 frozen_balance_for_energy = 4;
+  int64 expire_time_for_bandwidth = 5;
+  int64 expire_time_for_energy = 6;
 }</t>
  </si>
  <si>
    <t>D I + I</t>
  </si>
  <si>
    <t>accept both side pluse modification</t>
  </si>
  <si>
    <t xml:space="preserve">
&lt;&lt;&lt;&lt;&lt;&lt;&lt; ../java-tron/5884e57ba084b9d13912ce3f077a6edbf48d5b1d/left/src/main/protos/core/Tron.proto
message Key {
  bytes address = 1;
  int64 weight = 2;
||||||| ../java-tron/5884e57ba084b9d13912ce3f077a6edbf48d5b1d/base/src/main/protos/core/Tron.proto
=======
message DelegatedResource {
  bytes from = 1;
&gt;&gt;&gt;&gt;&gt;&gt;&gt; ../java-tron/5884e57ba084b9d13912ce3f077a6edbf48d5b1d/right/src/main/protos/core/Tron.proto
  bytes to = 2;
  int64 frozen_balance_for_bandwidth = 3;
  int64 frozen_balance_for_energy = 4;
  int64 expire_time_for_bandwidth = 5;
  int64 expire_time_for_energy = 6;</t>
  </si>
  <si>
    <t>https://github.com/spotify/docker-maven-plugin</t>
  </si>
  <si>
    <t>docker-maven-plugin</t>
  </si>
  <si>
    <t>ebc3ef768b80d6f5ce20e39726190bee3cd6f051</t>
  </si>
  <si>
    <t>f5c94e5e1a085bda5b731db19f788c69e78f286a</t>
  </si>
  <si>
    <t>7e96d6fbfb135715980af0b3ab285affc824af77</t>
  </si>
  <si>
    <t>0b5f1e458c0a2e01341790951fc2efd363f35633</t>
  </si>
  <si>
    <t>src/main/java/com/spotify/docker/Utils.java</t>
  </si>
  <si>
    <t xml:space="preserve">
@@ -29,6 +29,7 @@ import org.apache.maven.plugin.MojoExecutionException;
 import org.apache.maven.plugin.logging.Log;
 import java.io.IOException;
+import java.util.List;
 import static com.google.common.base.Strings.isNullOrEmpty;</t>
  </si>
  <si>
    <t xml:space="preserve">
@@ -24,11 +24,16 @@ package com.spotify.docker;
 import com.spotify.docker.client.AnsiProgressHandler;
 import com.spotify.docker.client.DockerClient;
 import com.spotify.docker.client.DockerException;
+import com.spotify.docker.client.ProgressHandler;
+import com.spotify.docker.client.messages.ProgressMessage;
 import org.apache.maven.plugin.MojoExecutionException;
 import org.apache.maven.plugin.logging.Log;
 import java.io.IOException;
+import java.nio.file.Files;
+import java.nio.file.Path;
+import java.nio.file.Paths;
 import static com.google.common.base.Strings.isNullOrEmpty;</t>
  </si>
  <si>
    <t xml:space="preserve">
import java.io.IOException;
&lt;&lt;&lt;&lt;&lt;&lt;&lt; HEAD
import java.util.List;
=======
import java.nio.file.Files;
import java.nio.file.Path;
import java.nio.file.Paths;
&gt;&gt;&gt;&gt;&gt;&gt;&gt; 7e96d6fbfb135715980af0b3ab285affc824af77</t>
  </si>
  <si>
    <t xml:space="preserve">
@@ -24,11 +24,17 @@ package com.spotify.docker;
 import com.spotify.docker.client.AnsiProgressHandler;
 import com.spotify.docker.client.DockerClient;
 import com.spotify.docker.client.DockerException;
+import com.spotify.docker.client.ProgressHandler;
+import com.spotify.docker.client.messages.ProgressMessage;
 import org.apache.maven.plugin.MojoExecutionException;
 import org.apache.maven.plugin.logging.Log;
 import java.io.IOException;
+import java.util.List;
+import java.nio.file.Files;
+import java.nio.file.Path;
+import java.nio.file.Paths;
 import static com.google.common.base.Strings.isNullOrEmpty;</t>
  </si>
  <si>
    <t xml:space="preserve">
import com.spotify.docker.client.AnsiProgressHandler; 
import com.spotify.docker.client.DockerClient; 
import com.spotify.docker.client.DockerException; 
import com.spotify.docker.client.ProgressHandler; 
import com.spotify.docker.client.messages.ProgressMessage; 
import org.apache.maven.plugin.MojoExecutionException; 
import org.apache.maven.plugin.logging.Log; 
import java.io.IOException; 
import java.nio.file.Files; 
import java.nio.file.Path; 
import java.nio.file.Paths; 
import static com.google.common.base.Strings.isNullOrEmpty; 
import java.util.List;</t>
  </si>
  <si>
    <t xml:space="preserve">
import com.spotify.docker.client.AnsiProgressHandler;
import com.spotify.docker.client.DockerClient;
import com.spotify.docker.client.DockerException;
import com.spotify.docker.client.ProgressHandler;
import com.spotify.docker.client.messages.ProgressMessage;
import org.apache.maven.plugin.MojoExecutionException;
import org.apache.maven.plugin.logging.Log;
import java.io.IOException;
import java.util.List;
import java.nio.file.Files;
import java.nio.file.Path;
import java.nio.file.Paths;
import static com.google.common.base.Strings.isNullOrEmpty;</t>
  </si>
  <si>
    <t xml:space="preserve">
import com.spotify.docker.client.AnsiProgressHandler;
import com.spotify.docker.client.DockerClient;
import com.spotify.docker.client.DockerException;
import com.spotify.docker.client.ProgressHandler;
import com.spotify.docker.client.messages.ProgressMessage;
import org.apache.maven.plugin.MojoExecutionException;
import org.apache.maven.plugin.logging.Log;
import java.io.IOException;
import java.util.List;
import java.nio.file.Files;
import java.nio.file.Path;
import java.nio.file.Paths;</t>
  </si>
  <si>
    <t xml:space="preserve">
import java.io.IOException;
&lt;&lt;&lt;&lt;&lt;&lt;&lt; ../docker-maven-plugin/ebc3ef768b80d6f5ce20e39726190bee3cd6f051/left/src/main/java/com/spotify/docker/Utils.java
import java.util.List;
||||||| ../docker-maven-plugin/ebc3ef768b80d6f5ce20e39726190bee3cd6f051/base/src/main/java/com/spotify/docker/Utils.java
=======
import java.nio.file.Files;
import java.nio.file.Path;
import java.nio.file.Paths;
&gt;&gt;&gt;&gt;&gt;&gt;&gt; ../docker-maven-plugin/ebc3ef768b80d6f5ce20e39726190bee3cd6f051/right/src/main/java/com/spotify/docker/Utils.java</t>
  </si>
  <si>
    <t>https://github.com/traccar/traccar</t>
  </si>
  <si>
    <t>traccar</t>
  </si>
  <si>
    <t>8a696af4d92821ccf741c21dcbe118861008743a</t>
  </si>
  <si>
    <t>47a1af1554b0216eae8248227407486c0eba8ef3</t>
  </si>
  <si>
    <t>81a7195b2efe148d47e3cf0cead0de415529bbab</t>
  </si>
  <si>
    <t>bc4a46a01e8d7c3e6238ba07f96eb67adc75c116</t>
  </si>
  <si>
    <t>src/main/java/org/traccar/protocol/WatchProtocolEncoder.java</t>
  </si>
  <si>
    <t xml:space="preserve">
             case Command.TYPE_SET_TIMEZONE:
-                return formatTextCommand(channel, command, "LZ,,{%s}", Command.KEY_TIMEZONE);
+                return formatTextCommand(channel, command, "LZ,{%s},{%s}", Command.KEY_LANGUAGE, Command.KEY_TIMEZONE);
             case Command.TYPE_SET_INDICATOR:</t>
  </si>
  <si>
    <t xml:space="preserve">
             case Command.TYPE_SET_TIMEZONE:
-                return formatTextCommand(channel, command, "LZ,,{%s}", Command.KEY_TIMEZONE);
+                return formatTextCommand(channel, command, "LZ,,%s", Command.KEY_TIMEZONE);</t>
  </si>
  <si>
    <t xml:space="preserve">
&lt;&lt;&lt;&lt;&lt;&lt;&lt; HEAD
                return formatTextCommand(channel, command, "LZ,{%s},{%s}", Command.KEY_LANGUAGE, Command.KEY_TIMEZONE);
=======
                return formatTextCommand(channel, command, "LZ,,%s", Command.KEY_TIMEZONE);
&gt;&gt;&gt;&gt;&gt;&gt;&gt; 81a7195b2efe148d47e3cf0cead0de415529bbab</t>
  </si>
  <si>
    <t xml:space="preserve">
             case Command.TYPE_SET_TIMEZONE:
-                return formatTextCommand(channel, command, "LZ,,{%s}", Command.KEY_TIMEZONE);
+                return formatTextCommand(channel, command, "LZ,%s,%s", Command.KEY_LANGUAGE, Command.KEY_TIMEZONE);</t>
  </si>
  <si>
    <t>accept both sides plus additional change(in one single line)</t>
  </si>
  <si>
    <t xml:space="preserve">
&lt;&lt;&lt;&lt;&lt;&lt;&lt; .../left/src/main/java/org/traccar/protocol/WatchProtocolEncoder.java
      "LZ,{%s},{%s}"
=======
      "LZ,,%s"
&gt;&gt;&gt;&gt;&gt;&gt;&gt; .../right/src/main/java/org/traccar/protocol/WatchProtocolEncoder.java
      , Command.KEY_LANGUAGE, Command.KEY_TIMEZONE);</t>
  </si>
  <si>
    <t xml:space="preserve">
            case Command.TYPE_SET_TIMEZONE:
&lt;&lt;&lt;&lt;&lt;&lt;&lt; ours
                return formatTextCommand(channel, command, "LZ,{%s},{%s}", Command.KEY_LANGUAGE, Command.KEY_TIMEZONE);
=======
                return formatTextCommand(channel, command, "LZ,,%s", Command.KEY_TIMEZONE);
&gt;&gt;&gt;&gt;&gt;&gt;&gt; theirs
            case Command.TYPE_SET_INDICATOR:</t>
  </si>
  <si>
    <t xml:space="preserve">
      case Command.TYPE_SET_TIMEZONE:
      return formatTextCommand(channel, command, "LZ,{%s},{%s}", Command.KEY_LANGUAGE, "LZ,,%s", Command.KEY_TIMEZONE);</t>
  </si>
  <si>
    <t>accept both sides but keep duplicates</t>
  </si>
  <si>
    <t xml:space="preserve">
&lt;&lt;&lt;&lt;&lt;&lt;&lt; ../traccar/8a696af4d92821ccf741c21dcbe118861008743a/left/src/main/java/org/traccar/protocol/WatchProtocolEncoder.java
                return formatTextCommand(channel, command, "LZ,{%s},{%s}", Command.KEY_LANGUAGE, Command.KEY_TIMEZONE);
||||||| ../traccar/8a696af4d92821ccf741c21dcbe118861008743a/base/src/main/java/org/traccar/protocol/WatchProtocolEncoder.java
                return formatTextCommand(channel, command, "LZ,,{%s}", Command.KEY_TIMEZONE);
=======
                return formatTextCommand(channel, command, "LZ,,%s", Command.KEY_TIMEZONE);
&gt;&gt;&gt;&gt;&gt;&gt;&gt; ../traccar/8a696af4d92821ccf741c21dcbe118861008743a/right/src/main/java/org/traccar/protocol/WatchProtocolEncoder.java</t>
  </si>
  <si>
    <t>https://github.com/FudanNLP/fnlp</t>
  </si>
  <si>
    <t>fnlp</t>
  </si>
  <si>
    <t>6549226737d66f55d90765f31906b1b7d6a35754</t>
  </si>
  <si>
    <t>fa3783295bb4cd304ad61d50f057b02a8d709f02</t>
  </si>
  <si>
    <t>afd1063e70427e7b8981350022466c068c27c73b</t>
  </si>
  <si>
    <t>b7ef46d376786524b5d3020ccbe635c586638a83</t>
  </si>
  <si>
    <t>fnlp-core/src/main/java/org/fnlp/nlp/corpus/ctbconvert/CTB2CONLL.java</t>
  </si>
  <si>
    <t xml:space="preserve">
+        }
+
+        /**
+         * 对ctb的格式进行预处理，去掉尖括号注释信息，只保留圆括号里的内容
+         * @param file 文件名
+         * @throws IOException
+         * 下午5:34:24
+         */
+        private static void clean(String file) throws IOException {</t>
  </si>
  <si>
    <t xml:space="preserve">
+        }
+
+        /**
+         * @param str
+         * 下午5:12:24
+         * @throws IOException 
+         */
+        private static void clean(String file) throws IOException {</t>
  </si>
  <si>
    <t xml:space="preserve">
        /**
&lt;&lt;&lt;&lt;&lt;&lt;&lt; HEAD
         * 对ctb的格式进行预处理，去掉尖括号注释信息，只保留圆括号里的内容
         * @param file 文件名
         * @throws IOException
         * 下午5:34:24
=======
         * @param str
         * 下午5:12:24
         * @throws IOException 
&gt;&gt;&gt;&gt;&gt;&gt;&gt; afd1063e70427e7b8981350022466c068c27c73b
         */</t>
  </si>
  <si>
    <t xml:space="preserve">
	}
	/**
	 * 对ctb的格式进行预处理，去掉尖括号注释信息，只保留圆括号里的内容
	 * @param file 文件名
	 * @throws IOException
	 * 下午5:34:24
	 */
	private static void clean(String file) throws IOException {</t>
  </si>
  <si>
    <t>keep left and insert more empty lines</t>
  </si>
  <si>
    <t xml:space="preserve">
  }
  /**
         * 对ctb的格式进行预处理，去掉尖括号注释信息，只保留圆括号里的内容
         * @param file 文件名
         * @throws IOException
         * 下午5:34:24
         */
  private static void clean(String file) throws IOException {</t>
  </si>
  <si>
    <t xml:space="preserve">
	}
 /**
	 * @param str
	 * 下午5:12:24
	 * @throws IOException 
	 */
 private static void clean(String file) throws IOException throws IOException {</t>
  </si>
  <si>
    <t xml:space="preserve">
  }
  /**
	 * 对ctb的格式进行预处理，去掉尖括号注释信息，只保留圆括号里的内容
	 * @param file 文件名
	 * @throws IOException
	 * 下午5:34:24
	 */
  private static void clean(String file) throws IOException {</t>
  </si>
  <si>
    <t xml:space="preserve">
&lt;&lt;&lt;&lt;&lt;&lt;&lt; ../fnlp/6549226737d66f55d90765f31906b1b7d6a35754/left/fnlp-core/src/main/java/org/fnlp/nlp/corpus/ctbconvert/CTB2CONLL.java
	}
	/**
	 * 对ctb的格式进行预处理，去掉尖括号注释信息，只保留圆括号里的内容
	 * @param file 文件名
	 * @throws IOException
	 * 下午5:34:24
	 */
	private static void clean(String file) throws IOException {
		StringBuffer sb = new StringBuffer();
		BufferedReader br = new BufferedReader(new InputStreamReader(new FileInputStream(file),Charset.forName("utf8")));
		String str;
		while((str = br.readLine())!=null){
			if(str.length()!=0&amp;&amp;!str.trim().startsWith("&lt;")){
				if(str.equalsIgnoreCase("root"))
					continue;
				if(str.contains("&lt;/HEADER&gt; ")||str.contains("&lt;/HEADLINE&gt;"))
					continue;
				sb.append(str+"\n");
			}				
		}
		br.close();
		Writer wr = new OutputStreamWriter(new FileOutputStream(new File(file)),Charset.forName("gbk"));//输出目录
		wr.write(sb.toString());
		wr.close();
||||||| ../fnlp/6549226737d66f55d90765f31906b1b7d6a35754/base/fnlp-core/src/main/java/org/fnlp/nlp/corpus/ctbconvert/CTB2CONLL.java
=======
	}
	/**
	 * @param str
	 * 下午5:12:24
	 * @throws IOException 
	 */
	private static void clean(String file) throws IOException {
		StringBuffer sb = new StringBuffer();
		BufferedReader br = new BufferedReader(new InputStreamReader(new FileInputStream(file),Charset.forName("utf8")));
		String str;
		while((str = br.readLine())!=null){
			if(str.length()!=0&amp;&amp;!str.trim().startsWith("&lt;")){
				if(str.equalsIgnoreCase("root"))
					continue;
				if(str.contains("&lt;/HEADER&gt; ")||str.contains("&lt;/HEADLINE&gt;"))
					continue;
				sb.append(str+"\n");
			}				
		}
		br.close();
		Writer wr = new OutputStreamWriter(new FileOutputStream(new File(file)),Charset.forName("gbk"));//输出目录
		wr.write(sb.toString());
		wr.close();
&gt;&gt;&gt;&gt;&gt;&gt;&gt; ../fnlp/6549226737d66f55d90765f31906b1b7d6a35754/right/fnlp-core/src/main/java/org/fnlp/nlp/corpus/ctbconvert/CTB2CONLL.java</t>
  </si>
  <si>
    <t>https://github.com/liuyangming/ByteTCC</t>
  </si>
  <si>
    <t>ByteTCC</t>
  </si>
  <si>
    <t>5fcab99b87c7be47cfaac9d264ee7b90e679656b</t>
  </si>
  <si>
    <t>06ef42eac89b1b0bcaf494680a5bbfdb2855f43f</t>
  </si>
  <si>
    <t>1463007d77c88875c9709fd0051be47ec3e33d45</t>
  </si>
  <si>
    <t>0a5ce1a9cd5ab75579023b2fea50c6ead1ea899a</t>
  </si>
  <si>
    <t>bytetcc-core/src/main/java/org/bytesoft/bytetcc/TransactionCoordinator.java</t>
  </si>
  <si>
    <t xml:space="preserve">
                 try {
                         transaction.commit();
-                } catch (SecurityException e) {
-                        // TODO Auto-generated catch block
-                        e.printStackTrace();
-                } catch (IllegalStateException e) {
-                        // TODO Auto-generated catch block
-                        e.printStackTrace();
-                } catch (RollbackException e) {
-                        // TODO Auto-generated catch block
-                        e.printStackTrace();
-                } catch (HeuristicMixedException e) {
-                        // TODO Auto-generated catch block
-                        e.printStackTrace();
-                } catch (HeuristicRollbackException e) {
-                        // TODO Auto-generated catch block
-                        e.printStackTrace();
-                } catch (SystemException e) {
-                        // TODO Auto-generated catch block
-                        e.printStackTrace();
+                        transactionRepository.removeErrorTransaction(globalXid);
+                        transactionRepository.removeTransaction(globalXid);
+                } catch (SecurityException ex) {</t>
  </si>
  <si>
    <t xml:space="preserve">
                 try {
                         transaction.commit();
-                } catch (SecurityException e) {
-                        // TODO Auto-generated catch block
-                        e.printStackTrace();
-                } catch (IllegalStateException e) {
-                        // TODO Auto-generated catch block
-                        e.printStackTrace();
-                } catch (RollbackException e) {
-                        // TODO Auto-generated catch block
-                        e.printStackTrace();
-                } catch (HeuristicMixedException e) {
-                        // TODO Auto-generated catch block
-                        e.printStackTrace();
-                } catch (HeuristicRollbackException e) {
-                        // TODO Auto-generated catch block
-                        e.printStackTrace();
-                } catch (SystemException e) {
-                        // TODO Auto-generated catch block
-                        e.printStackTrace();
+                } catch (SecurityException ex) {</t>
  </si>
  <si>
    <t xml:space="preserve">
                try {
                        transaction.commit();
&lt;&lt;&lt;&lt;&lt;&lt;&lt; HEAD
                        transactionRepository.removeErrorTransaction(globalXid);
                        transactionRepository.removeTransaction(globalXid);
=======
&gt;&gt;&gt;&gt;&gt;&gt;&gt; 1463007d77c88875c9709fd0051be47ec3e33d45
                } catch (SecurityException ex) {</t>
  </si>
  <si>
    <t xml:space="preserve">
 		try {
 			transaction.commit();
-		} catch (SecurityException e) {
-			// TODO Auto-generated catch block
-			e.printStackTrace();
-		} catch (IllegalStateException e) {
-			// TODO Auto-generated catch block
-			e.printStackTrace();
-		} catch (RollbackException e) {
-			// TODO Auto-generated catch block
-			e.printStackTrace();
-		} catch (HeuristicMixedException e) {
-			// TODO Auto-generated catch block
-			e.printStackTrace();
-		} catch (HeuristicRollbackException e) {
-			// TODO Auto-generated catch block
-			e.printStackTrace();
-		} catch (SystemException e) {
-			// TODO Auto-generated catch block
-			e.printStackTrace();
+			transactionRepository.removeErrorTransaction(globalXid);
+			transactionRepository.removeTransaction(globalXid);
+		} catch (SecurityException ex) {</t>
  </si>
  <si>
    <t>D I vs. D I
L includes R</t>
  </si>
  <si>
    <t xml:space="preserve">
&lt;&lt;&lt;&lt;&lt;&lt;&lt; .../FSTMerge/fstmerge_tmp1647884872399/fstmerge_var1_3800165060960972354
			transactionRepository.removeErrorTransaction(globalXid);
			transactionRepository.removeTransaction(globalXid);
=======
&gt;&gt;&gt;&gt;&gt;&gt;&gt; .../FSTMerge/fstmerge_tmp1647884872399/fstmerge_var2_2793566279574761780</t>
  </si>
  <si>
    <t xml:space="preserve">
    try {
      transaction.commit();
      transactionRepository.removeErrorTransaction(globalXid);
      transactionRepository.removeTransaction(globalXid);
    } catch (SecurityException ex) {
      throw new XAException(XAException.XAER_RMERR);
    } catch (IllegalStateException ex) {
      throw new XAException(XAException.XAER_RMERR);
    } catch (RollbackException ex) {
      throw new XAException(XAException.XA_HEURRB);
    } catch (HeuristicMixedException ex) {
      throw new XAException(XAException.XA_HEURMIX);
    } catch (HeuristicRollbackException ex) {
      throw new XAException(XAException.XA_HEURRB);
    } catch (SystemException ex) {
      throw new XAException(XAException.XAER_RMERR);
    } catch (RuntimeException ex) {
      throw new XAException(XAException.XAER_RMERR);
    }
  }</t>
  </si>
  <si>
    <t xml:space="preserve">
&lt;&lt;&lt;&lt;&lt;&lt;&lt; ours
			transactionRepository.removeErrorTransaction(globalXid);
			transactionRepository.removeTransaction(globalXid);
=======
&gt;&gt;&gt;&gt;&gt;&gt;&gt; theirs</t>
  </si>
  <si>
    <t xml:space="preserve">
		try {
			transaction.commit();
&lt;&lt;&lt;&lt;&lt;&lt;&lt; ../ByteTCC/5fcab99b87c7be47cfaac9d264ee7b90e679656b/left/bytetcc-core/src/main/java/org/bytesoft/bytetcc/TransactionCoordinator.java
			transactionRepository.removeErrorTransaction(globalXid);
			transactionRepository.removeTransaction(globalXid);
		} catch (SecurityException ex) {
||||||| ../ByteTCC/5fcab99b87c7be47cfaac9d264ee7b90e679656b/base/bytetcc-core/src/main/java/org/bytesoft/bytetcc/TransactionCoordinator.java
		} catch (SecurityException e) {
			// TODO Auto-generated catch block
			e.printStackTrace();
=======
		} catch (SecurityException ex) {
			throw new XAException(XAException.XAER_RMERR);
		} catch (IllegalStateException ex) {
&gt;&gt;&gt;&gt;&gt;&gt;&gt; ../ByteTCC/5fcab99b87c7be47cfaac9d264ee7b90e679656b/right/bytetcc-core/src/main/java/org/bytesoft/bytetcc/TransactionCoordinator.java</t>
  </si>
  <si>
    <t>https://github.com/twitter/distributedlog</t>
  </si>
  <si>
    <t>distributedlog</t>
  </si>
  <si>
    <t>3619cf47988bf8ee2e7356ed3e2d639c2999fa90</t>
  </si>
  <si>
    <t>0ff8346e39076f756140d26c40d4250332554f47</t>
  </si>
  <si>
    <t>1e50320507879441a3f2c53393cc86015a7fe80f</t>
  </si>
  <si>
    <t>52358f0ec96e3993be3f1a26314bac9fe5c4b962</t>
  </si>
  <si>
    <t>vagrant/bk.sh</t>
  </si>
  <si>
    <t xml:space="preserve">
--- /dev/null
+++ b/vagrant/bk.sh
@@ -0,0 +1,86 @@
+#!/bin/bash
+# Licensed to the Apache Software Foundation (ASF) under one or more</t>
  </si>
  <si>
    <t xml:space="preserve">
--- /dev/null
+++ b/vagrant/bk.sh
@@ -0,0 +1,62 @@
+# Licensed to the Apache Software Foundation (ASF) under one or more</t>
  </si>
  <si>
    <t xml:space="preserve">
&lt;&lt;&lt;&lt;&lt;&lt;&lt; HEAD
#!/bin/bash
=======
&gt;&gt;&gt;&gt;&gt;&gt;&gt; 1e50320507879441a3f2c53393cc86015a7fe80f</t>
  </si>
  <si>
    <t>I vs. I (.sh) L includes R</t>
  </si>
  <si>
    <t xml:space="preserve">
&lt;&lt;&lt;&lt;&lt;&lt;&lt; ../distributedlog/3619cf47988bf8ee2e7356ed3e2d639c2999fa90/base/vagrant/bk.sh
#!/bin/bash
# Licensed to the Apache Software Foundation (ASF) under one or more
# contributor license agreements.  See the NOTICE file distributed with
# this work for additional information regarding copyright ownership.
# The ASF licenses this file to You under the Apache License, Version 2.0
# (the "License"); you may not use this file except in compliance with
# the License.  You may obtain a copy of the License at
#
#    http://www.apache.org/licenses/LICENSE-2.0
#
# Unless required by applicable law or agreed to in writing, software
# distributed under the License is distributed on an "AS IS" BASIS,
# WITHOUT WARRANTIES OR CONDITIONS OF ANY KIND, either express or implied.
# See the License for the specific language governing permissions and
# limitations under the License.
||||||| ../distributedlog/3619cf47988bf8ee2e7356ed3e2d639c2999fa90/base/vagrant/bk.sh
=======
# Licensed to the Apache Software Foundation (ASF) under one or more
# contributor license agreements.  See the NOTICE file distributed with
# this work for additional information regarding copyright ownership.
# The ASF licenses this file to You under the Apache License, Version 2.0
# (the "License"); you may not use this file except in compliance with
# the License.  You may obtain a copy of the License at
#
#    http://www.apache.org/licenses/LICENSE-2.0
#
# Unless required by applicable law or agreed to in writing, software
# distributed under the License is distributed on an "AS IS" BASIS,
# WITHOUT WARRANTIES OR CONDITIONS OF ANY KIND, either express or implied.
# See the License for the specific language governing permissions and
# limitations under the License.
#!/bin/bash
&gt;&gt;&gt;&gt;&gt;&gt;&gt; ../distributedlog/3619cf47988bf8ee2e7356ed3e2d639c2999fa90/base/vagrant/bk.sh</t>
  </si>
  <si>
    <t>https://github.com/spring-cloud/spring-cloud-gateway</t>
  </si>
  <si>
    <t>spring-cloud-gateway</t>
  </si>
  <si>
    <t>5b810c35571fa7573c2b9434ba85fe6db5c4b9fb</t>
  </si>
  <si>
    <t>0de8d2f197ecad3cdaab6063c4a2a5d9f355c4d5</t>
  </si>
  <si>
    <t>f2acad91a9053da5bc4a0bd925c8f14988e37efb</t>
  </si>
  <si>
    <t>a93d83a6a7e88632ce84d3bb6350ccbbbe1e6154</t>
  </si>
  <si>
    <t>docs/src/main/asciidoc/spring-cloud-gateway.adoc</t>
  </si>
  <si>
    <t xml:space="preserve">
@@ -814,8 +897,97 @@ spring:
             statuses: BAD_GATEWAY
 ----
+NOTE: The retry filter does not currently support retrying with a body (e.g. for POST or PUT requests with a body).
+
 NOTE: When using the retry filter with a `forward:` prefixed URL, the target endpoint should be written carefully so that in case of an error it does not do anything that could result in a response being sent to the client and committed. For example, if the target endpoint is an annotated controller, the target controller method should not return `ResponseEntity` with an error status code. Instead it should throw an `Exception`, or signal an error, e.g. via a `Mono.error(ex)` return value, which the retry filter can be configured to handle by retrying.
+=== RequestSize GatewayFilter Factory
+The RequestSize GatewayFilter Factory can restrict a request from reaching the downstream service , when the request size is greater than the permissible limit. The filter takes `RequestSize` as parameter which is the permissible size limit of the request defined in bytes.
…</t>
  </si>
  <si>
    <t xml:space="preserve">
@@ -816,6 +820,22 @@ spring:
 NOTE: When using the retry filter with a `forward:` prefixed URL, the target endpoint should be written carefully so that in case of an error it does not do anything that could result in a response being sent to the client and committed. For example, if the target endpoint is an annotated controller, the target controller method should not return `ResponseEntity` with an error status code. Instead it should throw an `Exception`, or signal an error, e.g. via a `Mono.error(ex)` return value, which the retry filter can be configured to handle by retrying.
+=== Default Filters
+
+If you would like to add a filter and apply it to all routes you can use `spring.cloud.gateway.default-filters`.
+This property takes a list of filters</t>
  </si>
  <si>
    <t xml:space="preserve">
&lt;&lt;&lt;&lt;&lt;&lt;&lt; HEAD
=== RequestSize GatewayFilter Factory
The RequestSize GatewayFilter Factory can restrict a request from reaching the downstream service , when the request size is greater than the permissible limit. The filter takes `RequestSize` as parameter which is the permissible size limit of the request defined in bytes.
=======
=== Default Filters
If you would like to add a filter and apply it to all routes you can use `spring.cloud.gateway.default-filters`.
This property takes a list of filters
&gt;&gt;&gt;&gt;&gt;&gt;&gt; f2acad91a9053da5bc4a0bd925c8f14988e37efb</t>
  </si>
  <si>
    <t xml:space="preserve">
@@ -814,8 +901,113 @@ spring:
             statuses: BAD_GATEWAY
 ----
+NOTE: The retry filter does not currently support retrying with a body (e.g. for POST or PUT requests with a body).
+
 NOTE: When using the retry filter with a `forward:` prefixed URL, the target endpoint should be written carefully so that in case of an error it does not do anything that could result in a response being sent to the client and committed. For example, if the target endpoint is an annotated controller, the target controller method should not return `ResponseEntity` with an error status code. Instead it should throw an `Exception`, or signal an error, e.g. via a `Mono.error(ex)` return value, which the retry filter can be configured to handle by retrying.
+=== RequestSize GatewayFilter Factory
+The RequestSize GatewayFilter Factory can restrict a request from reaching the downstream service , when the request size is greater than the permissible limit. The filter takes `RequestSize` as parameter which is the permissible size limit of the request defined in bytes.
+
…
+=== Default Filters
+
+If you would like to add a filter and apply it to all routes you can use `spring.cloud.gateway.default-filters`.
+This property takes a list of filters
+</t>
  </si>
  <si>
    <t xml:space="preserve">
NOTE: The retry filter does not currently support retrying with a body (e.g. for POST or PUT requests with a body).
NOTE: When using the retry filter with a `forward:` prefixed URL, the target endpoint should be written carefully so that in case of an error it does not do anything that could result in a response being sent to the client and committed. For example, if the target endpoint is an annotated controller, the target controller method should not return `ResponseEntity` with an error status code. Instead it should throw an `Exception`, or signal an error, e.g. via a `Mono.error(ex)` return value, which the retry filter can be configured to handle by retrying.
=== Default Filters
If you would like to add a filter and apply it to all routes you can use `spring.cloud.gateway.default-filters`.
This property takes a list of filters
…
=== RequestSize GatewayFilter Factory
The RequestSize GatewayFilter Factory can restrict a request from reaching the downstream service , when the request size is greater than the permissible limit. The filter takes `RequestSize` as parameter which is the permissible size limit of the request defined in bytes.</t>
  </si>
  <si>
    <t>https://github.com/JSQLParser/JSqlParser</t>
  </si>
  <si>
    <t>JSqlParser</t>
  </si>
  <si>
    <t>1211dcf1209f3a4dcf4d76bd1bae900c937f9f49</t>
  </si>
  <si>
    <t>12cc4059ddef291cf64dc10fe17094cda455f8df</t>
  </si>
  <si>
    <t>5dcefcefd07755a6f2c5caa2b4f14f87b8cf9785</t>
  </si>
  <si>
    <t>fb82763436e903129b3d4c186710fce5d3f40934</t>
  </si>
  <si>
    <t xml:space="preserve">
@@ -44,7 +44,9 @@ To help JSqlParsers development you are encouraged to provide
 Also I would like to know about needed examples or documentation stuff.
 ## Extensions in the latest SNAPSHOT version 0.9.8
-
+* support for simple expressions within case when
+* rewrite of SelectBody - production, reduce of needed lookaheads results in huge parser performance improvement
+  * please test it due to possible changes in the parse tree
 ## Extensions of JSqlParser releases</t>
  </si>
  <si>
    <t xml:space="preserve">
@@ -45,6 +45,7 @@ Also I would like to know about needed examples or documentation stuff.
 ## Extensions in the latest SNAPSHOT version 0.9.8
+* support **FOR UPDATE WAIT**
 ## Extensions of JSqlParser releases</t>
  </si>
  <si>
    <t xml:space="preserve">
## Extensions in the latest SNAPSHOT version 0.9.8
&lt;&lt;&lt;&lt;&lt;&lt;&lt; HEAD
* support for simple expressions within case when
* rewrite of SelectBody - production, reduce of needed lookaheads results in huge parser performance improvement
  * please test it due to possible changes in the parse tree
=======
* support **FOR UPDATE WAIT**
&gt;&gt;&gt;&gt;&gt;&gt;&gt; 5dcefcefd07755a6f2c5caa2b4f14f87b8cf9785</t>
  </si>
  <si>
    <t xml:space="preserve">
@@ -45,6 +45,10 @@ Also I would like to know about needed examples or documentation stuff.
 ## Extensions in the latest SNAPSHOT version 0.9.8
+* support **FOR UPDATE WAIT**
+* support for simple expressions within case when
+* rewrite of SelectBody - production, reduce of needed lookaheads results in huge parser performance improvement
+  * please test it due to possible changes in the parse tree
 ## Extensions of JSqlParser releases</t>
  </si>
  <si>
    <t>D I + I
Origin(D I vs. I)</t>
  </si>
  <si>
    <t>take both left and right plus additional change</t>
  </si>
  <si>
    <t xml:space="preserve">
## Extensions in the latest SNAPSHOT version 0.9.8
&lt;&lt;&lt;&lt;&lt;&lt;&lt; ../JSqlParser/1211dcf1209f3a4dcf4d76bd1bae900c937f9f49/left/README.md
* support for simple expressions within case when
* rewrite of SelectBody - production, reduce of needed lookaheads results in huge parser performance improvement
  * please test it due to possible changes in the parse tree
||||||| ../JSqlParser/1211dcf1209f3a4dcf4d76bd1bae900c937f9f49/base/README.md
=======
* support **FOR UPDATE WAIT**
&gt;&gt;&gt;&gt;&gt;&gt;&gt; ../JSqlParser/1211dcf1209f3a4dcf4d76bd1bae900c937f9f49/right/README.md</t>
  </si>
  <si>
    <t>https://github.com/h2oai/h2o-2</t>
  </si>
  <si>
    <t>h2o-2</t>
  </si>
  <si>
    <t>324cfbda89fa9a52bf6d49a75ff76c43d2bd9d60</t>
  </si>
  <si>
    <t>7516cf518f30c98d60be389e988d396cbe8dd763</t>
  </si>
  <si>
    <t>1a6a92dd14df5789e5f326ca4b7089d4b927db1a</t>
  </si>
  <si>
    <t>548b304804cbae000e47d97ad8995a5b25007843</t>
  </si>
  <si>
    <t>src/test/java/hex/DeepLearningProstateTest.java</t>
  </si>
  <si>
    <t xml:space="preserve">
@@ -147,6 +147,7 @@ public class DeepLearningProstateTest extends TestUtil {
                                       }
                                       model1 = UKV.get(dest_tmp);
+                                      Assert.assertTrue(p.train_samples_per_iteration &lt;= 0 || model1.epoch_counter &gt; epochs || Math.abs(model1.epoch_counter - epochs)/epochs &lt; 0.1);
                                       if (n_folds != 0)
                                       // test HTML of cv models
</t>
  </si>
  <si>
    <t xml:space="preserve">
@@ -147,6 +147,8 @@ public class DeepLearningProstateTest extends TestUtil {
                                       }
                                       model1 = UKV.get(dest_tmp);
+                                      assert( ((p.train_samples_per_iteration &lt;= 0 || p.train_samples_per_iteration &gt;= frame.numRows()) &amp;&amp; model1.epoch_counter &gt; epochs)
+                                              || Math.abs(model1.epoch_counter - epochs)/epochs &lt; 0.20 );
                                       if (n_folds != 0)
                                       // test HTML of cv models</t>
  </si>
  <si>
    <t xml:space="preserve">
                                      model1 = UKV.get(dest_tmp);
&lt;&lt;&lt;&lt;&lt;&lt;&lt; HEAD
                                      Assert.assertTrue(p.train_samples_per_iteration &lt;= 0 || model1.epoch_counter &gt; epochs || Math.abs(model1.epoch_counter - epochs)/epochs &lt; 0.1);
=======
                                      assert( ((p.train_samples_per_iteration &lt;= 0 || p.train_samples_per_iteration &gt;= frame.numRows()) &amp;&amp; model1.epoch_counter &gt; epochs)
                                              || Math.abs(model1.epoch_counter - epochs)/epochs &lt; 0.20 );
&gt;&gt;&gt;&gt;&gt;&gt;&gt; 1a6a92dd14df5789e5f326ca4b7089d4b927db1a</t>
  </si>
  <si>
    <t xml:space="preserve">
@@ -147,6 +147,8 @@ public class DeepLearningProstateTest extends TestUtil {
                                       }
                                       model1 = UKV.get(dest_tmp);
+                                      assert( ((p.train_samples_per_iteration &lt;= 0 || p.train_samples_per_iteration &gt;= frame.numRows()) &amp;&amp; model1.epoch_counter &gt; epochs)
+                                              || Math.abs(model1.epoch_counter - epochs)/epochs &lt; 0.20 );
 </t>
  </si>
  <si>
    <t xml:space="preserve">
&lt;&lt;&lt;&lt;&lt;&lt;&lt; .../FSTMerge/fstmerge_tmp1647885226892/fstmerge_var1_9045291799950815769
                                      Assert.assertTrue(p.train_samples_per_iteration &lt;= 0 || model1.epoch_counter &gt; epochs || Math.abs(model1.epoch_counter - epochs)/epochs &lt; 0.1);
=======
                                      assert( ((p.train_samples_per_iteration &lt;= 0 || p.train_samples_per_iteration &gt;= frame.numRows()) &amp;&amp; model1.epoch_counter &gt; epochs)
                                              || Math.abs(model1.epoch_counter - epochs)/epochs &lt; 0.20 );
&gt;&gt;&gt;&gt;&gt;&gt;&gt; .../FSTMerge/fstmerge_tmp1647885226892/fstmerge_var2_3624786226204255981
</t>
  </si>
  <si>
    <t xml:space="preserve">
&lt;&lt;&lt;&lt;&lt;&lt;&lt; .../left/src/test/java/hex/DeepLearningProstateTest.java
                                      Assert.assertTrue(p.train_samples_per_iteration &lt;= 0 || model1.epoch_counter &gt; epochs || Math.abs(model1.epoch_counter - epochs) / epochs &lt; 0.1);
=======
                                      assert (((p.train_samples_per_iteration &lt;= 0 || p.train_samples_per_iteration &gt;= frame.numRows()) &amp;&amp; model1.epoch_counter &gt; epochs) || Math.abs(model1.epoch_counter - epochs) / epochs &lt; 0.20);
&gt;&gt;&gt;&gt;&gt;&gt;&gt; .../right/src/test/java/hex/DeepLearningProstateTest.java
</t>
  </si>
  <si>
    <t xml:space="preserve">
&lt;&lt;&lt;&lt;&lt;&lt;&lt; ours
                                      Assert.assertTrue(p.train_samples_per_iteration &lt;= 0 || model1.epoch_counter &gt; epochs || Math.abs(model1.epoch_counter - epochs)/epochs &lt; 0.1);
=======
                                      assert( ((p.train_samples_per_iteration &lt;= 0 || p.train_samples_per_iteration &gt;= frame.numRows()) &amp;&amp; model1.epoch_counter &gt; epochs)
                                              || Math.abs(model1.epoch_counter - epochs)/epochs &lt; 0.20 );
&gt;&gt;&gt;&gt;&gt;&gt;&gt; theirs</t>
  </si>
  <si>
    <t xml:space="preserve">
                                      Assert.assertTrue(p.train_samples_per_iteration &lt;= 0 || model1.epoch_counter &gt; epochs || Math.abs(model1.epoch_counter - epochs) / epochs &lt; 0.1);
                                      assert (((p.train_samples_per_iteration &lt;= 0 || p.train_samples_per_iteration &gt;= frame.numRows()) &amp;&amp; model1.epoch_counter &gt; epochs) || Math.abs(model1.epoch_counter - epochs) / epochs &lt; 0.20);
</t>
  </si>
  <si>
    <t xml:space="preserve">
&lt;&lt;&lt;&lt;&lt;&lt;&lt; ../h2o-2/324cfbda89fa9a52bf6d49a75ff76c43d2bd9d60/left/src/test/java/hex/DeepLearningProstateTest.java
                                      Assert.assertTrue(p.train_samples_per_iteration &lt;= 0 || model1.epoch_counter &gt; epochs || Math.abs(model1.epoch_counter - epochs)/epochs &lt; 0.1);
||||||| ../h2o-2/324cfbda89fa9a52bf6d49a75ff76c43d2bd9d60/base/src/test/java/hex/DeepLearningProstateTest.java
=======
                                      assert( ((p.train_samples_per_iteration &lt;= 0 || p.train_samples_per_iteration &gt;= frame.numRows()) &amp;&amp; model1.epoch_counter &gt; epochs)
&gt;&gt;&gt;&gt;&gt;&gt;&gt; ../h2o-2/324cfbda89fa9a52bf6d49a75ff76c43d2bd9d60/right/src/test/java/hex/DeepLearningProstateTest.java</t>
  </si>
  <si>
    <t>https://github.com/jMonkeyEngine/jmonkeyengine</t>
  </si>
  <si>
    <t>jmonkeyengine</t>
  </si>
  <si>
    <t>41c40872037c042615e94c3e6662a9e564a6abd1</t>
  </si>
  <si>
    <t>415090e989d007647d7e426e4a1fce611e48ab20</t>
  </si>
  <si>
    <t>cc010862a98f02cf662895cc3ed6ec98017ea09a</t>
  </si>
  <si>
    <t>3cbb158b81a53190ba4074bc3ae0b6b5a0f515d1</t>
  </si>
  <si>
    <t>sdk/nbproject/project.properties</t>
  </si>
  <si>
    <t xml:space="preserve">
@@ -1,55 +1,22 @@
+#Wed, 18 Jun 2014 21:38:15 +0200
 app.icon=branding/core/core.jar/org/netbeans/core/startup/frame48.gif</t>
  </si>
  <si>
    <t xml:space="preserve">
@@ -1,3 +1,4 @@
+#Tue, 29 Apr 2014 15:43:20 +0200
 app.icon=branding/core/core.jar/org/netbeans/core/startup/frame48.gif</t>
  </si>
  <si>
    <t xml:space="preserve">
&lt;&lt;&lt;&lt;&lt;&lt;&lt; HEAD
#Wed, 18 Jun 2014 21:38:15 +0200
=======
#Tue, 29 Apr 2014 15:43:20 +0200
&gt;&gt;&gt;&gt;&gt;&gt;&gt; cc010862a98f02cf662895cc3ed6ec98017ea09a</t>
  </si>
  <si>
    <t>I vs. I (.properties)</t>
  </si>
  <si>
    <t xml:space="preserve">
#Wed, 18 Jun 2014 21:38:15 +0200
app.icon=branding/core/core.jar/org/netbeans/core/startup/frame48.gif</t>
  </si>
  <si>
    <t xml:space="preserve">
&lt;&lt;&lt;&lt;&lt;&lt;&lt; ../jmonkeyengine/41c40872037c042615e94c3e6662a9e564a6abd1/left/sdk/nbproject/project.properties
#Wed, 18 Jun 2014 21:38:15 +0200
||||||| ../jmonkeyengine/41c40872037c042615e94c3e6662a9e564a6abd1/base/sdk/nbproject/project.properties
=======
#Tue, 29 Apr 2014 15:43:20 +0200
&gt;&gt;&gt;&gt;&gt;&gt;&gt; ../jmonkeyengine/41c40872037c042615e94c3e6662a9e564a6abd1/right/sdk/nbproject/project.properties</t>
  </si>
  <si>
    <t>https://github.com/JCTools/JCTools</t>
  </si>
  <si>
    <t>JCTools</t>
  </si>
  <si>
    <t>e5feff2aafc4c8ce46179eb4d1b5bd518f8c6559</t>
  </si>
  <si>
    <t>a4455488352d5dd1dfd8eb72af82a128ceff30ce</t>
  </si>
  <si>
    <t>15e1f6a8629971693ed2fb217897d350848c5ff9</t>
  </si>
  <si>
    <t>4c7c9142f0a4fa93e0a6db6cb846509707d6aa52</t>
  </si>
  <si>
    <t>jctools-core/src/main/java/org/jctools/queues/atomic/SpscLinkedAtomicQueue.java</t>
  </si>
  <si>
    <t xml:space="preserve">
@@ -13,6 +13,8 @@
  */
 package org.jctools.queues.atomic;
+import org.jctools.queues.MessagePassingQueue;
+</t>
  </si>
  <si>
    <t xml:space="preserve">
@@ -13,29 +13,44 @@
  */
 package org.jctools.queues.atomic;
+import java.util.concurrent.atomic.AtomicReferenceFieldUpdater;
+import java.util.concurrent.atomic.AtomicLongFieldUpdater;
+import org.jctools.queues.MessagePassingQueue;
+import org.jctools.queues.MessagePassingQueue.Supplier;
+import org.jctools.queues.MessagePassingQueueUtil;
+import org.jctools.queues.QueueProgressIndicators;
+import org.jctools.queues.IndexedQueueSizeUtil;
+import static org.jctools.queues.atomic.LinkedAtomicArrayQueueUtil.*;
+import java.util.concurrent.atomic.AtomicReferenceArray;
import org.jctools.queues.MpmcArrayQueue;
/**
 * NOTE: This class was automatically generated by org.jctools.queues.atomic.JavaParsingAtomicLinkedQueueGenerator</t>
  </si>
  <si>
    <t xml:space="preserve">
&lt;&lt;&lt;&lt;&lt;&lt;&lt; HEAD
import org.jctools.queues.MessagePassingQueue;
=======
import java.util.concurrent.atomic.AtomicReferenceFieldUpdater;
import java.util.concurrent.atomic.AtomicLongFieldUpdater;
import org.jctools.queues.MessagePassingQueue;
import org.jctools.queues.MessagePassingQueue.Supplier;
import org.jctools.queues.MessagePassingQueueUtil;
import org.jctools.queues.QueueProgressIndicators;
import org.jctools.queues.IndexedQueueSizeUtil;
import static org.jctools.queues.atomic.LinkedAtomicArrayQueueUtil.*;
import java.util.concurrent.atomic.AtomicReferenceArray;
import org.jctools.queues.MpmcArrayQueue;
&gt;&gt;&gt;&gt;&gt;&gt;&gt; 15e1f6a8629971693ed2fb217897d350848c5ff9</t>
  </si>
  <si>
    <t xml:space="preserve">
@@ -13,29 +13,44 @@
  */
 package org.jctools.queues.atomic;
+import java.util.concurrent.atomic.AtomicReferenceFieldUpdater;
+import java.util.concurrent.atomic.AtomicLongFieldUpdater;
+import org.jctools.queues.MessagePassingQueue;
+import org.jctools.queues.MessagePassingQueue.Supplier;
+import org.jctools.queues.MessagePassingQueueUtil;
+import org.jctools.queues.QueueProgressIndicators;
+import org.jctools.queues.IndexedQueueSizeUtil;
+import static org.jctools.queues.atomic.LinkedAtomicArrayQueueUtil.*;
+import java.util.concurrent.atomic.AtomicReferenceArray;
+import org.jctools.queues.MpmcArrayQueue;
+</t>
  </si>
  <si>
    <t>I vs. I (import, R includes L)</t>
  </si>
  <si>
    <t xml:space="preserve">
package org.jctools.queues.atomic; 
import java.util.concurrent.atomic.AtomicReferenceFieldUpdater; 
import java.util.concurrent.atomic.AtomicLongFieldUpdater; 
import org.jctools.queues.MessagePassingQueue; 
import org.jctools.queues.MessagePassingQueue.Supplier; 
import org.jctools.queues.MessagePassingQueueUtil; 
import org.jctools.queues.QueueProgressIndicators; 
import org.jctools.queues.IndexedQueueSizeUtil; 
import static org.jctools.queues.atomic.LinkedAtomicArrayQueueUtil.*; 
import java.util.concurrent.atomic.AtomicReferenceArray; 
import org.jctools.queues.MpmcArrayQueue; </t>
  </si>
  <si>
    <t xml:space="preserve">
package org.jctools.queues.atomic;
import java.util.concurrent.atomic.AtomicReferenceFieldUpdater;
import java.util.concurrent.atomic.AtomicLongFieldUpdater;
import org.jctools.queues.MessagePassingQueue;
import org.jctools.queues.MessagePassingQueue.Supplier;
import org.jctools.queues.MessagePassingQueueUtil;
import org.jctools.queues.QueueProgressIndicators;
import org.jctools.queues.IndexedQueueSizeUtil;
import static org.jctools.queues.atomic.LinkedAtomicArrayQueueUtil.*;
import java.util.concurrent.atomic.AtomicReferenceArray;
import org.jctools.queues.MpmcArrayQueue;</t>
  </si>
  <si>
    <t>keep right and remove empty lines</t>
  </si>
  <si>
    <t xml:space="preserve">
package org.jctools.queues.atomic;
import java.util.concurrent.atomic.AtomicReferenceFieldUpdater;
import java.util.concurrent.atomic.AtomicLongFieldUpdater;
import org.jctools.queues.MessagePassingQueue;
import org.jctools.queues.MessagePassingQueue.Supplier;
import org.jctools.queues.MessagePassingQueueUtil;
import org.jctools.queues.QueueProgressIndicators;
import org.jctools.queues.IndexedQueueSizeUtil;
import static org.jctools.queues.atomic.LinkedAtomicArrayQueueUtil.*;
import java.util.concurrent.atomic.AtomicReferenceArray;
import org.jctools.queues.MpmcArrayQueue;
/**
 * NOTE: This class was automatically generated by org.jctools.queues.atomic.JavaParsingAtomicLinkedQueueGenerator</t>
  </si>
  <si>
    <t xml:space="preserve">
&lt;&lt;&lt;&lt;&lt;&lt;&lt; ../JCTools/e5feff2aafc4c8ce46179eb4d1b5bd518f8c6559/left/jctools-core/src/main/java/org/jctools/queues/atomic/SpscLinkedAtomicQueue.java
import org.jctools.queues.MessagePassingQueue;
||||||| ../JCTools/e5feff2aafc4c8ce46179eb4d1b5bd518f8c6559/base/jctools-core/src/main/java/org/jctools/queues/atomic/SpscLinkedAtomicQueue.java
=======
import java.util.concurrent.atomic.AtomicReferenceFieldUpdater;
import java.util.concurrent.atomic.AtomicLongFieldUpdater;
&gt;&gt;&gt;&gt;&gt;&gt;&gt; ../JCTools/e5feff2aafc4c8ce46179eb4d1b5bd518f8c6559/right/jctools-core/src/main/java/org/jctools/queues/atomic/SpscLinkedAtomicQueue.java</t>
  </si>
  <si>
    <t>https://github.com/socketio/socket.io-client-java</t>
  </si>
  <si>
    <t>socket.io-client-java</t>
  </si>
  <si>
    <t>6e5fab39def5012e84a46e7de02b8ebe7bf4048d</t>
  </si>
  <si>
    <t>ad4449bfeeb2a3e7dd60db2301bf4691d0841cb7</t>
  </si>
  <si>
    <t>9b5c68434933b7fbcd9a28bf0af85a26f702a34d</t>
  </si>
  <si>
    <t>14c7877fa26725017c1ed03c32018c1a575279d9</t>
  </si>
  <si>
    <t>src/main/java/io/socket/parser/Parser.java</t>
  </si>
  <si>
    <t xml:space="preserve">
@@ -64,70 +63,9 @@ public class Parser {
         "BINARY_ACK"
     };
+    public static interface Encoder {
-    private Parser() {}
-
-    private static Packet&lt;String&gt; error() {
-        return new Packet&lt;String&gt;(ERROR, "parser error");
-    }
-
-
-    public static class Encoder {
-
-        public Encoder() {}
-
-        public void encode(Packet obj, Callback callback) {
-            logger.fine(String.format("encoding packet %s", obj));
-
-            if (BINARY_EVENT == obj.type || BINARY_ACK == obj.type) {
-                encodeAsBinary(obj, callback);
-            } else {
-                String encoding = encodeAsString(obj);
-                callback.call(new String[] {encoding});
-            }
-        }
-
-        private String encodeAsString(Packet obj) {
-            StringBuilder str = new StringBuilder();
-            boolean nsp = false;
-
-            str.append(obj.type);
-
-            if (BINARY_EVENT == obj.type || BINARY_ACK == obj.type) {
-                str.append(obj.attachments);
-                str.append("-");
-            }
-
-            if (obj.nsp != null &amp;&amp; obj.nsp.length() != 0 &amp;&amp; !"/".equals(obj.nsp)) {
-                nsp = true;
-                str.append(obj.nsp);
-            }
-
-            if (obj.id &gt;= 0) {
-                if (nsp) {
-                    str.append(",");
-                    nsp = false;
-                }
-                str.append(obj.id);
-            }
-
-            if (obj.data != null) {
-                if (nsp) str.append(",");
-                str.append(obj.data);
-            }
-
-            logger.fine(String.format("encoded %s as %s", obj, str));
-            return str.toString();
-        }
-
-        private void encodeAsBinary(Packet obj, Callback callback) {
-            Binary.DeconstructedPacket deconstruction = Binary.deconstructPacket(obj);
-            String pack = encodeAsString(deconstruction.packet);
-            List&lt;Object&gt; buffers = new ArrayList&lt;Object&gt;(Arrays.asList(deconstruction.buffers));
-
-            buffers.add(0, pack);
-            callback.call(buffers.toArray());
-        }
+        public void encode(Packet obj, Callback callback);
         public interface Callback {</t>
  </si>
  <si>
    <t>public class Parser {
         public Encoder() {}
         public void encode(Packet obj, Callback callback) {
-            logger.fine(String.format("encoding packet %s", obj));
+            if (logger.isLoggable(Level.FINE)) {
+                logger.fine(String.format("encoding packet %s", obj));
+            }
             if (BINARY_EVENT == obj.type || BINARY_ACK == obj.type) {
                 encodeAsBinary(obj, callback);
@@ -116,7 +118,9 @@ public class Parser {
                 str.append(obj.data);
             }
-            logger.fine(String.format("encoded %s as %s", obj, str));
+            if (logger.isLoggable(Level.FINE)) {
+                logger.fine(String.format("encoded %s as %s", obj, str));
+            }
             return str.toString();
         }</t>
  </si>
  <si>
    <t xml:space="preserve">
&lt;&lt;&lt;&lt;&lt;&lt;&lt; HEAD
        public void encode(Packet obj, Callback callback);
=======
    private Parser() {}
    private static Packet&lt;String&gt; error() {
        return new Packet&lt;String&gt;(ERROR, "parser error");
    }
    public static class Encoder {
        public Encoder() {}
        public void encode(Packet obj, Callback callback) {
            if (logger.isLoggable(Level.FINE)) {
                logger.fine(String.format("encoding packet %s", obj));
            }
            if (BINARY_EVENT == obj.type || BINARY_ACK == obj.type) {
                encodeAsBinary(obj, callback);
            } else {
                String encoding = encodeAsString(obj);
                callback.call(new String[] {encoding});
            }
        }
        private String encodeAsString(Packet obj) {
            StringBuilder str = new StringBuilder();
            boolean nsp = false;
            str.append(obj.type);
            if (BINARY_EVENT == obj.type || BINARY_ACK == obj.type) {
                str.append(obj.attachments);
                str.append("-");
            }
            if (obj.nsp != null &amp;&amp; obj.nsp.length() != 0 &amp;&amp; !"/".equals(obj.nsp)) {
                nsp = true;
                str.append(obj.nsp);
            }
            if (obj.id &gt;= 0) {
                if (nsp) {
                    str.append(",");
                    nsp = false;
                }
                str.append(obj.id);
            }
            if (obj.data != null) {
                if (nsp) str.append(",");
                str.append(obj.data);
            }
            if (logger.isLoggable(Level.FINE)) {
                logger.fine(String.format("encoded %s as %s", obj, str));
            }
            return str.toString();
        }
        private void encodeAsBinary(Packet obj, Callback callback) {
            Binary.DeconstructedPacket deconstruction = Binary.deconstructPacket(obj);
            String pack = encodeAsString(deconstruction.packet);
            List&lt;Object&gt; buffers = new ArrayList&lt;Object&gt;(Arrays.asList(deconstruction.buffers));
            buffers.add(0, pack);
            callback.call(buffers.toArray());
        }
&gt;&gt;&gt;&gt;&gt;&gt;&gt; 9b5c68434933b7fbcd9a28bf0af85a26f702a34d</t>
  </si>
  <si>
    <t xml:space="preserve">
@@ -64,70 +52,9 @@ public class Parser {
         "BINARY_ACK"
     };
+    public static interface Encoder {
-    private Parser() {}
-
-    private static Packet&lt;String&gt; error() {
-        return new Packet&lt;String&gt;(ERROR, "parser error");
-    }
-
-
-    public static class Encoder {
-
-        public Encoder() {}
-
-        public void encode(Packet obj, Callback callback) {
-            logger.fine(String.format("encoding packet %s", obj));
-
-            if (BINARY_EVENT == obj.type || BINARY_ACK == obj.type) {
-                encodeAsBinary(obj, callback);
-            } else {
-                String encoding = encodeAsString(obj);
-                callback.call(new String[] {encoding});
-            }
-        }
-
-        private String encodeAsString(Packet obj) {
-            StringBuilder str = new StringBuilder();
-            boolean nsp = false;
-
-            str.append(obj.type);
-
-            if (BINARY_EVENT == obj.type || BINARY_ACK == obj.type) {
-                str.append(obj.attachments);
-                str.append("-");
-            }
-
-            if (obj.nsp != null &amp;&amp; obj.nsp.length() != 0 &amp;&amp; !"/".equals(obj.nsp)) {
-                nsp = true;
-                str.append(obj.nsp);
-            }
-
-            if (obj.id &gt;= 0) {
-                if (nsp) {
-                    str.append(",");
-                    nsp = false;
-                }
-                str.append(obj.id);
-            }
-
-            if (obj.data != null) {
-                if (nsp) str.append(",");
-                str.append(obj.data);
-            }
-
-            logger.fine(String.format("encoded %s as %s", obj, str));
-            return str.toString();
-        }
-
-        private void encodeAsBinary(Packet obj, Callback callback) {
-            Binary.DeconstructedPacket deconstruction = Binary.deconstructPacket(obj);
-            String pack = encodeAsString(deconstruction.packet);
-            List&lt;Object&gt; buffers = new ArrayList&lt;Object&gt;(Arrays.asList(deconstruction.buffers));
-
-            buffers.add(0, pack);
-            callback.call(buffers.toArray());
-        }
+        public void encode(Packet obj, Callback callback);
         public interface Callback {
 </t>
  </si>
  <si>
    <t xml:space="preserve">
&lt;&lt;&lt;&lt;&lt;&lt;&lt; /home/ppp/Research_Projects/Merge_Conflicts/Resource/Paper/bowen-icsme-2023-data/ConflictBench/20_Conflicts/workspace/left/src/main/java/io/socket/parser/Parser.java
public interface Parser {
  /**
     * Packet type `connect`.
     */
  public static final int CONNECT = 0;
  /**
     * Packet type `disconnect`.
     */
  public static final int DISCONNECT = 1;
  /**
     * Packet type `event`.
     */
  public static final int EVENT = 2;
  /**
     * Packet type `ack`.
     */
  public static final int ACK = 3;
  /**
     * Packet type `error`.
     */
  public static final int ERROR = 4;
  /**
     * Packet type `binary event`.
     */
  public static final int BINARY_EVENT = 5;
  /**
     * Packet type `binary ack`.
     */
  public static final int BINARY_ACK = 6;
  public static int protocol = 4;
  /**
     * Packet types.
     */
  public static String[] types = new String[] { "CONNECT", "DISCONNECT", "EVENT", "ACK", "ERROR", "BINARY_EVENT", "BINARY_ACK" };
  public static interface Encoder {
    public void encode(Packet obj, Callback callback);
    public interface Callback {
      public void call(Object[] data);
    }
  }
  public static interface Decoder {
    public void add(String obj);
    public void add(byte[] obj);
    public void destroy();
    public void onDecoded(Callback callback);
    public interface Callback {
      public void call(Packet packet);
    }
  }
}
=======
public class Parser {
  private static final Logger logger = Logger.getLogger(Parser.class.getName());
  /**
     * Packet type `connect`.
     */
  public static final int CONNECT = 0;
  /**
     * Packet type `disconnect`.
     */
  public static final int DISCONNECT = 1;
  /**
     * Packet type `event`.
     */
  public static final int EVENT = 2;
  /**
     * Packet type `ack`.
     */
  public static final int ACK = 3;
  /**
     * Packet type `error`.
     */
  public static final int ERROR = 4;
  /**
     * Packet type `binary event`.
     */
  public static final int BINARY_EVENT = 5;
  /**
     * Packet type `binary ack`.
     */
  public static final int BINARY_ACK = 6;
  public static int protocol = 4;
  /**
     * Packet types.
     */
  public static String[] types = new String[] { "CONNECT", "DISCONNECT", "EVENT", "ACK", "ERROR", "BINARY_EVENT", "BINARY_ACK" };
  private Parser() {
  }
  private static Packet&lt;String&gt; error() {
    return new Packet&lt;String&gt;(ERROR, "parser error");
  }
  public static class Encoder {
    public Encoder() {
    }
    public void encode(Packet obj, Callback callback) {
      if (logger.isLoggable(Level.FINE)) {
        logger.fine(String.format("encoding packet %s", obj));
      }
      if (BINARY_EVENT == obj.type || BINARY_ACK == obj.type) {
        encodeAsBinary(obj, callback);
      } else {
        String encoding = encodeAsString(obj);
        callback.call(new String[] { encoding });
      }
    }
    private String encodeAsString(Packet obj) {
      StringBuilder str = new StringBuilder();
      boolean nsp = false;
      str.append(obj.type);
      if (BINARY_EVENT == obj.type || BINARY_ACK == obj.type) {
        str.append(obj.attachments);
        str.append("-");
      }
      if (obj.nsp != null &amp;&amp; obj.nsp.length() != 0 &amp;&amp; !"/".equals(obj.nsp)) {
        nsp = true;
        str.append(obj.nsp);
      }
      if (obj.id &gt;= 0) {
        if (nsp) {
          str.append(",");
          nsp = false;
        }
        str.append(obj.id);
      }
      if (obj.data != null) {
        if (nsp) {
          str.append(",");
        }
        str.append(obj.data);
      }
      if (logger.isLoggable(Level.FINE)) {
        logger.fine(String.format("encoded %s as %s", obj, str));
      }
      return str.toString();
    }
    private void encodeAsBinary(Packet obj, Callback callback) {
      Binary.DeconstructedPacket deconstruction = Binary.deconstructPacket(obj);
      String pack = encodeAsString(deconstruction.packet);
      List&lt;Object&gt; buffers = new ArrayList&lt;Object&gt;(Arrays.asList(deconstruction.buffers));
      buffers.add(0, pack);
      callback.call(buffers.toArray());
    }
    public interface Callback {
      public void call(Object[] data);
    }
  }
  public static class Decoder extends Emitter {
    public static String EVENT_DECODED = "decoded";
    BinaryReconstructor reconstructor;
    public Decoder() {
      this.reconstructor = null;
    }
    public void add(String obj) {
      Packet packet = decodeString(obj);
      if (BINARY_EVENT == packet.type || BINARY_ACK == packet.type) {
        this.reconstructor = new BinaryReconstructor(packet);
        if (this.reconstructor.reconPack.attachments == 0) {
          this.emit(EVENT_DECODED, packet);
        }
      } else {
        this.emit(EVENT_DECODED, packet);
      }
    }
    public void add(byte[] obj) {
      if (this.reconstructor == null) {
        throw new RuntimeException("got binary data when not reconstructing a packet");
      } else {
        Packet packet = this.reconstructor.takeBinaryData(obj);
        if (packet != null) {
          this.reconstructor = null;
          this.emit(EVENT_DECODED, packet);
        }
      }
    }
    private static Packet decodeString(String str) {
      Packet&lt;Object&gt; p = new Packet&lt;Object&gt;();
      int i = 0;
      int length = str.length();
      p.type = Character.getNumericValue(str.charAt(0));
      if (p.type &lt; 0 || p.type &gt; types.length - 1) {
        return error();
      }
      if (BINARY_EVENT == p.type || BINARY_ACK == p.type) {
        if (!str.contains("-") || length &lt;= i + 1) {
          return error();
        }
        StringBuilder attachments = new StringBuilder();
        while (str.charAt(++i) != '-') {
          attachments.append(str.charAt(i));
        }
        p.attachments = Integer.parseInt(attachments.toString());
      }
      if (length &gt; i + 1 &amp;&amp; '/' == str.charAt(i + 1)) {
        StringBuilder nsp = new StringBuilder();
        while (true) {
          ++i;
          char c = str.charAt(i);
          if (',' == c) {
            break;
          }
          nsp.append(c);
          if (i + 1 == length) {
            break;
          }
        }
        p.nsp = nsp.toString();
      } else {
        p.nsp = "/";
      }
      if (length &gt; i + 1) {
        Character next = str.charAt(i + 1);
        if (Character.getNumericValue(next) &gt; -1) {
          StringBuilder id = new StringBuilder();
          while (true) {
            ++i;
            char c = str.charAt(i);
            if (Character.getNumericValue(c) &lt; 0) {
              --i;
              break;
            }
            id.append(c);
            if (i + 1 == length) {
              break;
            }
          }
          try {
            p.id = Integer.parseInt(id.toString());
          } catch (NumberFormatException e) {
            return error();
          }
        }
      }
      if (length &gt; i + 1) {
        try {
          str.charAt(++i);
          p.data = new JSONTokener(str.substring(i)).nextValue();
        } catch (JSONException e) {
          logger.log(Level.WARNING, "An error occured while retrieving data from JSONTokener", e);
          return error();
        }
      }
      if (logger.isLoggable(Level.FINE)) {
        logger.fine(String.format("decoded %s as %s", str, p));
      }
      return p;
    }
    public void destroy() {
      if (this.reconstructor != null) {
        this.reconstructor.finishReconstruction();
      }
    }
  }
  static class BinaryReconstructor {
    public Packet reconPack;
    List&lt;byte[]&gt; buffers;
    BinaryReconstructor(Packet packet) {
      this.reconPack = packet;
      this.buffers = new ArrayList&lt;byte[]&gt;();
    }
    public Packet takeBinaryData(byte[] binData) {
      this.buffers.add(binData);
      if (this.buffers.size() == this.reconPack.attachments) {
        Packet packet = Binary.reconstructPacket(this.reconPack, this.buffers.toArray(new byte[this.buffers.size()][]));
        this.finishReconstruction();
        return packet;
      }
      return null;
    }
    public void finishReconstruction() {
      this.reconPack = null;
      this.buffers = new ArrayList&lt;byte[]&gt;();
    }
  }
}
&gt;&gt;&gt;&gt;&gt;&gt;&gt; /home/ppp/Research_Projects/Merge_Conflicts/Resource/Paper/bowen-icsme-2023-data/ConflictBench/20_Conflicts/workspace/right/src/main/java/io/socket/parser/Parser.java</t>
  </si>
  <si>
    <t xml:space="preserve">
    public static interface Encoder {
        public void encode(Packet obj, Callback callback);
        public interface Callback {
            public void call(Object[] data);
        }
    }
    public static interface Decoder {
        public void add(String obj);
        public void add(byte[] obj);
        public void destroy();
        public void onDecoded(Callback callback);
        public interface Callback {
            public void call(Packet packet);
        }
    }
}
</t>
  </si>
  <si>
    <t xml:space="preserve">
    public static interface Encoder {
&lt;&lt;&lt;&lt;&lt;&lt;&lt; ../left/src/main/java/io/socket/parser/Parser.java
        public void encode(Packet obj, Callback callback);
||||||| ../base/src/main/java/io/socket/parser/Parser.java
    private Parser() {}
    private static Packet&lt;String&gt; error() {
        return new Packet&lt;String&gt;(ERROR, "parser error");
    }
    public static class Encoder {
        public Encoder() {}
        public void encode(Packet obj, Callback callback) {
            logger.fine(String.format("encoding packet %s", obj));
            if (BINARY_EVENT == obj.type || BINARY_ACK == obj.type) {
                encodeAsBinary(obj, callback);
            } else {
                String encoding = encodeAsString(obj);
                callback.call(new String[] {encoding});
            }
        }
        private String encodeAsString(Packet obj) {
            StringBuilder str = new StringBuilder();
            boolean nsp = false;
            str.append(obj.type);
            if (BINARY_EVENT == obj.type || BINARY_ACK == obj.type) {
                str.append(obj.attachments);
                str.append("-");
            }
            if (obj.nsp != null &amp;&amp; obj.nsp.length() != 0 &amp;&amp; !"/".equals(obj.nsp)) {
                nsp = true;
                str.append(obj.nsp);
            }
            if (obj.id &gt;= 0) {
                if (nsp) {
                    str.append(",");
                    nsp = false;
                }
                str.append(obj.id);
            }
            if (obj.data != null) {
                if (nsp) str.append(",");
                str.append(obj.data);
            }
            logger.fine(String.format("encoded %s as %s", obj, str));
            return str.toString();
        }
        private void encodeAsBinary(Packet obj, Callback callback) {
            Binary.DeconstructedPacket deconstruction = Binary.deconstructPacket(obj);
            String pack = encodeAsString(deconstruction.packet);
            List&lt;Object&gt; buffers = new ArrayList&lt;Object&gt;(Arrays.asList(deconstruction.buffers));
            buffers.add(0, pack);
            callback.call(buffers.toArray());
        }
=======
    private Parser() {}
    private static Packet&lt;String&gt; error() {
        return new Packet&lt;String&gt;(ERROR, "parser error");
    }
    public static class Encoder {
        public Encoder() {}
        public void encode(Packet obj, Callback callback) {
            if (logger.isLoggable(Level.FINE)) {
                logger.fine(String.format("encoding packet %s", obj));
            }
            if (BINARY_EVENT == obj.type || BINARY_ACK == obj.type) {
                encodeAsBinary(obj, callback);
            } else {
                String encoding = encodeAsString(obj);
                callback.call(new String[] {encoding});
            }
        }
        private String encodeAsString(Packet obj) {
            StringBuilder str = new StringBuilder();
            boolean nsp = false;
            str.append(obj.type);
            if (BINARY_EVENT == obj.type || BINARY_ACK == obj.type) {
                str.append(obj.attachments);
                str.append("-");
            }
            if (obj.nsp != null &amp;&amp; obj.nsp.length() != 0 &amp;&amp; !"/".equals(obj.nsp)) {
                nsp = true;
                str.append(obj.nsp);
            }
            if (obj.id &gt;= 0) {
                if (nsp) {
                    str.append(",");
                    nsp = false;
                }
                str.append(obj.id);
            }
            if (obj.data != null) {
                if (nsp) str.append(",");
                str.append(obj.data);
            }
            if (logger.isLoggable(Level.FINE)) {
                logger.fine(String.format("encoded %s as %s", obj, str));
            }
            return str.toString();
        }
        private void encodeAsBinary(Packet obj, Callback callback) {
            Binary.DeconstructedPacket deconstruction = Binary.deconstructPacket(obj);
            String pack = encodeAsString(deconstruction.packet);
            List&lt;Object&gt; buffers = new ArrayList&lt;Object&gt;(Arrays.asList(deconstruction.buffers));
            buffers.add(0, pack);
            callback.call(buffers.toArray());
        }
&gt;&gt;&gt;&gt;&gt;&gt;&gt; ../right/src/main/java/io/socket/parser/Parser.java</t>
  </si>
  <si>
    <t>https://github.com/RobotiumTech/robotium</t>
  </si>
  <si>
    <t>robotium</t>
  </si>
  <si>
    <t>827ba69e67f6f8c98cec2f166ea1c60acd63f15e</t>
  </si>
  <si>
    <t>c54d0e1e0a99db03eeee34d311d10fbfc971936a</t>
  </si>
  <si>
    <t>4df4cf8c0ded357fc2ac4dc81625fe0f851643f0</t>
  </si>
  <si>
    <t>f8f711bbe3938338a5a71469d4b39acbe0f725fc</t>
  </si>
  <si>
    <t>robotium-solo/src/main/java/com/jayway/android/robotium/solo/Solo.java</t>
  </si>
  <si>
    <t xml:space="preserve">
@@ -2544,6 +2584,10 @@ public class Solo {
                 screenshotTaker.stopScreenshotSequence();
         }
+   public void fail(String name, Object e) {
+      Assert.assertTrue(name+" "+e, false);
+   }
+
         /**
          * Extract and wrap the all OpenGL ES Renderer.
          */</t>
  </si>
  <si>
    <t xml:space="preserve">
@@ -2544,43 +2586,6 @@ public class Solo {
                 screenshotTaker.stopScreenshotSequence();
         }
-        /**
-         * Extract and wrap the all OpenGL ES Renderer.
-         */
-        private void wrapAllGLViews(View decorView) {
-                ArrayList&lt;GLSurfaceView&gt; currentViews = viewFetcher.getCurrentViews(GLSurfaceView.class, decorView);
-                final CountDownLatch latch = new CountDownLatch(currentViews.size());
-
-                for (GLSurfaceView glView : currentViews) {
-                        Object renderContainer = new Reflect(glView).field("mGLThread")
-                                        .type(GLSurfaceView.class).out(Object.class);
-
-                        Renderer renderer = new Reflect(renderContainer).field("mRenderer").out(Renderer.class);
-
-                        if (renderer == null) {
-                                renderer = new Reflect(glView).field("mRenderer").out(Renderer.class);
-                                renderContainer = glView;
-                        }  
-                        if (renderer == null) {
-                                latch.countDown();
-                                continue;
-                        }
-                        if (renderer instanceof GLRenderWrapper) {
-                                GLRenderWrapper wrapper = (GLRenderWrapper) renderer;
-                                wrapper.setTakeScreenshot();
-                                wrapper.setLatch(latch);
-                        } else {
-                                GLRenderWrapper wrapper = new GLRenderWrapper(glView, renderer, latch);
-                                new Reflect(renderContainer).field("mRenderer").in(wrapper);
-                        }
-                }
-
-                try {
-                        latch.await();
-                } catch (InterruptedException ex) {
-                        ex.printStackTrace();
-                }
-        }
         </t>
  </si>
  <si>
    <t xml:space="preserve">
        public void stopScreenshotSequence() {
                screenshotTaker.stopScreenshotSequence();
        }
&lt;&lt;&lt;&lt;&lt;&lt;&lt; HEAD
   public void fail(String name, Object e) {
      Assert.assertTrue(name+" "+e, false);
   }
        /**
         * Extract and wrap the all OpenGL ES Renderer.
         */
        private void wrapAllGLViews(View decorView) {
                ArrayList&lt;GLSurfaceView&gt; currentViews = viewFetcher.getCurrentViews(GLSurfaceView.class, decorView);
                final CountDownLatch latch = new CountDownLatch(currentViews.size());
                for (GLSurfaceView glView : currentViews) {
                        Object renderContainer = new Reflect(glView).field("mGLThread")
                                        .type(GLSurfaceView.class).out(Object.class);
                        Renderer renderer = new Reflect(renderContainer).field("mRenderer").out(Renderer.class);
                        if (renderer == null) {
                                renderer = new Reflect(glView).field("mRenderer").out(Renderer.class);
                                renderContainer = glView;
                        }  
                        if (renderer == null) {
                                latch.countDown();
                                continue;
                        }
                        if (renderer instanceof GLRenderWrapper) {
                                GLRenderWrapper wrapper = (GLRenderWrapper) renderer;
                                wrapper.setTakeScreenshot();
                                wrapper.setLatch(latch);
                        } else {
                                GLRenderWrapper wrapper = new GLRenderWrapper(glView, renderer, latch);
                                new Reflect(renderContainer).field("mRenderer").in(wrapper);
                        }
                }
                try {
                        latch.await();
                } catch (InterruptedException ex) {
                        ex.printStackTrace();
                }
        }
=======
&gt;&gt;&gt;&gt;&gt;&gt;&gt; 4df4cf8c0ded357fc2ac4dc81625fe0f851643f0</t>
  </si>
  <si>
    <t xml:space="preserve">
@@ -2544,6 +2626,10 @@ public class Solo {
                 screenshotTaker.stopScreenshotSequence();
         }
+   public void fail(String name, Object e) {
+      Assert.assertTrue(name+" "+e, false);
+   }
+
         /**
          * Extract and wrap the all OpenGL ES Renderer.
          */</t>
  </si>
  <si>
    <t xml:space="preserve">
	public void stopScreenshotSequence() {
		screenshotTaker.stopScreenshotSequence();
	}
	/**
	 * Initialize timeout using 'adb shell setprop' or use setLargeTimeout() and setSmallTimeout(). Will fall back to default hard coded values.
	 * 
	 */
	static {
		Timeout.setLargeTimeout(initializeTimeout("solo_large_timeout", 20000));
		Timeout.setSmallTimeout(initializeTimeout("solo_small_timeout", 10000));
	}
…
   public void fail(String name, Object e) {
      Assert.assertTrue(name+" "+e, false);
   }
        /**
         * Initialize timeout using 'adb shell setprop' or use setLargeTimeout() and setSmallTimeout(). Will fall back to default hard coded values.
         * 
         */
        static {
                Timeout.setLargeTimeout(initializeTimeout("solo_large_timeout", 20000));
                Timeout.setSmallTimeout(initializeTimeout("solo_small_timeout", 10000));
        }</t>
  </si>
  <si>
    <t>accept both sides but change order</t>
  </si>
  <si>
    <t xml:space="preserve">
  public void stopScreenshotSequence() {
    screenshotTaker.stopScreenshotSequence();
  }
  public void fail(String name, Object e) {
    Assert.assertTrue(name + " " + e, false);
  }</t>
  </si>
  <si>
    <t xml:space="preserve">
 public void stopScreenshotSequence() {
                screenshotTaker.stopScreenshotSequence();
        }
   public void fail(String name, Object e) {
      Assert.assertTrue(name+" "+e, false);
   }
   </t>
  </si>
  <si>
    <t xml:space="preserve">
        public void stopScreenshotSequence() {
                screenshotTaker.stopScreenshotSequence();
        }
   public void fail(String name, Object e) {
      Assert.assertTrue(name+" "+e, false);
   }</t>
  </si>
  <si>
    <t>c624c040b74dbd0e0431ec566f860c8753dda2a6</t>
  </si>
  <si>
    <t>bae19877044a7c57f185a2a6aec81fe48efaeb7a</t>
  </si>
  <si>
    <t>b792e3695df51e0e8a490658b453fd81a9c85227</t>
  </si>
  <si>
    <t>7314dbee73e247dbf36d6723660fc0db7cb0d864</t>
  </si>
  <si>
    <t>broker/pom.xml</t>
  </si>
  <si>
    <t xml:space="preserve">
@@ -176,45 +178,38 @@
                 &lt;/configuration&gt;
             &lt;/plugin&gt;
-&lt;!--            &lt;plugin&gt;
-                &lt;groupId&gt;org.apache.felix&lt;/groupId&gt;
-                &lt;artifactId&gt;maven-bundle-plugin&lt;/artifactId&gt;
-                &lt;version&gt;2.1.0&lt;/version&gt;
-                &lt;extensions&gt;true&lt;/extensions&gt;
-                &lt;configuration&gt;
-                    &lt;instructions&gt;
-                        &lt;Export-Package&gt;org.dna.mqtt.commons, 
-                            org.apache.commons.logging,
-                            org.dna.mqtt.moquette.messaging.spi.impl.storage,
-                            org.dna.mqtt.moquette.messaging.spi.impl.subscriptions,
-                            org.dna.mqtt.moquette.proto.messages,
-                            org.dna.mqtt.moquette.server.netty.metrics
-                        &lt;/Export-Package&gt;
-                        &lt;Private-Package&gt;org.dna.mqtt.moquette.bundle,
-                            ${project.groupId}.*,
-                            com.lmax.*
-                        &lt;/Private-Package&gt;
-                        &lt;Import-Package&gt;*&lt;/Import-Package&gt;
-                        &lt;Bundle-Activator&gt;${project.groupId}.moquette.bundle.Activator&lt;/Bundle-Activator&gt;
-                    &lt;/instructions&gt;
-                &lt;/configuration&gt;
-            &lt;/plugin&gt;
             &lt;plugin&gt;
-                 Pax Runner Maven plugin 
-                &lt;groupId&gt;org.ops4j&lt;/groupId&gt;
-                &lt;artifactId&gt;maven-pax-plugin&lt;/artifactId&gt;
-                &lt;version&gt;1.4&lt;/version&gt;
-                &lt;configuration&gt;
-                     Pax Runner version 
-                    &lt;runner&gt;1.4.0&lt;/runner&gt;
-                     OSGi framework type (equinox, felix, knopflerfish) 
-                    &lt;framework&gt;equinox&lt;/framework&gt;
-                    &lt;provision&gt;
-                                                &lt;param&gt; - -log=debug&lt;/param&gt;  
-                        &lt;param&gt; - -workingDirectory=target/runner&lt;/param&gt;  
-                    &lt;/provision&gt;
-                &lt;/configuration&gt;
-            &lt;/plugin&gt;--&gt;
+                                &lt;groupId&gt;org.kaazing&lt;/groupId&gt;
+                                &lt;artifactId&gt;robot-maven-plugin&lt;/artifactId&gt;
+                                &lt;version&gt;0.0.0.12&lt;/version&gt;
+                                &lt;configuration&gt;
+                                        &lt;skipTests&gt;${skipITs}&lt;/skipTests&gt;
+                                &lt;/configuration&gt;
+                                &lt;executions&gt;
+                                        &lt;execution&gt;
+                                                &lt;goals&gt;
+                                                        &lt;goal&gt;start&lt;/goal&gt;
+                                                        &lt;goal&gt;stop&lt;/goal&gt;
+                                                &lt;/goals&gt;
+                                        &lt;/execution&gt;
+                                &lt;/executions&gt;
+                        &lt;/plugin&gt;
+                        &lt;plugin&gt;
+                                &lt;artifactId&gt;maven-failsafe-plugin&lt;/artifactId&gt;
+                                &lt;version&gt;2.17&lt;/version&gt;
+                                &lt;configuration&gt;
+                                        &lt;skipTests&gt;${skipITs}&lt;/skipTests&gt;
+                                &lt;/configuration&gt;
+                                &lt;executions&gt;
+                                        &lt;execution&gt;
+                                                &lt;goals&gt;
+                                                        &lt;goal&gt;integration-test&lt;/goal&gt;
+                                                        &lt;goal&gt;verify&lt;/goal&gt;
+                                                &lt;/goals&gt;
+                                        &lt;/execution&gt;
+                                &lt;/executions&gt;
+                        &lt;/plugin&gt;
+
         &lt;/plugins&gt;</t>
  </si>
  <si>
    <t xml:space="preserve">
@@ -176,6 +182,39 @@
                 &lt;/configuration&gt;
             &lt;/plugin&gt;
+            &lt;plugin&gt;
+                                &lt;groupId&gt;org.kaazing&lt;/groupId&gt;
+                                &lt;artifactId&gt;robot-maven-plugin&lt;/artifactId&gt;
+                                &lt;version&gt;0.0.0.12&lt;/version&gt;
+                                &lt;configuration&gt;
+                                        &lt;skipTests&gt;${skipITs}&lt;/skipTests&gt;
+                                &lt;/configuration&gt;
+                                &lt;executions&gt;
+                                        &lt;execution&gt;
+                                                &lt;goals&gt;
+                                                        &lt;goal&gt;start&lt;/goal&gt;
+                                                        &lt;goal&gt;stop&lt;/goal&gt;
+                                                &lt;/goals&gt;
+                                        &lt;/execution&gt;
+                                &lt;/executions&gt;
+                        &lt;/plugin&gt;
+                        &lt;plugin&gt;
+                                &lt;artifactId&gt;maven-failsafe-plugin&lt;/artifactId&gt;
+                                &lt;version&gt;2.17&lt;/version&gt;
+                                &lt;configuration&gt;
+                                        &lt;skipTests&gt;${skipITs}&lt;/skipTests&gt;
+                                &lt;/configuration&gt;
+                                &lt;executions&gt;
+                                        &lt;execution&gt;
+                                                &lt;goals&gt;
+                                                        &lt;goal&gt;integration-test&lt;/goal&gt;
+                                                        &lt;goal&gt;verify&lt;/goal&gt;
+                                                &lt;/goals&gt;
+                                        &lt;/execution&gt;
+                                &lt;/executions&gt;
+                        &lt;/plugin&gt;
+            
+            
 &lt;!--            &lt;plugin&gt;</t>
  </si>
  <si>
    <t xml:space="preserve">
                &lt;/configuration&gt;
            &lt;/plugin&gt;
&lt;&lt;&lt;&lt;&lt;&lt;&lt; HEAD
=======
            &lt;plugin&gt;
				&lt;groupId&gt;org.kaazing&lt;/groupId&gt;
				&lt;artifactId&gt;robot-maven-plugin&lt;/artifactId&gt;
				&lt;version&gt;0.0.0.12&lt;/version&gt;
				&lt;configuration&gt;
					&lt;skipTests&gt;${skipITs}&lt;/skipTests&gt;
				&lt;/configuration&gt;
				&lt;executions&gt;
					&lt;execution&gt;
						&lt;goals&gt;
							&lt;goal&gt;start&lt;/goal&gt;
							&lt;goal&gt;stop&lt;/goal&gt;
						&lt;/goals&gt;
					&lt;/execution&gt;
				&lt;/executions&gt;
			&lt;/plugin&gt;
			&lt;plugin&gt;
				&lt;artifactId&gt;maven-failsafe-plugin&lt;/artifactId&gt;
				&lt;version&gt;2.17&lt;/version&gt;
				&lt;configuration&gt;
					&lt;skipTests&gt;${skipITs}&lt;/skipTests&gt;
				&lt;/configuration&gt;
				&lt;executions&gt;
					&lt;execution&gt;
						&lt;goals&gt;
							&lt;goal&gt;integration-test&lt;/goal&gt;
							&lt;goal&gt;verify&lt;/goal&gt;
						&lt;/goals&gt;
					&lt;/execution&gt;
				&lt;/executions&gt;
			&lt;/plugin&gt;
&lt;!--            &lt;plugin&gt;
                &lt;groupId&gt;org.apache.felix&lt;/groupId&gt;
                &lt;artifactId&gt;maven-bundle-plugin&lt;/artifactId&gt;
                &lt;version&gt;2.1.0&lt;/version&gt;
                &lt;extensions&gt;true&lt;/extensions&gt;
                &lt;configuration&gt;
                    &lt;instructions&gt;
                        &lt;Export-Package&gt;org.dna.mqtt.commons, 
                            org.apache.commons.logging,
                            org.dna.mqtt.moquette.messaging.spi.impl.storage,
                            org.dna.mqtt.moquette.messaging.spi.impl.subscriptions,
                            org.dna.mqtt.moquette.proto.messages,
                            org.dna.mqtt.moquette.server.netty.metrics
                        &lt;/Export-Package&gt;
                        &lt;Private-Package&gt;org.dna.mqtt.moquette.bundle,
                            ${project.groupId}.*,
                            com.lmax.*
                        &lt;/Private-Package&gt;
                        &lt;Import-Package&gt;*&lt;/Import-Package&gt;
                        &lt;Bundle-Activator&gt;${project.groupId}.moquette.bundle.Activator&lt;/Bundle-Activator&gt;
                    &lt;/instructions&gt;
                &lt;/configuration&gt;
            &lt;/plugin&gt;
&gt;&gt;&gt;&gt;&gt;&gt;&gt; b792e3695df51e0e8a490658b453fd81a9c85227
            &lt;plugin&gt;
				&lt;groupId&gt;org.kaazing&lt;/groupId&gt;
				&lt;artifactId&gt;robot-maven-plugin&lt;/artifactId&gt;</t>
  </si>
  <si>
    <t xml:space="preserve">
             &lt;/plugin&gt;
-&lt;!--            &lt;plugin&gt;
-                &lt;groupId&gt;org.apache.felix&lt;/groupId&gt;
-                &lt;artifactId&gt;maven-bundle-plugin&lt;/artifactId&gt;
-                &lt;version&gt;2.1.0&lt;/version&gt;
-                &lt;extensions&gt;true&lt;/extensions&gt;
-                &lt;configuration&gt;
-                    &lt;instructions&gt;
-                        &lt;Export-Package&gt;org.dna.mqtt.commons, 
-                            org.apache.commons.logging,
-                            org.dna.mqtt.moquette.messaging.spi.impl.storage,
-                            org.dna.mqtt.moquette.messaging.spi.impl.subscriptions,
-                            org.dna.mqtt.moquette.proto.messages,
-                            org.dna.mqtt.moquette.server.netty.metrics
-                        &lt;/Export-Package&gt;
-                        &lt;Private-Package&gt;org.dna.mqtt.moquette.bundle,
-                            ${project.groupId}.*,
-                            com.lmax.*
-                        &lt;/Private-Package&gt;
-                        &lt;Import-Package&gt;*&lt;/Import-Package&gt;
-                        &lt;Bundle-Activator&gt;${project.groupId}.moquette.bundle.Activator&lt;/Bundle-Activator&gt;
-                    &lt;/instructions&gt;
-                &lt;/configuration&gt;
-            &lt;/plugin&gt;
+
             &lt;plugin&gt;
-                 Pax Runner Maven plugin 
-                &lt;groupId&gt;org.ops4j&lt;/groupId&gt;
-                &lt;artifactId&gt;maven-pax-plugin&lt;/artifactId&gt;
-                &lt;version&gt;1.4&lt;/version&gt;
-                &lt;configuration&gt;
-                     Pax Runner version 
-                    &lt;runner&gt;1.4.0&lt;/runner&gt;
-                     OSGi framework type (equinox, felix, knopflerfish) 
-                    &lt;framework&gt;equinox&lt;/framework&gt;
-                    &lt;provision&gt;
-                                                &lt;param&gt; - -log=debug&lt;/param&gt;  
-                        &lt;param&gt; - -workingDirectory=target/runner&lt;/param&gt;  
-                    &lt;/provision&gt;
-                &lt;/configuration&gt;
-            &lt;/plugin&gt;--&gt;
+                &lt;groupId&gt;org.kaazing&lt;/groupId&gt;
+                &lt;artifactId&gt;robot-maven-plugin&lt;/artifactId&gt;
+                &lt;version&gt;0.0.0.12&lt;/version&gt;
+                &lt;configuration&gt;
+                        &lt;skipTests&gt;${skipITs}&lt;/skipTests&gt;
+                &lt;/configuration&gt;
+                &lt;executions&gt;
+                        &lt;execution&gt;
+                                &lt;goals&gt;
+                                        &lt;goal&gt;start&lt;/goal&gt;
+                                        &lt;goal&gt;stop&lt;/goal&gt;
+                                &lt;/goals&gt;
+                        &lt;/execution&gt;
+                &lt;/executions&gt;
+        &lt;/plugin&gt;
+        &lt;plugin&gt;
+                &lt;artifactId&gt;maven-failsafe-plugin&lt;/artifactId&gt;
+                &lt;version&gt;2.17&lt;/version&gt;
+                &lt;configuration&gt;
+                        &lt;skipTests&gt;${skipITs}&lt;/skipTests&gt;
+                &lt;/configuration&gt;
+                &lt;executions&gt;
+                        &lt;execution&gt;
+                                &lt;goals&gt;
+                                        &lt;goal&gt;integration-test&lt;/goal&gt;
+                                        &lt;goal&gt;verify&lt;/goal&gt;
+                                &lt;/goals&gt;
+                        &lt;/execution&gt;
+                &lt;/executions&gt;
+        &lt;/plugin&gt;
+            
         &lt;/plugins&gt;</t>
  </si>
  <si>
    <t>take left side and change empty line and indentation</t>
  </si>
  <si>
    <t xml:space="preserve">
&lt;?xml version="1.0" encoding="UTF-8"?&gt;
&lt;project xmlns="http://maven.apache.org/POM/4.0.0" xmlns:xsi="http://www.w3.org/2001/XMLSchema-instance" xsi:schemaLocation="http://maven.apache.org/POM/4.0.0 http://maven.apache.org/xsd/maven-4.0.0.xsd"&gt;
   &lt;modelVersion&gt;4.0.0&lt;/modelVersion&gt;
   &lt;parent&gt;
      &lt;relativePath&gt;../&lt;/relativePath&gt;
      &lt;artifactId&gt;moquette-parent&lt;/artifactId&gt;
      &lt;groupId&gt;org.dna.mqtt&lt;/groupId&gt;
      &lt;version&gt;0.7-SNAPSHOT&lt;/version&gt;
   &lt;/parent&gt;
   &lt;artifactId&gt;moquette-broker&lt;/artifactId&gt;
   &lt;packaging&gt;jar&lt;/packaging&gt;
   &lt;name&gt;Moquette - broker&lt;/name&gt;
   &lt;properties&gt;
      &lt;project.build.sourceEncoding&gt;UTF-8&lt;/project.build.sourceEncoding&gt;
   &lt;/properties&gt;
   &lt;dependencies&gt;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   &lt;scope&gt;runtime&lt;/scope&gt;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   &lt;dependency&gt;
         &lt;groupId&gt;org.dna.mqtt&lt;/groupId&gt;
         &lt;artifactId&gt;moquette-parser-commons&lt;/artifactId&gt;
         &lt;version&gt;${project.version}&lt;/version&gt;
         &lt;scope&gt;test&lt;/scope&gt;
      &lt;/dependency&gt;
   &lt;/dependencies&gt;
   &lt;build&gt;
      &lt;plugins&gt;
         &lt;plugin&gt;
            &lt;groupId&gt;org.apache.maven.plugins&lt;/groupId&gt;
            &lt;artifactId&gt;maven-compiler-plugin&lt;/artifactId&gt;
            &lt;configuration&gt;
               &lt;source&gt;1.6&lt;/source&gt;
               &lt;target&gt;1.6&lt;/target&gt;
            &lt;/configuration&gt;
         &lt;/plugin&gt;
         &lt;plugin&gt;
            &lt;groupId&gt;org.apache.maven.plugins&lt;/groupId&gt;
            &lt;artifactId&gt;maven-compiler-plugin&lt;/artifactId&gt;
            &lt;configuration&gt;
               &lt;includes&gt;
                  &lt;include&gt;**/*Test.java&lt;/include&gt;
               &lt;/includes&gt;
               &lt;source&gt;1.6&lt;/source&gt;
               &lt;target&gt;1.6&lt;/target&gt;
            &lt;/configuration&gt;
         &lt;/plugin&gt;
         &lt;plugin&gt;
            &lt;groupId&gt;org.apache.maven.plugins&lt;/groupId&gt;
            &lt;artifactId&gt;maven-compiler-plugin&lt;/artifactId&gt;
            &lt;version&gt;0.0.0.12&lt;/version&gt;
            &lt;configuration&gt;
               &lt;skipTests&gt;${skipITs}&lt;/skipTests&gt;
               &lt;source&gt;1.6&lt;/source&gt;
               &lt;target&gt;1.6&lt;/target&gt;
            &lt;/configuration&gt;
            &lt;executions&gt;
               &lt;execution&gt;
                  &lt;goals&gt;
                     &lt;goal&gt;start&lt;/goal&gt;
                     &lt;goal&gt;stop&lt;/goal&gt;
                  &lt;/goals&gt;
               &lt;/execution&gt;
            &lt;/executions&gt;
         &lt;/plugin&gt;
         &lt;plugin&gt;
            &lt;artifactId&gt;maven-compiler-plugin&lt;/artifactId&gt;
            &lt;version&gt;2.17&lt;/version&gt;
            &lt;configuration&gt;
               &lt;skipTests&gt;${skipITs}&lt;/skipTests&gt;
               &lt;source&gt;1.6&lt;/source&gt;
               &lt;target&gt;1.6&lt;/target&gt;
            &lt;/configuration&gt;
            &lt;executions&gt;
               &lt;execution&gt;
                  &lt;goals&gt;
                     &lt;goal&gt;integration-test&lt;/goal&gt;
                     &lt;goal&gt;verify&lt;/goal&gt;
                  &lt;/goals&gt;
               &lt;/execution&gt;
            &lt;/executions&gt;
            &lt;groupId&gt;org.apache.maven.plugins&lt;/groupId&gt;
         &lt;/plugin&gt;
      &lt;/plugins&gt;
   &lt;/build&gt;
   &lt;repositories&gt;
      &lt;repository&gt;
         &lt;id&gt;Paho Releases&lt;/id&gt;
         &lt;url&gt;https://repo.eclipse.org/content/repositories/paho-releases/&lt;/url&gt;
      &lt;/repository&gt;
   &lt;/repositories&gt;
&lt;/project&gt;</t>
  </si>
  <si>
    <t xml:space="preserve">
            &lt;plugin&gt;
                &lt;groupId&gt;org.apache.maven.plugins&lt;/groupId&gt;
                &lt;artifactId&gt;maven-surefire-plugin&lt;/artifactId&gt;
                &lt;configuration&gt;
                    &lt;includes&gt;
                        &lt;include&gt;**/*Test.java&lt;/include&gt;
                    &lt;/includes&gt;
                &lt;/configuration&gt;
            &lt;/plugin&gt;
            &lt;plugin&gt;
                                &lt;groupId&gt;org.kaazing&lt;/groupId&gt;
                                &lt;artifactId&gt;robot-maven-plugin&lt;/artifactId&gt;
                                &lt;version&gt;0.0.0.12&lt;/version&gt;
                                &lt;configuration&gt;
                                        &lt;skipTests&gt;${skipITs}&lt;/skipTests&gt;
                                &lt;/configuration&gt;
                                &lt;executions&gt;
                                        &lt;execution&gt;
                                                &lt;goals&gt;
                                                        &lt;goal&gt;start&lt;/goal&gt;
                                                        &lt;goal&gt;stop&lt;/goal&gt;
                                                &lt;/goals&gt;
                                        &lt;/execution&gt;
                                &lt;/executions&gt;
                        &lt;/plugin&gt;
                        &lt;plugin&gt;
                                &lt;artifactId&gt;maven-failsafe-plugin&lt;/artifactId&gt;
                                &lt;version&gt;2.17&lt;/version&gt;
                                &lt;configuration&gt;
                                        &lt;skipTests&gt;${skipITs}&lt;/skipTests&gt;
                                &lt;/configuration&gt;
                                &lt;executions&gt;
                                        &lt;execution&gt;
                                                &lt;goals&gt;
                                                        &lt;goal&gt;integration-test&lt;/goal&gt;
                                                        &lt;goal&gt;verify&lt;/goal&gt;
                                                &lt;/goals&gt;
                                        &lt;/execution&gt;
                                &lt;/executions&gt;
                        &lt;/plugin&gt;
            &lt;plugin&gt;
                                &lt;groupId&gt;org.kaazing&lt;/groupId&gt;
                                &lt;artifactId&gt;robot-maven-plugin&lt;/artifactId&gt;
                                &lt;version&gt;0.0.0.12&lt;/version&gt;
                                &lt;configuration&gt;
                                        &lt;skipTests&gt;${skipITs}&lt;/skipTests&gt;
                                &lt;/configuration&gt;
                                &lt;executions&gt;
                                        &lt;execution&gt;
                                                &lt;goals&gt;
                                                        &lt;goal&gt;start&lt;/goal&gt;
                                                        &lt;goal&gt;stop&lt;/goal&gt;
                                                &lt;/goals&gt;
                                        &lt;/execution&gt;
                                &lt;/executions&gt;
                        &lt;/plugin&gt;
                        &lt;plugin&gt;
                                &lt;artifactId&gt;maven-failsafe-plugin&lt;/artifactId&gt;
                                &lt;version&gt;2.17&lt;/version&gt;
                                &lt;configuration&gt;
                                        &lt;skipTests&gt;${skipITs}&lt;/skipTests&gt;
                                &lt;/configuration&gt;
                                &lt;executions&gt;
                                        &lt;execution&gt;
                                                &lt;goals&gt;
                                                        &lt;goal&gt;integration-test&lt;/goal&gt;
                                                        &lt;goal&gt;verify&lt;/goal&gt;
                                                &lt;/goals&gt;
                                        &lt;/execution&gt;
                                &lt;/executions&gt;
                        &lt;/plugin&gt;
        &lt;/plugins&gt;
    &lt;/build&gt;</t>
  </si>
  <si>
    <t>accept both sides
but insert same content twice</t>
  </si>
  <si>
    <t>24d3d38fff55a6ac9be78da2b58b334a9bcefac6</t>
  </si>
  <si>
    <t>f9be9bff960903d972580fd85ae5ce683f4bdce0</t>
  </si>
  <si>
    <t>9a94df872ca67a2deedc5f8ab9810f50ece328cf</t>
  </si>
  <si>
    <t>0560928ecdde095567d5573609bb1d1eb515dcef</t>
  </si>
  <si>
    <t>src/main/java/com/netflix/simianarmy/client/aws/AWSClient.java</t>
  </si>
  <si>
    <t xml:space="preserve">
@@ -551,4 +555,61 @@ public class AWSClient implements CloudClient {
         LOGGER.info(String.format("Got %d AMIs in region %s.", images.size(), region));
         return images;
     }
+
+
+    @Override
+    public void detachVolume(String instanceId, String volumeId, boolean force) {
+        Validate.notEmpty(instanceId);
+        LOGGER.info(String.format("Detach volumes from instance %s in region %s.", instanceId, region));
+        try {
+            DetachVolumeRequest detachVolumeRequest = new DetachVolumeRequest();
+            detachVolumeRequest.setForce(force);
+            detachVolumeRequest.setInstanceId(instanceId);
+            detachVolumeRequest.setVolumeId(volumeId);
+            ec2Client().detachVolume(detachVolumeRequest);
+        } catch (AmazonServiceException e) {
+            if (e.getErrorCode().equals("InvalidInstanceID.NotFound")) {
+                throw new NotFoundException("AWS instance " + instanceId + " not found", e);
+            }
+            throw e;
+        }
+    }
+
+    @Override
+    public List&lt;String&gt; listAttachedVolumes(String instanceId, boolean includeRoot) {
+        Validate.notEmpty(instanceId);
+        LOGGER.info(String.format("Listing volumes attached to instance %s in region %s.", instanceId, region));
+        try {
+            List&lt;String&gt; volumeIds = new ArrayList&lt;String&gt;();
+            for (Instance instance : describeInstances(instanceId)) {
+                String rootDeviceName = instance.getRootDeviceName();
+
+                for (InstanceBlockDeviceMapping ibdm : instance.getBlockDeviceMappings()) {
+                    EbsInstanceBlockDevice ebs = ibdm.getEbs();
+                    if (ebs == null) {
+                        continue;
+                    }
+
+                    String volumeId = ebs.getVolumeId();
+                    if (Strings.isNullOrEmpty(volumeId)) {
+                        continue;
+                    }
+
+                    if (!includeRoot &amp;&amp; rootDeviceName != null) {
+                        if (rootDeviceName.equals(ibdm.getDeviceName())) {
+                            continue;
+                        }
+                    }
+
+                    volumeIds.add(volumeId);
+                }
+            }
+            return volumeIds;
+        } catch (AmazonServiceException e) {
+            if (e.getErrorCode().equals("InvalidInstanceID.NotFound")) {
+                throw new NotFoundException("AWS instance " + instanceId + " not found", e);
+            }
+            throw e;
+        }
+    }
 }</t>
  </si>
  <si>
    <t xml:space="preserve">
@@ -551,4 +566,52 @@ public class AWSClient implements CloudClient {
         LOGGER.info(String.format("Got %d AMIs in region %s.", images.size(), region));
         return images;
     }
+    
+    
+
+    /**
+     * Describe a set of security groups
+     * 
+     * @param instanceIds the instance ids
+     * @return the instances
+     */
+    public List&lt;SecurityGroup&gt; describeSecurityGroups(String... groupNames) {
+        AmazonEC2 ec2Client = ec2Client();
+        DescribeSecurityGroupsRequest request = new DescribeSecurityGroupsRequest();
+
+        if (groupNames == null || groupNames.length == 0) {
+            LOGGER.info(String.format("Getting all EC2 security groups in region %s.", region));
+            request.withGroupNames(groupNames);
+        } else {
+            LOGGER.info(String.format("Getting EC2 security groups for %d names in region %s.", groupNames.length,
+                    region));
+        }
+
+        DescribeSecurityGroupsResult result = ec2Client.describeSecurityGroups(request);
+
+        List&lt;SecurityGroup&gt; securityGroups = result.getSecurityGroups();
+        LOGGER.info(String.format("Got %d EC2 security groups in region %s.", securityGroups.size(), region));
+        return securityGroups;
+    }
+
+    /**
+     * Create an (empty) EC2 security group.
+     * 
+     * @param name
+     *            Name of group to create
+     * @param description
+     *            Description of group to create
+     * @return ID of created group
+     */
+    public String createSecurityGroup(String name, String description) {
+        AmazonEC2 ec2Client = ec2Client();
+        CreateSecurityGroupRequest request = new CreateSecurityGroupRequest();
+        request.setGroupName(name);
+        request.setDescription(description);
+
+        LOGGER.info(String.format("Creating EC2 security group %s.", name));
+
+        CreateSecurityGroupResult result = ec2Client.createSecurityGroup(request);
+        return result.getGroupId();
+    }
 }</t>
  </si>
  <si>
    <t xml:space="preserve">
&lt;&lt;&lt;&lt;&lt;&lt;&lt; HEAD
    @Override
    public void detachVolume(String instanceId, String volumeId, boolean force) {
        Validate.notEmpty(instanceId);
        LOGGER.info(String.format("Detach volumes from instance %s in region %s.", instanceId, region));
        try {
            DetachVolumeRequest detachVolumeRequest = new DetachVolumeRequest();
            detachVolumeRequest.setForce(force);
            detachVolumeRequest.setInstanceId(instanceId);
            detachVolumeRequest.setVolumeId(volumeId);
            ec2Client().detachVolume(detachVolumeRequest);
        } catch (AmazonServiceException e) {
            if (e.getErrorCode().equals("InvalidInstanceID.NotFound")) {
                throw new NotFoundException("AWS instance " + instanceId + " not found", e);
            }
            throw e;
        }
    }
    @Override
    public List&lt;String&gt; listAttachedVolumes(String instanceId, boolean includeRoot) {
        Validate.notEmpty(instanceId);
        LOGGER.info(String.format("Listing volumes attached to instance %s in region %s.", instanceId, region));
        try {
            List&lt;String&gt; volumeIds = new ArrayList&lt;String&gt;();
            for (Instance instance : describeInstances(instanceId)) {
                String rootDeviceName = instance.getRootDeviceName();
                for (InstanceBlockDeviceMapping ibdm : instance.getBlockDeviceMappings()) {
                    EbsInstanceBlockDevice ebs = ibdm.getEbs();
                    if (ebs == null) {
                        continue;
                    }
                    String volumeId = ebs.getVolumeId();
                    if (Strings.isNullOrEmpty(volumeId)) {
                        continue;
                    }
                    if (!includeRoot &amp;&amp; rootDeviceName != null) {
                        if (rootDeviceName.equals(ibdm.getDeviceName())) {
                            continue;
                        }
                    }
                    volumeIds.add(volumeId);
                }
            }
            return volumeIds;
        } catch (AmazonServiceException e) {
            if (e.getErrorCode().equals("InvalidInstanceID.NotFound")) {
                throw new NotFoundException("AWS instance " + instanceId + " not found", e);
            }
            throw e;
        }
=======
    /**
     * Describe a set of security groups
     * 
     * @param instanceIds the instance ids
     * @return the instances
     */
    public List&lt;SecurityGroup&gt; describeSecurityGroups(String... groupNames) {
        AmazonEC2 ec2Client = ec2Client();
        DescribeSecurityGroupsRequest request = new DescribeSecurityGroupsRequest();
        if (groupNames == null || groupNames.length == 0) {
            LOGGER.info(String.format("Getting all EC2 security groups in region %s.", region));
            request.withGroupNames(groupNames);
        } else {
            LOGGER.info(String.format("Getting EC2 security groups for %d names in region %s.", groupNames.length,
                    region));
        }
        DescribeSecurityGroupsResult result = ec2Client.describeSecurityGroups(request);
        List&lt;SecurityGroup&gt; securityGroups = result.getSecurityGroups();
        LOGGER.info(String.format("Got %d EC2 security groups in region %s.", securityGroups.size(), region));
        return securityGroups;
    }
    /**
     * Create an (empty) EC2 security group.
     * 
     * @param name
     *            Name of group to create
     * @param description
     *            Description of group to create
     * @return ID of created group
     */
    public String createSecurityGroup(String name, String description) {
        AmazonEC2 ec2Client = ec2Client();
        CreateSecurityGroupRequest request = new CreateSecurityGroupRequest();
        request.setGroupName(name);
        request.setDescription(description);
        LOGGER.info(String.format("Creating EC2 security group %s.", name));
        CreateSecurityGroupResult result = ec2Client.createSecurityGroup(request);
        return result.getGroupId();
&gt;&gt;&gt;&gt;&gt;&gt;&gt; 9a94df872ca67a2deedc5f8ab9810f50ece328cf
    }
}</t>
  </si>
  <si>
    <t xml:space="preserve">
@@ -551,4 +570,106 @@ public class AWSClient implements CloudClient {
         LOGGER.info(String.format("Got %d AMIs in region %s.", images.size(), region));
         return images;
     }
+
+    @Override
+    public void detachVolume(String instanceId, String volumeId, boolean force) {
+        Validate.notEmpty(instanceId);
+        LOGGER.info(String.format("Detach volumes from instance %s in region %s.", instanceId, region));
+        try {
+            DetachVolumeRequest detachVolumeRequest = new DetachVolumeRequest();
+            detachVolumeRequest.setForce(force);
+            detachVolumeRequest.setInstanceId(instanceId);
+            detachVolumeRequest.setVolumeId(volumeId);
+            ec2Client().detachVolume(detachVolumeRequest);
+        } catch (AmazonServiceException e) {
+            if (e.getErrorCode().equals("InvalidInstanceID.NotFound")) {
+                throw new NotFoundException("AWS instance " + instanceId + " not found", e);
+            }
+            throw e;
+        }
+    }
+
+    @Override
+    public List&lt;String&gt; listAttachedVolumes(String instanceId, boolean includeRoot) {
+        Validate.notEmpty(instanceId);
+        LOGGER.info(String.format("Listing volumes attached to instance %s in region %s.", instanceId, region));
+        try {
+            List&lt;String&gt; volumeIds = new ArrayList&lt;String&gt;();
+            for (Instance instance : describeInstances(instanceId)) {
+                String rootDeviceName = instance.getRootDeviceName();
+
+                for (InstanceBlockDeviceMapping ibdm : instance.getBlockDeviceMappings()) {
+                    EbsInstanceBlockDevice ebs = ibdm.getEbs();
+                    if (ebs == null) {
+                        continue;
+                    }
+
+                    String volumeId = ebs.getVolumeId();
+                    if (Strings.isNullOrEmpty(volumeId)) {
+                        continue;
+                    }
+
+                    if (!includeRoot &amp;&amp; rootDeviceName != null) {
+                        if (rootDeviceName.equals(ibdm.getDeviceName())) {
+                            continue;
+                        }
+                    }
+
+                    volumeIds.add(volumeId);
+                }
+            }
+            return volumeIds;
+        } catch (AmazonServiceException e) {
+            if (e.getErrorCode().equals("InvalidInstanceID.NotFound")) {
+                throw new NotFoundException("AWS instance " + instanceId + " not found", e);
+            }
+            throw e;
+        }
+    }
+
+    /**
+     * Describe a set of security groups
+     * 
+     * @param instanceIds the instance ids
+     * @return the instances
+     */
+    public List&lt;SecurityGroup&gt; describeSecurityGroups(String... groupNames) {
+        AmazonEC2 ec2Client = ec2Client();
+        DescribeSecurityGroupsRequest request = new DescribeSecurityGroupsRequest();
+
+        if (groupNames == null || groupNames.length == 0) {
+            LOGGER.info(String.format("Getting all EC2 security groups in region %s.", region));
+            request.withGroupNames(groupNames);
+        } else {
+            LOGGER.info(String.format("Getting EC2 security groups for %d names in region %s.", groupNames.length,
+                    region));
+        }
+
+        DescribeSecurityGroupsResult result = ec2Client.describeSecurityGroups(request);
+
+        List&lt;SecurityGroup&gt; securityGroups = result.getSecurityGroups();
+        LOGGER.info(String.format("Got %d EC2 security groups in region %s.", securityGroups.size(), region));
+        return securityGroups;
+    }
+
+    /**
+     * Create an (empty) EC2 security group.
+     * 
+     * @param name
+     *            Name of group to create
+     * @param description
+     *            Description of group to create
+     * @return ID of created group
+     */
+    public String createSecurityGroup(String name, String description) {
+        AmazonEC2 ec2Client = ec2Client();
+        CreateSecurityGroupRequest request = new CreateSecurityGroupRequest();
+        request.setGroupName(name);
+        request.setDescription(description);
+
+        LOGGER.info(String.format("Creating EC2 security group %s.", name));
+
+        CreateSecurityGroupResult result = ec2Client.createSecurityGroup(request);
+        return result.getGroupId();
+    }
 }</t>
  </si>
  <si>
    <t>accept both sides and remove one empty line</t>
  </si>
  <si>
    <t xml:space="preserve">
    /**
     * Describe a set of security groups
     * 
     * @param instanceIds the instance ids
     * @return the instances
     */
    public List&lt;SecurityGroup&gt; describeSecurityGroups(String... groupNames) {
        AmazonEC2 ec2Client = ec2Client();
        DescribeSecurityGroupsRequest request = new DescribeSecurityGroupsRequest();
        if (groupNames == null || groupNames.length == 0) {
            LOGGER.info(String.format("Getting all EC2 security groups in region %s.", region));
            request.withGroupNames(groupNames);
        } else {
            LOGGER.info(String.format("Getting EC2 security groups for %d names in region %s.", groupNames.length,
                    region));
        }
        DescribeSecurityGroupsResult result = ec2Client.describeSecurityGroups(request);
        List&lt;SecurityGroup&gt; securityGroups = result.getSecurityGroups();
        LOGGER.info(String.format("Got %d EC2 security groups in region %s.", securityGroups.size(), region));
        return securityGroups;
    }
    /**
     * Create an (empty) EC2 security group.
     * 
     * @param name
     *            Name of group to create
     * @param description
     *            Description of group to create
     * @return ID of created group
     */
    public String createSecurityGroup(String name, String description) {
        AmazonEC2 ec2Client = ec2Client();
        CreateSecurityGroupRequest request = new CreateSecurityGroupRequest();
        request.setGroupName(name);
        request.setDescription(description);
        LOGGER.info(String.format("Creating EC2 security group %s.", name));
        CreateSecurityGroupResult result = ec2Client.createSecurityGroup(request);
        return result.getGroupId();
    }
    /** {@inheritDoc} */
    @Override
    public void detachVolume(String instanceId, String volumeId, boolean force) {
        Validate.notEmpty(instanceId);
        LOGGER.info(String.format("Detach volumes from instance %s in region %s.", instanceId, region));
        try {
            DetachVolumeRequest detachVolumeRequest = new DetachVolumeRequest();
            detachVolumeRequest.setForce(force);
            detachVolumeRequest.setInstanceId(instanceId);
            detachVolumeRequest.setVolumeId(volumeId);
            ec2Client().detachVolume(detachVolumeRequest);
        } catch (AmazonServiceException e) {
            if (e.getErrorCode().equals("InvalidInstanceID.NotFound")) {
                throw new NotFoundException("AWS instance " + instanceId + " not found", e);
            }
            throw e;
        }
    }
    @Override
    public List&lt;String&gt; listAttachedVolumes(String instanceId, boolean includeRoot) {
        Validate.notEmpty(instanceId);
        LOGGER.info(String.format("Listing volumes attached to instance %s in region %s.", instanceId, region));
        try {
            List&lt;String&gt; volumeIds = new ArrayList&lt;String&gt;();
            for (Instance instance : describeInstances(instanceId)) {
                String rootDeviceName = instance.getRootDeviceName();
                for (InstanceBlockDeviceMapping ibdm : instance.getBlockDeviceMappings()) {
                    EbsInstanceBlockDevice ebs = ibdm.getEbs();
                    if (ebs == null) {
                        continue;
                    }
                    String volumeId = ebs.getVolumeId();
                    if (Strings.isNullOrEmpty(volumeId)) {
                        continue;
                    }
                    if (!includeRoot &amp;&amp; rootDeviceName != null) {
                        if (rootDeviceName.equals(ibdm.getDeviceName())) {
                            continue;
                        }
                    }
                    volumeIds.add(volumeId);
                }
            }
            return volumeIds;
        } catch (AmazonServiceException e) {
            if (e.getErrorCode().equals("InvalidInstanceID.NotFound")) {
                throw new NotFoundException("AWS instance " + instanceId + " not found", e);
            }
            throw e;
        }
    }</t>
  </si>
  <si>
    <t>accept both sides but add 3 empty lines between methods</t>
  </si>
  <si>
    <t xml:space="preserve">
  @Override public void detachVolume(String instanceId, String volumeId, boolean force) {
    Validate.notEmpty(instanceId);
    LOGGER.info(String.format("Detach volumes from instance %s in region %s.", instanceId, region));
    try {
      DetachVolumeRequest detachVolumeRequest = new DetachVolumeRequest();
      detachVolumeRequest.setForce(force);
      detachVolumeRequest.setInstanceId(instanceId);
      detachVolumeRequest.setVolumeId(volumeId);
      ec2Client().detachVolume(detachVolumeRequest);
    } catch (AmazonServiceException e) {
      if (e.getErrorCode().equals("InvalidInstanceID.NotFound")) {
        throw new NotFoundException("AWS instance " + instanceId + " not found", e);
      }
      throw e;
    }
  }
  /**
     * Describe a set of security groups
     * 
     * @param instanceIds the instance ids
     * @return the instances
     */
  public List&lt;SecurityGroup&gt; describeSecurityGroups(String... groupNames) {
    AmazonEC2 ec2Client = ec2Client();
    DescribeSecurityGroupsRequest request = new DescribeSecurityGroupsRequest();
    if (groupNames == null || groupNames.length == 0) {
      LOGGER.info(String.format("Getting all EC2 security groups in region %s.", region));
      request.withGroupNames(groupNames);
    } else {
      LOGGER.info(String.format("Getting EC2 security groups for %d names in region %s.", groupNames.length, region));
    }
    DescribeSecurityGroupsResult result = ec2Client.describeSecurityGroups(request);
    List&lt;SecurityGroup&gt; securityGroups = result.getSecurityGroups();
    LOGGER.info(String.format("Got %d EC2 security groups in region %s.", securityGroups.size(), region));
    return securityGroups;
  }
  @Override public List&lt;String&gt; listAttachedVolumes(String instanceId, boolean includeRoot) {
    Validate.notEmpty(instanceId);
    LOGGER.info(String.format("Listing volumes attached to instance %s in region %s.", instanceId, region));
    try {
      List&lt;String&gt; volumeIds = new ArrayList&lt;String&gt;();
      for (Instance instance : describeInstances(instanceId)) {
        String rootDeviceName = instance.getRootDeviceName();
        for (InstanceBlockDeviceMapping ibdm : instance.getBlockDeviceMappings()) {
          EbsInstanceBlockDevice ebs = ibdm.getEbs();
          if (ebs == null) {
            continue;
          }
          String volumeId = ebs.getVolumeId();
          if (Strings.isNullOrEmpty(volumeId)) {
            continue;
          }
          if (!includeRoot &amp;&amp; rootDeviceName != null) {
            if (rootDeviceName.equals(ibdm.getDeviceName())) {
              continue;
            }
          }
          volumeIds.add(volumeId);
        }
      }
      return volumeIds;
    } catch (AmazonServiceException e) {
      if (e.getErrorCode().equals("InvalidInstanceID.NotFound")) {
        throw new NotFoundException("AWS instance " + instanceId + " not found", e);
      }
      throw e;
    }
  }
  /**
     * Create an (empty) EC2 security group.
     * 
     * @param name
     *            Name of group to create
     * @param description
     *            Description of group to create
     * @return ID of created group
     */
  public String createSecurityGroup(String name, String description) {
    AmazonEC2 ec2Client = ec2Client();
    CreateSecurityGroupRequest request = new CreateSecurityGroupRequest();
    request.setGroupName(name);
    request.setDescription(description);
    LOGGER.info(String.format("Creating EC2 security group %s.", name));
    CreateSecurityGroupResult result = ec2Client.createSecurityGroup(request);
    return result.getGroupId();
  }
}</t>
  </si>
  <si>
    <t xml:space="preserve">
    @Override
    public void detachVolume(String instanceId, String volumeId, boolean force) {
        Validate.notEmpty(instanceId);
        LOGGER.info(String.format("Detach volumes from instance %s in region %s.", instanceId, region));
        try {
            DetachVolumeRequest detachVolumeRequest = new DetachVolumeRequest();
            detachVolumeRequest.setForce(force);
            detachVolumeRequest.setInstanceId(instanceId);
            detachVolumeRequest.setVolumeId(volumeId);
            ec2Client().detachVolume(detachVolumeRequest);
        } catch (AmazonServiceException e) {
            if (e.getErrorCode().equals("InvalidInstanceID.NotFound")) {
                throw new NotFoundException("AWS instance " + instanceId + " not found", e);
            }
            throw e;
        }
    }
    @Override
    public List&lt;String&gt; listAttachedVolumes(String instanceId, boolean includeRoot) {
        Validate.notEmpty(instanceId);
        LOGGER.info(String.format("Listing volumes attached to instance %s in region %s.", instanceId, region));
        try {
            List&lt;String&gt; volumeIds = new ArrayList&lt;String&gt;();
            for (Instance instance : describeInstances(instanceId)) {
                String rootDeviceName = instance.getRootDeviceName();
                for (InstanceBlockDeviceMapping ibdm : instance.getBlockDeviceMappings()) {
                    EbsInstanceBlockDevice ebs = ibdm.getEbs();
                    if (ebs == null) {
                        continue;
                    }
                    String volumeId = ebs.getVolumeId();
                    if (Strings.isNullOrEmpty(volumeId)) {
                        continue;
                    }
                    if (!includeRoot &amp;&amp; rootDeviceName != null) {
                        if (rootDeviceName.equals(ibdm.getDeviceName())) {
                            continue;
                        }
                    }
                    volumeIds.add(volumeId);
                }
            }
            return volumeIds;
        } catch (AmazonServiceException e) {
            if (e.getErrorCode().equals("InvalidInstanceID.NotFound")) {
                throw new NotFoundException("AWS instance " + instanceId + " not found", e);
            }
            throw e;
        }
    }
    /**
     * Describe a set of security groups
     * 
     * @param instanceIds the instance ids
     * @return the instances
     */
    public List&lt;SecurityGroup&gt; describeSecurityGroups(String... groupNames) {
        AmazonEC2 ec2Client = ec2Client();
        DescribeSecurityGroupsRequest request = new DescribeSecurityGroupsRequest();
        if (groupNames == null || groupNames.length == 0) {
            LOGGER.info(String.format("Getting all EC2 security groups in region %s.", region));
            request.withGroupNames(groupNames);
        } else {
            LOGGER.info(String.format("Getting EC2 security groups for %d names in region %s.", groupNames.length,
                    region));
        }
        DescribeSecurityGroupsResult result = ec2Client.describeSecurityGroups(request);
        List&lt;SecurityGroup&gt; securityGroups = result.getSecurityGroups();
        LOGGER.info(String.format("Got %d EC2 security groups in region %s.", securityGroups.size(), region));
        return securityGroups;
    }
    /**
     * Create an (empty) EC2 security group.
     * 
     * @param name
     *            Name of group to create
     * @param description
     *            Description of group to create
     * @return ID of created group
     */
    public String createSecurityGroup(String name, String description) {
        AmazonEC2 ec2Client = ec2Client();
        CreateSecurityGroupRequest request = new CreateSecurityGroupRequest();
        request.setGroupName(name);
        request.setDescription(description);
        LOGGER.info(String.format("Creating EC2 security group %s.", name));
        CreateSecurityGroupResult result = ec2Client.createSecurityGroup(request);
        return result.getGroupId();
    }
}</t>
  </si>
  <si>
    <t xml:space="preserve">
&lt;&lt;&lt;&lt;&lt;&lt;&lt; ../left/src/main/java/com/netflix/simianarmy/client/aws/AWSClient.java
    @Override
    public void detachVolume(String instanceId, String volumeId, boolean force) {
        Validate.notEmpty(instanceId);
        LOGGER.info(String.format("Detach volumes from instance %s in region %s.", instanceId, region));
        try {
            DetachVolumeRequest detachVolumeRequest = new DetachVolumeRequest();
            detachVolumeRequest.setForce(force);
            detachVolumeRequest.setInstanceId(instanceId);
            detachVolumeRequest.setVolumeId(volumeId);
            ec2Client().detachVolume(detachVolumeRequest);
        } catch (AmazonServiceException e) {
            if (e.getErrorCode().equals("InvalidInstanceID.NotFound")) {
                throw new NotFoundException("AWS instance " + instanceId + " not found", e);
            }
            throw e;
        }
    }
    @Override
    public List&lt;String&gt; listAttachedVolumes(String instanceId, boolean includeRoot) {
        Validate.notEmpty(instanceId);
        LOGGER.info(String.format("Listing volumes attached to instance %s in region %s.", instanceId, region));
        try {
            List&lt;String&gt; volumeIds = new ArrayList&lt;String&gt;();
            for (Instance instance : describeInstances(instanceId)) {
                String rootDeviceName = instance.getRootDeviceName();
                for (InstanceBlockDeviceMapping ibdm : instance.getBlockDeviceMappings()) {
                    EbsInstanceBlockDevice ebs = ibdm.getEbs();
                    if (ebs == null) {
                        continue;
                    }
                    String volumeId = ebs.getVolumeId();
                    if (Strings.isNullOrEmpty(volumeId)) {
                        continue;
                    }
                    if (!includeRoot &amp;&amp; rootDeviceName != null) {
                        if (rootDeviceName.equals(ibdm.getDeviceName())) {
                            continue;
                        }
                    }
                    volumeIds.add(volumeId);
                }
            }
            return volumeIds;
        } catch (AmazonServiceException e) {
            if (e.getErrorCode().equals("InvalidInstanceID.NotFound")) {
                throw new NotFoundException("AWS instance " + instanceId + " not found", e);
            }
            throw e;
        }
    }
||||||| ../base/src/main/java/com/netflix/simianarmy/client/aws/AWSClient.java
=======
    /**
     * Describe a set of security groups
     * 
     * @param instanceIds the instance ids
     * @return the instances
     */
    public List&lt;SecurityGroup&gt; describeSecurityGroups(String... groupNames) {
        AmazonEC2 ec2Client = ec2Client();
        DescribeSecurityGroupsRequest request = new DescribeSecurityGroupsRequest();
        if (groupNames == null || groupNames.length == 0) {
            LOGGER.info(String.format("Getting all EC2 security groups in region %s.", region));
            request.withGroupNames(groupNames);
        } else {
            LOGGER.info(String.format("Getting EC2 security groups for %d names in region %s.", groupNames.length,
                    region));
        }
        DescribeSecurityGroupsResult result = ec2Client.describeSecurityGroups(request);
        List&lt;SecurityGroup&gt; securityGroups = result.getSecurityGroups();
        LOGGER.info(String.format("Got %d EC2 security groups in region %s.", securityGroups.size(), region));
        return securityGroups;
    }
    /**
     * Create an (empty) EC2 security group.
     * 
     * @param name
     *            Name of group to create
     * @param description
     *            Description of group to create
     * @return ID of created group
     */
    public String createSecurityGroup(String name, String description) {
        AmazonEC2 ec2Client = ec2Client();
        CreateSecurityGroupRequest request = new CreateSecurityGroupRequest();
        request.setGroupName(name);
        request.setDescription(description);
        LOGGER.info(String.format("Creating EC2 security group %s.", name));
        CreateSecurityGroupResult result = ec2Client.createSecurityGroup(request);
        return result.getGroupId();
    }
&gt;&gt;&gt;&gt;&gt;&gt;&gt; ../right/src/main/java/com/netflix/simianarmy/client/aws/AWSClient.java</t>
  </si>
  <si>
    <t>17d1343375cf9dc365da7f725b2d0172d6682b6d</t>
  </si>
  <si>
    <t>cf7b908e948c040ccb10365476df74c4ceb2004f</t>
  </si>
  <si>
    <t>ad8f6c183d7ceafedd80c88fa11a339bb4e40d14</t>
  </si>
  <si>
    <t>95d0921114495492018694d762b5299fb0cabd7a</t>
  </si>
  <si>
    <t>library/core/src/main/java/com/google/android/exoplayer2/trackselection/MappingTrackSelector.java</t>
  </si>
  <si>
    <t xml:space="preserve">
@@ -358,8 +361,11 @@ public abstract class MappingTrackSelector extends TrackSelector {
       // Associate the group to a preferred renderer.
       int rendererIndex = findRenderer(rendererCapabilities, group);
       // Evaluate the support that the renderer provides for each track in the group.
-      int[] rendererFormatSupport = rendererIndex == rendererCapabilities.length
-          ? new int[group.length] : getFormatSupport(rendererCapabilities[rendererIndex], group);
+      @Capabilities
+      int[] rendererFormatSupport =
+          rendererIndex == rendererCapabilities.length
+              ? new int[group.length]
+              : getFormatSupport(rendererCapabilities[rendererIndex], group);
       // Stash the results.
       int rendererTrackGroupCount = rendererTrackGroupCounts[rendererIndex];
       rendererTrackGroups[rendererIndex][rendererTrackGroupCount] = group;</t>
  </si>
  <si>
    <t xml:space="preserve">
 /**
@@ -356,15 +359,17 @@ public abstract class MappingTrackSelector extends TrackSelector {
     for (int groupIndex = 0; groupIndex &lt; trackGroups.length; groupIndex++) {
       TrackGroup group = trackGroups.get(groupIndex);
       // Associate the group to a preferred renderer.
-      int rendererIndex = findRenderer(rendererCapabilities, group);
-      // Evaluate the support that the renderer provides for each track in the group.
-      int[] rendererFormatSupport = rendererIndex == rendererCapabilities.length
-          ? new int[group.length] : getFormatSupport(rendererCapabilities[rendererIndex], group);
-      // Stash the results.
-      int rendererTrackGroupCount = rendererTrackGroupCounts[rendererIndex];
-      rendererTrackGroups[rendererIndex][rendererTrackGroupCount] = group;
-      rendererFormatSupports[rendererIndex][rendererTrackGroupCount] = rendererFormatSupport;
-      rendererTrackGroupCounts[rendererIndex]++;
+      List&lt;Integer&gt; rendererIndexes = findAllRenderers(rendererCapabilities, group);
+      for(int rendererIndex: rendererIndexes) {
+        // Evaluate the support that the renderer provides for each track in the group.
+        int[] rendererFormatSupport = rendererIndex == rendererCapabilities.length
+                ? new int[group.length] : getFormatSupport(rendererCapabilities[rendererIndex], group);
+        // Stash the results.
+        int rendererTrackGroupCount = rendererTrackGroupCounts[rendererIndex];
+        rendererTrackGroups[rendererIndex][rendererTrackGroupCount] = group;
+        rendererFormatSupports[rendererIndex][rendererTrackGroupCount] = rendererFormatSupport;
+        rendererTrackGroupCounts[rendererIndex]++;
+      }
     }</t>
  </si>
  <si>
    <t xml:space="preserve">
      // Associate the group to a preferred renderer.
&lt;&lt;&lt;&lt;&lt;&lt;&lt; HEAD
      int rendererIndex = findRenderer(rendererCapabilities, group);
      // Evaluate the support that the renderer provides for each track in the group.
      @Capabilities
      int[] rendererFormatSupport =
          rendererIndex == rendererCapabilities.length
              ? new int[group.length]
              : getFormatSupport(rendererCapabilities[rendererIndex], group);
      // Stash the results.
      int rendererTrackGroupCount = rendererTrackGroupCounts[rendererIndex];
      rendererTrackGroups[rendererIndex][rendererTrackGroupCount] = group;
      rendererFormatSupports[rendererIndex][rendererTrackGroupCount] = rendererFormatSupport;
      rendererTrackGroupCounts[rendererIndex]++;
=======
      List&lt;Integer&gt; rendererIndexes = findAllRenderers(rendererCapabilities, group);
      for(int rendererIndex: rendererIndexes) {
        // Evaluate the support that the renderer provides for each track in the group.
        int[] rendererFormatSupport = rendererIndex == rendererCapabilities.length
                ? new int[group.length] : getFormatSupport(rendererCapabilities[rendererIndex], group);
        // Stash the results.
        int rendererTrackGroupCount = rendererTrackGroupCounts[rendererIndex];
        rendererTrackGroups[rendererIndex][rendererTrackGroupCount] = group;
        rendererFormatSupports[rendererIndex][rendererTrackGroupCount] = rendererFormatSupport;
        rendererTrackGroupCounts[rendererIndex]++;
      }
&gt;&gt;&gt;&gt;&gt;&gt;&gt; ad8f6c183d7ceafedd80c88fa11a339bb4e40d14
    }</t>
  </si>
  <si>
    <t xml:space="preserve">
@@ -356,10 +360,17 @@ public abstract class MappingTrackSelector extends TrackSelector {
     for (int groupIndex = 0; groupIndex &lt; trackGroups.length; groupIndex++) {
       TrackGroup group = trackGroups.get(groupIndex);
       // Associate the group to a preferred renderer.
-      int rendererIndex = findRenderer(rendererCapabilities, group);
+      boolean preferUnassociatedRenderer =
+          MimeTypes.getTrackType(group.getFormat(0).sampleMimeType) == C.TRACK_TYPE_METADATA;
+      int rendererIndex =
+          findRenderer(
+              rendererCapabilities, group, rendererTrackGroupCounts, preferUnassociatedRenderer);
       // Evaluate the support that the renderer provides for each track in the group.
-      int[] rendererFormatSupport = rendererIndex == rendererCapabilities.length
-          ? new int[group.length] : getFormatSupport(rendererCapabilities[rendererIndex], group);
+      @Capabilities
+      int[] rendererFormatSupport =
+          rendererIndex == rendererCapabilities.length
+              ? new int[group.length]
+              : getFormatSupport(rendererCapabilities[rendererIndex], group);
       // Stash the results.
       int rendererTrackGroupCount = rendererTrackGroupCounts[rendererIndex];
       rendererTrackGroups[rendererIndex][rendererTrackGroupCount] = group;</t>
  </si>
  <si>
    <t>take left side and additional change</t>
  </si>
  <si>
    <t xml:space="preserve">
    @AdaptiveSupport
    int[] rendererMixedMimeTypeAdaptationSupports =
        getMixedMimeTypeAdaptationSupports(rendererCapabilities);
    // Associate each track group to a preferred renderer, and evaluate the support that the
    // renderer provides for each track in the group.
    for (int groupIndex = 0; groupIndex &lt; trackGroups.length; groupIndex++) {
      TrackGroup group = trackGroups.get(groupIndex);
      // Associate the group to a preferred renderer.
      List&lt;Integer&gt; rendererIndexes = findAllRenderers(rendererCapabilities, group);
      for(int rendererIndex: rendererIndexes) {
      // Evaluate the support that the renderer provides for each track in the group.
      @Capabilities
      int[] rendererFormatSupport =
          rendererIndex == rendererCapabilities.length
              ? new int[group.length]
              : getFormatSupport(rendererCapabilities[rendererIndex], group);
      // Stash the results.
      int rendererTrackGroupCount = rendererTrackGroupCounts[rendererIndex];
      rendererTrackGroups[rendererIndex][rendererTrackGroupCount] = group;
      rendererFormatSupports[rendererIndex][rendererTrackGroupCount] = rendererFormatSupport;
      rendererTrackGroupCounts[rendererIndex]++;
    }
    }</t>
  </si>
  <si>
    <t>take right but change indentation</t>
  </si>
  <si>
    <t xml:space="preserve">
      List&lt;Integer&gt; rendererIndexes = findAllRenderers(rendererCapabilities, group);
      for(int rendererIndex: rendererIndexes) {
        // Evaluate the support that the renderer provides for each track in the group.
&lt;&lt;&lt;&lt;&lt;&lt;&lt; ../left/library/core/src/main/java/com/google/android/exoplayer2/trackselection/MappingTrackSelector.java
      @Capabilities
      int[] rendererFormatSupport =
          rendererIndex == rendererCapabilities.length
              ? new int[group.length]
              : getFormatSupport(rendererCapabilities[rendererIndex], group);
||||||| ../base/library/core/src/main/java/com/google/android/exoplayer2/trackselection/MappingTrackSelector.java
      int[] rendererFormatSupport = rendererIndex == rendererCapabilities.length
          ? new int[group.length] : getFormatSupport(rendererCapabilities[rendererIndex], group);
=======
        int[] rendererFormatSupport = rendererIndex == rendererCapabilities.length
                ? new int[group.length] : getFormatSupport(rendererCapabilities[rendererIndex], group);        
&gt;&gt;&gt;&gt;&gt;&gt;&gt; ../right/library/core/src/main/java/com/google/android/exoplayer2/trackselection/MappingTrackSelector.java
          rendererIndex == rendererCapabilities.length
              ? new int[group.length]
              : getFormatSupport(rendererCapabilities[rendererIndex], group);
        // Stash the results.
        int rendererTrackGroupCount = rendererTrackGroupCounts[rendererIndex];
        rendererTrackGroups[rendererIndex][rendererTrackGroupCount] = group;
        rendererFormatSupports[rendererIndex][rendererTrackGroupCount] = rendererFormatSupport;
        rendererTrackGroupCounts[rendererIndex]++;
      }</t>
  </si>
  <si>
    <t>3131279b5bc126bd20cb9563f71f0d412a882ad6</t>
  </si>
  <si>
    <t>6106f5bbe63e986b9c1ed92fdd8c8835e852e2af</t>
  </si>
  <si>
    <t>e1f50b5fae9288a8327e8a9238481eee9405dfc6</t>
  </si>
  <si>
    <t>4e78b811be01b3b859433fa173c2e7ba305518bc</t>
  </si>
  <si>
    <t>src/main/java/redis/clients/jedis/BinaryJedis.java</t>
  </si>
  <si>
    <t xml:space="preserve">
@@ -3417,4 +3426,32 @@ public class BinaryJedis implements BasicCommands, BinaryJedisCommands,
         return client.getIntegerReply();
     }
+    @Override
+    public Long pfadd(final byte[] key, final byte[]... elements) {
+        checkIsInMulti();
+        client.pfadd(key, elements);
+        return client.getIntegerReply();
+    }
+
+    @Override
+    public long pfcount(final byte[] key) {
+        checkIsInMulti();
+        client.pfcount(key);
+        return client.getIntegerReply();
+    }
+
+    @Override
+    public String pfmerge(final byte[] destkey, final byte[]... sourcekeys) {
+        checkIsInMulti();
+        client.pfmerge(destkey, sourcekeys);
+        return client.getStatusCodeReply();
+    }
+
+    @Override
+    public Long pfcount(byte[]... keys) {
+        checkIsInMulti();
+        client.pfcount(keys);
+        return client.getIntegerReply();
+    }
+
 }</t>
  </si>
  <si>
    <t xml:space="preserve">
@@ -3417,4 +3418,71 @@ public class BinaryJedis implements BasicCommands, BinaryJedisCommands,
         return client.getIntegerReply();
     }
+    public ScanResult&lt;byte[]&gt; scan(final byte[] cursor) {
+        return scan(cursor, new ScanParams());
+    }
+    
+    public ScanResult&lt;byte[]&gt; scan(final byte[] cursor, final ScanParams params) {
+        checkIsInMulti();
+        client.scan(cursor, params);
+        List&lt;Object&gt; result = client.getObjectMultiBulkReply();
+        byte[] newcursor = (byte[]) result.get(0);
+        List&lt;byte[]&gt; rawResults = (List&lt;byte[]&gt;) result.get(1);
+        return new ScanResult&lt;byte[]&gt;(newcursor, rawResults);
+    }
+    
+    public ScanResult&lt;Map.Entry&lt;byte[], byte[]&gt;&gt; hscan(final byte[] key,
+            final byte[] cursor) {
+        return hscan(key, cursor, new ScanParams());
+    }
+    
+    public ScanResult&lt;Map.Entry&lt;byte[], byte[]&gt;&gt; hscan(final byte[] key,
+            final byte[] cursor, final ScanParams params) {
+        checkIsInMulti();
+        client.hscan(key, cursor, params);
+        List&lt;Object&gt; result = client.getObjectMultiBulkReply();
+        byte[] newcursor = (byte[]) result.get(0);
+        List&lt;Map.Entry&lt;byte[], byte[]&gt;&gt; results = new ArrayList&lt;Map.Entry&lt;byte[], byte[]&gt;&gt;();
+        List&lt;byte[]&gt; rawResults = (List&lt;byte[]&gt;) result.get(1);
+        Iterator&lt;byte[]&gt; iterator = rawResults.iterator();
+        while (iterator.hasNext()) {
+            results.add(new AbstractMap.SimpleEntry&lt;byte[], byte[]&gt;(iterator.next(), 
+                    iterator.next()));
+        }
+        return new ScanResult&lt;Map.Entry&lt;byte[], byte[]&gt;&gt;(newcursor, results);
+    }
+    
+    public ScanResult&lt;byte[]&gt; sscan(final byte[] key, final byte[] cursor) {
+        return sscan(key, cursor, new ScanParams());
+    }
+    
+    public ScanResult&lt;byte[]&gt; sscan(final byte[] key, final byte[] cursor,
+            final ScanParams params) {
+        checkIsInMulti();
+        client.sscan(key, cursor, params);
+        List&lt;Object&gt; result = client.getObjectMultiBulkReply();
+        byte[] newcursor = (byte[]) result.get(0);
+        List&lt;byte[]&gt; rawResults = (List&lt;byte[]&gt;) result.get(1);
+        return new ScanResult&lt;byte[]&gt;(newcursor, rawResults);
+    }
+    
+    public ScanResult&lt;Tuple&gt; zscan(final byte[] key, final byte[] cursor) {
+        return zscan(key, cursor, new ScanParams());
+    }
+    
+    public ScanResult&lt;Tuple&gt; zscan(final byte[] key, final byte[] cursor,
+            final ScanParams params) {
+        checkIsInMulti();
+        client.zscan(key, cursor, params);
+        List&lt;Object&gt; result = client.getObjectMultiBulkReply();
+        byte[] newcursor = (byte[]) result.get(0);
+        List&lt;Tuple&gt; results = new ArrayList&lt;Tuple&gt;();
+        List&lt;byte[]&gt; rawResults = (List&lt;byte[]&gt;) result.get(1);
+        Iterator&lt;byte[]&gt; iterator = rawResults.iterator();
+        while (iterator.hasNext()) {
+            results.add(new Tuple(iterator.next(), Double
+                    .valueOf(SafeEncoder.encode(iterator.next()))));
+        }
+        return new ScanResult&lt;Tuple&gt;(newcursor, results);
+    }
 }</t>
  </si>
  <si>
    <t xml:space="preserve">
&lt;&lt;&lt;&lt;&lt;&lt;&lt; HEAD
    @Override
    public Long pfadd(final byte[] key, final byte[]... elements) {
	checkIsInMulti();
	client.pfadd(key, elements);
	return client.getIntegerReply();
    }
    @Override
    public long pfcount(final byte[] key) {
	checkIsInMulti();
	client.pfcount(key);
	return client.getIntegerReply();
    }
    @Override
    public String pfmerge(final byte[] destkey, final byte[]... sourcekeys) {
	checkIsInMulti();
	client.pfmerge(destkey, sourcekeys);
	return client.getStatusCodeReply();
    }
    @Override
    public Long pfcount(byte[]... keys) {
        checkIsInMulti();
        client.pfcount(keys);
        return client.getIntegerReply();
    }
=======
    public ScanResult&lt;byte[]&gt; scan(final byte[] cursor) {
	return scan(cursor, new ScanParams());
    }
    public ScanResult&lt;byte[]&gt; scan(final byte[] cursor, final ScanParams params) {
	checkIsInMulti();
	client.scan(cursor, params);
	List&lt;Object&gt; result = client.getObjectMultiBulkReply();
	byte[] newcursor = (byte[]) result.get(0);
	List&lt;byte[]&gt; rawResults = (List&lt;byte[]&gt;) result.get(1);
	return new ScanResult&lt;byte[]&gt;(newcursor, rawResults);
    }
    public ScanResult&lt;Map.Entry&lt;byte[], byte[]&gt;&gt; hscan(final byte[] key,
	    final byte[] cursor) {
	return hscan(key, cursor, new ScanParams());
    }
    public ScanResult&lt;Map.Entry&lt;byte[], byte[]&gt;&gt; hscan(final byte[] key,
	    final byte[] cursor, final ScanParams params) {
	checkIsInMulti();
	client.hscan(key, cursor, params);
	List&lt;Object&gt; result = client.getObjectMultiBulkReply();
	byte[] newcursor = (byte[]) result.get(0);
	List&lt;Map.Entry&lt;byte[], byte[]&gt;&gt; results = new ArrayList&lt;Map.Entry&lt;byte[], byte[]&gt;&gt;();
	List&lt;byte[]&gt; rawResults = (List&lt;byte[]&gt;) result.get(1);
	Iterator&lt;byte[]&gt; iterator = rawResults.iterator();
	while (iterator.hasNext()) {
	    results.add(new AbstractMap.SimpleEntry&lt;byte[], byte[]&gt;(iterator.next(), 
		    iterator.next()));
	}
	return new ScanResult&lt;Map.Entry&lt;byte[], byte[]&gt;&gt;(newcursor, results);
    }
    public ScanResult&lt;byte[]&gt; sscan(final byte[] key, final byte[] cursor) {
	return sscan(key, cursor, new ScanParams());
    }
    public ScanResult&lt;byte[]&gt; sscan(final byte[] key, final byte[] cursor,
	    final ScanParams params) {
	checkIsInMulti();
	client.sscan(key, cursor, params);
	List&lt;Object&gt; result = client.getObjectMultiBulkReply();
	byte[] newcursor = (byte[]) result.get(0);
	List&lt;byte[]&gt; rawResults = (List&lt;byte[]&gt;) result.get(1);
	return new ScanResult&lt;byte[]&gt;(newcursor, rawResults);
    }
    public ScanResult&lt;Tuple&gt; zscan(final byte[] key, final byte[] cursor) {
	return zscan(key, cursor, new ScanParams());
    }
    public ScanResult&lt;Tuple&gt; zscan(final byte[] key, final byte[] cursor,
	    final ScanParams params) {
	checkIsInMulti();
	client.zscan(key, cursor, params);
	List&lt;Object&gt; result = client.getObjectMultiBulkReply();
	byte[] newcursor = (byte[]) result.get(0);
	List&lt;Tuple&gt; results = new ArrayList&lt;Tuple&gt;();
	List&lt;byte[]&gt; rawResults = (List&lt;byte[]&gt;) result.get(1);
	Iterator&lt;byte[]&gt; iterator = rawResults.iterator();
	while (iterator.hasNext()) {
	    results.add(new Tuple(iterator.next(), Double
		    .valueOf(SafeEncoder.encode(iterator.next()))));
	}
	return new ScanResult&lt;Tuple&gt;(newcursor, results);
    }
&gt;&gt;&gt;&gt;&gt;&gt;&gt; e1f50b5fae9288a8327e8a9238481eee9405dfc6
}</t>
  </si>
  <si>
    <t xml:space="preserve">
@@ -3417,4 +3427,99 @@ public class BinaryJedis implements BasicCommands, BinaryJedisCommands,
         return client.getIntegerReply();
     }
+    @Override
+    public Long pfadd(final byte[] key, final byte[]... elements) {
+        checkIsInMulti();
+        client.pfadd(key, elements);
+        return client.getIntegerReply();
+    }
+
+    @Override
+    public long pfcount(final byte[] key) {
+        checkIsInMulti();
+        client.pfcount(key);
+        return client.getIntegerReply();
+    }
+
+    @Override
+    public String pfmerge(final byte[] destkey, final byte[]... sourcekeys) {
+        checkIsInMulti();
+        client.pfmerge(destkey, sourcekeys);
+        return client.getStatusCodeReply();
+    }
+
+    @Override
+    public Long pfcount(byte[]... keys) {
+        checkIsInMulti();
+        client.pfcount(keys);
+        return client.getIntegerReply();
+    }
+
+ public ScanResult&lt;byte[]&gt; scan(final byte[] cursor) {
+        return scan(cursor, new ScanParams());
+    }
+    
+    public ScanResult&lt;byte[]&gt; scan(final byte[] cursor, final ScanParams params) {
+        checkIsInMulti();
+        client.scan(cursor, params);
+        List&lt;Object&gt; result = client.getObjectMultiBulkReply();
+        byte[] newcursor = (byte[]) result.get(0);
+        List&lt;byte[]&gt; rawResults = (List&lt;byte[]&gt;) result.get(1);
+        return new ScanResult&lt;byte[]&gt;(newcursor, rawResults);
+    }
+    
+    public ScanResult&lt;Map.Entry&lt;byte[], byte[]&gt;&gt; hscan(final byte[] key,
+            final byte[] cursor) {
+        return hscan(key, cursor, new ScanParams());
+    }
+    
+    public ScanResult&lt;Map.Entry&lt;byte[], byte[]&gt;&gt; hscan(final byte[] key,
+            final byte[] cursor, final ScanParams params) {
+        checkIsInMulti();
+        client.hscan(key, cursor, params);
+        List&lt;Object&gt; result = client.getObjectMultiBulkReply();
+        byte[] newcursor = (byte[]) result.get(0);
+        List&lt;Map.Entry&lt;byte[], byte[]&gt;&gt; results = new ArrayList&lt;Map.Entry&lt;byte[], byte[]&gt;&gt;();
+        List&lt;byte[]&gt; rawResults = (List&lt;byte[]&gt;) result.get(1);
+        Iterator&lt;byte[]&gt; iterator = rawResults.iterator();
+        while (iterator.hasNext()) {
+            results.add(new AbstractMap.SimpleEntry&lt;byte[], byte[]&gt;(iterator.next(), 
+                    iterator.next()));
+        }
+        return new ScanResult&lt;Map.Entry&lt;byte[], byte[]&gt;&gt;(newcursor, results);
+    }
+    
+    public ScanResult&lt;byte[]&gt; sscan(final byte[] key, final byte[] cursor) {
+        return sscan(key, cursor, new ScanParams());
+    }
+    
+    public ScanResult&lt;byte[]&gt; sscan(final byte[] key, final byte[] cursor,
+            final ScanParams params) {
+        checkIsInMulti();
+        client.sscan(key, cursor, params);
+        List&lt;Object&gt; result = client.getObjectMultiBulkReply();
+        byte[] newcursor = (byte[]) result.get(0);
+        List&lt;byte[]&gt; rawResults = (List&lt;byte[]&gt;) result.get(1);
+        return new ScanResult&lt;byte[]&gt;(newcursor, rawResults);
+    }
+    
+    public ScanResult&lt;Tuple&gt; zscan(final byte[] key, final byte[] cursor) {
+        return zscan(key, cursor, new ScanParams());
+    }
+    
+    public ScanResult&lt;Tuple&gt; zscan(final byte[] key, final byte[] cursor,
+            final ScanParams params) {
+        checkIsInMulti();
+        client.zscan(key, cursor, params);
+        List&lt;Object&gt; result = client.getObjectMultiBulkReply();
+        byte[] newcursor = (byte[]) result.get(0);
+        List&lt;Tuple&gt; results = new ArrayList&lt;Tuple&gt;();
+        List&lt;byte[]&gt; rawResults = (List&lt;byte[]&gt;) result.get(1);
+        Iterator&lt;byte[]&gt; iterator = rawResults.iterator();
+        while (iterator.hasNext()) {
+            results.add(new Tuple(iterator.next(), Double
+                    .valueOf(SafeEncoder.encode(iterator.next()))));
+        }
+        return new ScanResult&lt;Tuple&gt;(newcursor, results);
+    }
 }</t>
  </si>
  <si>
    <t>accept both sides but inserted more empty lines</t>
  </si>
  <si>
    <t xml:space="preserve">
    public ScanResult&lt;byte[]&gt; scan(final byte[] cursor) {
        return scan(cursor, new ScanParams());
    }
    public ScanResult&lt;byte[]&gt; scan(final byte[] cursor, final ScanParams params) {
        checkIsInMulti();
        client.scan(cursor, params);
        List&lt;Object&gt; result = client.getObjectMultiBulkReply();
        byte[] newcursor = (byte[]) result.get(0);
        List&lt;byte[]&gt; rawResults = (List&lt;byte[]&gt;) result.get(1);
        return new ScanResult&lt;byte[]&gt;(newcursor, rawResults);
    }
    public ScanResult&lt;Map.Entry&lt;byte[], byte[]&gt;&gt; hscan(final byte[] key,
            final byte[] cursor) {
        return hscan(key, cursor, new ScanParams());
    }
    public ScanResult&lt;Map.Entry&lt;byte[], byte[]&gt;&gt; hscan(final byte[] key,
            final byte[] cursor, final ScanParams params) {
        checkIsInMulti();
        client.hscan(key, cursor, params);
        List&lt;Object&gt; result = client.getObjectMultiBulkReply();
        byte[] newcursor = (byte[]) result.get(0);
        List&lt;Map.Entry&lt;byte[], byte[]&gt;&gt; results = new ArrayList&lt;Map.Entry&lt;byte[], byte[]&gt;&gt;();
        List&lt;byte[]&gt; rawResults = (List&lt;byte[]&gt;) result.get(1);
        Iterator&lt;byte[]&gt; iterator = rawResults.iterator();
        while (iterator.hasNext()) {
            results.add(new AbstractMap.SimpleEntry&lt;byte[], byte[]&gt;(iterator.next(), 
                    iterator.next()));
        }
        return new ScanResult&lt;Map.Entry&lt;byte[], byte[]&gt;&gt;(newcursor, results);
    }
    public ScanResult&lt;byte[]&gt; sscan(final byte[] key, final byte[] cursor) {
        return sscan(key, cursor, new ScanParams());
    }
    public ScanResult&lt;byte[]&gt; sscan(final byte[] key, final byte[] cursor,
            final ScanParams params) {
        checkIsInMulti();
        client.sscan(key, cursor, params);
        List&lt;Object&gt; result = client.getObjectMultiBulkReply();
        byte[] newcursor = (byte[]) result.get(0);
        List&lt;byte[]&gt; rawResults = (List&lt;byte[]&gt;) result.get(1);
        return new ScanResult&lt;byte[]&gt;(newcursor, rawResults);
    }
    public ScanResult&lt;Tuple&gt; zscan(final byte[] key, final byte[] cursor) {
        return zscan(key, cursor, new ScanParams());
    }
    public ScanResult&lt;Tuple&gt; zscan(final byte[] key, final byte[] cursor,
            final ScanParams params) {
        checkIsInMulti();
        client.zscan(key, cursor, params);
        List&lt;Object&gt; result = client.getObjectMultiBulkReply();
        byte[] newcursor = (byte[]) result.get(0);
        List&lt;Tuple&gt; results = new ArrayList&lt;Tuple&gt;();
        List&lt;byte[]&gt; rawResults = (List&lt;byte[]&gt;) result.get(1);
        Iterator&lt;byte[]&gt; iterator = rawResults.iterator();
        while (iterator.hasNext()) {
            results.add(new Tuple(iterator.next(), Double
                    .valueOf(SafeEncoder.encode(iterator.next()))));
        }
        return new ScanResult&lt;Tuple&gt;(newcursor, results);
    }
    public Long bitpos(final byte[] key, final boolean value) {
        return bitpos(key, value, new BitPosParams());
    }
    public Long bitpos(final byte[] key, final boolean value, final BitPosParams params) {
        client.bitpos(key, value, params);
        return client.getIntegerReply();
    }
    @Override
    public Long pfadd(final byte[] key, final byte[]... elements) {
        checkIsInMulti();
        client.pfadd(key, elements);
        return client.getIntegerReply();
    }
    @Override
    public long pfcount(final byte[] key) {
        checkIsInMulti();
        client.pfcount(key);
        return client.getIntegerReply();
    }
    @Override
    public String pfmerge(final byte[] destkey, final byte[]... sourcekeys) {
        checkIsInMulti();
        client.pfmerge(destkey, sourcekeys);
        return client.getStatusCodeReply();
    }
    @Override
    public Long pfcount(byte[]... keys) {
        checkIsInMulti();
        client.pfcount(keys);
        return client.getIntegerReply();
    }</t>
  </si>
  <si>
    <t xml:space="preserve">
  @Override public Long pfadd(final byte[] key, final byte[]... elements) {
    checkIsInMulti();
    client.pfadd(key, elements);
    return client.getIntegerReply();
  }
  public ScanResult&lt;byte[]&gt; scan(final byte[] cursor) {
    return scan(cursor, new ScanParams());
  }
  @Override public long pfcount(final byte[] key) {
    checkIsInMulti();
    client.pfcount(key);
    return client.getIntegerReply();
  }
  public ScanResult&lt;byte[]&gt; scan(final byte[] cursor, final ScanParams params) {
    checkIsInMulti();
    client.scan(cursor, params);
    List&lt;Object&gt; result = client.getObjectMultiBulkReply();
    byte[] newcursor = (byte[]) result.get(0);
    List&lt;byte[]&gt; rawResults = (List&lt;byte[]&gt;) result.get(1);
    return new ScanResult&lt;byte[]&gt;(newcursor, rawResults);
  }
  @Override public String pfmerge(final byte[] destkey, final byte[]... sourcekeys) {
    checkIsInMulti();
    client.pfmerge(destkey, sourcekeys);
    return client.getStatusCodeReply();
  }
  public ScanResult&lt;Map.Entry&lt;byte[], byte[]&gt;&gt; hscan(final byte[] key, final byte[] cursor) {
    return hscan(key, cursor, new ScanParams());
  }
  @Override public Long pfcount(byte[]... keys) {
    checkIsInMulti();
    client.pfcount(keys);
    return client.getIntegerReply();
  }
  public ScanResult&lt;Map.Entry&lt;byte[], byte[]&gt;&gt; hscan(final byte[] key, final byte[] cursor, final ScanParams params) {
    checkIsInMulti();
    client.hscan(key, cursor, params);
    List&lt;Object&gt; result = client.getObjectMultiBulkReply();
    byte[] newcursor = (byte[]) result.get(0);
    List&lt;Map.Entry&lt;byte[], byte[]&gt;&gt; results = new ArrayList&lt;Map.Entry&lt;byte[], byte[]&gt;&gt;();
    List&lt;byte[]&gt; rawResults = (List&lt;byte[]&gt;) result.get(1);
    Iterator&lt;byte[]&gt; iterator = rawResults.iterator();
    while (iterator.hasNext()) {
      results.add(new AbstractMap.SimpleEntry&lt;byte[], byte[]&gt;(iterator.next(), iterator.next()));
    }
    return new ScanResult&lt;Map.Entry&lt;byte[], byte[]&gt;&gt;(newcursor, results);
  }
  public ScanResult&lt;byte[]&gt; sscan(final byte[] key, final byte[] cursor) {
    return sscan(key, cursor, new ScanParams());
  }
  public ScanResult&lt;byte[]&gt; sscan(final byte[] key, final byte[] cursor, final ScanParams params) {
    checkIsInMulti();
    client.sscan(key, cursor, params);
    List&lt;Object&gt; result = client.getObjectMultiBulkReply();
    byte[] newcursor = (byte[]) result.get(0);
    List&lt;byte[]&gt; rawResults = (List&lt;byte[]&gt;) result.get(1);
    return new ScanResult&lt;byte[]&gt;(newcursor, rawResults);
  }
  public ScanResult&lt;Tuple&gt; zscan(final byte[] key, final byte[] cursor) {
    return zscan(key, cursor, new ScanParams());
  }
  public ScanResult&lt;Tuple&gt; zscan(final byte[] key, final byte[] cursor, final ScanParams params) {
    checkIsInMulti();
    client.zscan(key, cursor, params);
    List&lt;Object&gt; result = client.getObjectMultiBulkReply();
    byte[] newcursor = (byte[]) result.get(0);
    List&lt;Tuple&gt; results = new ArrayList&lt;Tuple&gt;();
    List&lt;byte[]&gt; rawResults = (List&lt;byte[]&gt;) result.get(1);
    Iterator&lt;byte[]&gt; iterator = rawResults.iterator();
    while (iterator.hasNext()) {
      results.add(new Tuple(iterator.next(), Double.valueOf(SafeEncoder.encode(iterator.next()))));
    }
    return new ScanResult&lt;Tuple&gt;(newcursor, results);
  }
}</t>
  </si>
  <si>
    <t xml:space="preserve">
    @Override
    public Long pfadd(final byte[] key, final byte[]... elements) {
    	checkIsInMulti();
    	client.pfadd(key, elements);
    	return client.getIntegerReply();
    }
    @Override
    public long pfcount(final byte[] key) {
    	checkIsInMulti();
    	client.pfcount(key);
    	return client.getIntegerReply();
    }
    @Override
    public String pfmerge(final byte[] destkey, final byte[]... sourcekeys) {
    	checkIsInMulti();
    	client.pfmerge(destkey, sourcekeys);
    	return client.getStatusCodeReply();
    }
    @Override
    public Long pfcount(byte[]... keys) {
        checkIsInMulti();
        client.pfcount(keys);
        return client.getIntegerReply();
    }
    public ScanResult&lt;byte[]&gt; scan(final byte[] cursor) {
    	return scan(cursor, new ScanParams());
    }
    public ScanResult&lt;byte[]&gt; scan(final byte[] cursor, final ScanParams params) {
    	checkIsInMulti();
    	client.scan(cursor, params);
    	List&lt;Object&gt; result = client.getObjectMultiBulkReply();
    	byte[] newcursor = (byte[]) result.get(0);
    	List&lt;byte[]&gt; rawResults = (List&lt;byte[]&gt;) result.get(1);
    	return new ScanResult&lt;byte[]&gt;(newcursor, rawResults);
    }
    public ScanResult&lt;Map.Entry&lt;byte[], byte[]&gt;&gt; hscan(final byte[] key,
	    final byte[] cursor) {
    	return hscan(key, cursor, new ScanParams());
    }
    public ScanResult&lt;Map.Entry&lt;byte[], byte[]&gt;&gt; hscan(final byte[] key,
	    final byte[] cursor, final ScanParams params) {
    	checkIsInMulti();
    	client.hscan(key, cursor, params);
    	List&lt;Object&gt; result = client.getObjectMultiBulkReply();
    	byte[] newcursor = (byte[]) result.get(0);
    	List&lt;Map.Entry&lt;byte[], byte[]&gt;&gt; results = new ArrayList&lt;Map.Entry&lt;byte[], byte[]&gt;&gt;();
    	List&lt;byte[]&gt; rawResults = (List&lt;byte[]&gt;) result.get(1);
    	Iterator&lt;byte[]&gt; iterator = rawResults.iterator();
    	while (iterator.hasNext()) {
	    results.add(new AbstractMap.SimpleEntry&lt;byte[], byte[]&gt;(iterator.next(), 
		    iterator.next()));
    	}
    	return new ScanResult&lt;Map.Entry&lt;byte[], byte[]&gt;&gt;(newcursor, results);
    }
    public ScanResult&lt;byte[]&gt; sscan(final byte[] key, final byte[] cursor) {
    	return sscan(key, cursor, new ScanParams());
    }
    public ScanResult&lt;byte[]&gt; sscan(final byte[] key, final byte[] cursor,
	    final ScanParams params) {
    	checkIsInMulti();
    	client.sscan(key, cursor, params);
    	List&lt;Object&gt; result = client.getObjectMultiBulkReply();
    	byte[] newcursor = (byte[]) result.get(0);
    	List&lt;byte[]&gt; rawResults = (List&lt;byte[]&gt;) result.get(1);
    	return new ScanResult&lt;byte[]&gt;(newcursor, rawResults);
    }
    public ScanResult&lt;Tuple&gt; zscan(final byte[] key, final byte[] cursor) {
    	return zscan(key, cursor, new ScanParams());
    }
    public ScanResult&lt;Tuple&gt; zscan(final byte[] key, final byte[] cursor,
	    final ScanParams params) {
    	checkIsInMulti();
    	client.zscan(key, cursor, params);
    	List&lt;Object&gt; result = client.getObjectMultiBulkReply();
    	byte[] newcursor = (byte[]) result.get(0);
    	List&lt;Tuple&gt; results = new ArrayList&lt;Tuple&gt;();
    	List&lt;byte[]&gt; rawResults = (List&lt;byte[]&gt;) result.get(1);
    	Iterator&lt;byte[]&gt; iterator = rawResults.iterator();
    	while (iterator.hasNext()) {
	    results.add(new Tuple(iterator.next(), Double
		    .valueOf(SafeEncoder.encode(iterator.next()))));
    	}
    	return new ScanResult&lt;Tuple&gt;(newcursor, results);
    }</t>
  </si>
  <si>
    <t xml:space="preserve">
    @Override
    public Long pfadd(final byte[] key, final byte[]... elements) {
	checkIsInMulti();
	client.pfadd(key, elements);
	return client.getIntegerReply();
    }
    @Override
    public long pfcount(final byte[] key) {
	checkIsInMulti();
	client.pfcount(key);
	return client.getIntegerReply();
    }
    @Override
    public String pfmerge(final byte[] destkey, final byte[]... sourcekeys) {
	checkIsInMulti();
	client.pfmerge(destkey, sourcekeys);
	return client.getStatusCodeReply();
    }
    @Override
    public Long pfcount(byte[]... keys) {
        checkIsInMulti();
        client.pfcount(keys);
        return client.getIntegerReply();
    }
    public ScanResult&lt;byte[]&gt; scan(final byte[] cursor) {
	return scan(cursor, new ScanParams());
    }
    public ScanResult&lt;byte[]&gt; scan(final byte[] cursor, final ScanParams params) {
	checkIsInMulti();
	client.scan(cursor, params);
	List&lt;Object&gt; result = client.getObjectMultiBulkReply();
	byte[] newcursor = (byte[]) result.get(0);
	List&lt;byte[]&gt; rawResults = (List&lt;byte[]&gt;) result.get(1);
	return new ScanResult&lt;byte[]&gt;(newcursor, rawResults);
    }
    public ScanResult&lt;Map.Entry&lt;byte[], byte[]&gt;&gt; hscan(final byte[] key,
	    final byte[] cursor) {
	return hscan(key, cursor, new ScanParams());
    }
    public ScanResult&lt;Map.Entry&lt;byte[], byte[]&gt;&gt; hscan(final byte[] key,
	    final byte[] cursor, final ScanParams params) {
	checkIsInMulti();
	client.hscan(key, cursor, params);
	List&lt;Object&gt; result = client.getObjectMultiBulkReply();
	byte[] newcursor = (byte[]) result.get(0);
	List&lt;Map.Entry&lt;byte[], byte[]&gt;&gt; results = new ArrayList&lt;Map.Entry&lt;byte[], byte[]&gt;&gt;();
	List&lt;byte[]&gt; rawResults = (List&lt;byte[]&gt;) result.get(1);
	Iterator&lt;byte[]&gt; iterator = rawResults.iterator();
	while (iterator.hasNext()) {
	    results.add(new AbstractMap.SimpleEntry&lt;byte[], byte[]&gt;(iterator.next(), 
		    iterator.next()));
	}
	return new ScanResult&lt;Map.Entry&lt;byte[], byte[]&gt;&gt;(newcursor, results);
    }
    public ScanResult&lt;byte[]&gt; sscan(final byte[] key, final byte[] cursor) {
	return sscan(key, cursor, new ScanParams());
    }
    public ScanResult&lt;byte[]&gt; sscan(final byte[] key, final byte[] cursor,
	    final ScanParams params) {
	checkIsInMulti();
	client.sscan(key, cursor, params);
	List&lt;Object&gt; result = client.getObjectMultiBulkReply();
	byte[] newcursor = (byte[]) result.get(0);
	List&lt;byte[]&gt; rawResults = (List&lt;byte[]&gt;) result.get(1);
	return new ScanResult&lt;byte[]&gt;(newcursor, rawResults);
    }
    public ScanResult&lt;Tuple&gt; zscan(final byte[] key, final byte[] cursor) {
	return zscan(key, cursor, new ScanParams());
    }
    public ScanResult&lt;Tuple&gt; zscan(final byte[] key, final byte[] cursor,
	    final ScanParams params) {
	checkIsInMulti();
	client.zscan(key, cursor, params);
	List&lt;Object&gt; result = client.getObjectMultiBulkReply();
	byte[] newcursor = (byte[]) result.get(0);
	List&lt;Tuple&gt; results = new ArrayList&lt;Tuple&gt;();
	List&lt;byte[]&gt; rawResults = (List&lt;byte[]&gt;) result.get(1);
	Iterator&lt;byte[]&gt; iterator = rawResults.iterator();
	while (iterator.hasNext()) {
	    results.add(new Tuple(iterator.next(), Double
		    .valueOf(SafeEncoder.encode(iterator.next()))));
	}
	return new ScanResult&lt;Tuple&gt;(newcursor, results);
    }</t>
  </si>
  <si>
    <t>rm-datasource/src/main/java/com/alibaba/fescar/rm/datasource/undo/UndoLogManager.java</t>
  </si>
  <si>
    <t xml:space="preserve">
@@ -144,7 +145,8 @@ public final class UndoLogManager {
                 for (SQLUndoLog sqlUndoLog : branchUndoLog.getSqlUndoLogs()) {
                     TableMeta tableMeta = TableMetaCache.getTableMeta(dataSourceProxy, sqlUndoLog.getTableName());
                     sqlUndoLog.setTableMeta(tableMeta);
-                    AbstractUndoExecutor undoExecutor = UndoExecutorFactory.getUndoExecutor(dataSourceProxy.getDbType(), sqlUndoLog);
+                    AbstractUndoExecutor undoExecutor = UndoExecutorFactory.getUndoExecutor(dataSourceProxy.getDbType(),
+                        sqlUndoLog);
                     undoExecutor.executeOn(conn);
                 }</t>
  </si>
  <si>
    <t xml:space="preserve">
@@ -124,69 +128,109 @@ public final class UndoLogManager {
         Connection conn = null;
         ResultSet rs = null;
         PreparedStatement selectPST = null;
-        try {
-            conn = dataSourceProxy.getPlainConnection();
-
-            // The entire undo process should run in a local transaction.
-            conn.setAutoCommit(false);
-
-            // Find UNDO LOG
-            selectPST = conn.prepareStatement(SELECT_UNDO_LOG_SQL);
-            selectPST.setLong(1, branchId);
-            selectPST.setString(2, xid);
-            rs = selectPST.executeQuery();
-
-            while (rs.next()) {
-                Blob b = rs.getBlob("rollback_info");
-                String rollbackInfo = StringUtils.blob2string(b);
-                BranchUndoLog branchUndoLog = UndoLogParserFactory.getInstance().decode(rollbackInfo);
-
-                for (SQLUndoLog sqlUndoLog : branchUndoLog.getSqlUndoLogs()) {
-                    TableMeta tableMeta = TableMetaCache.getTableMeta(dataSourceProxy, sqlUndoLog.getTableName());
-                    sqlUndoLog.setTableMeta(tableMeta);
-                    AbstractUndoExecutor undoExecutor = UndoExecutorFactory.getUndoExecutor(dataSourceProxy.getDbType(), sqlUndoLog);
-                    undoExecutor.executeOn(conn);
-                }
-
-            }
-            deleteUndoLog(xid, branchId, conn);
-            conn.commit();
-
-        } catch (Throwable e) {
-            if (conn != null) {
-                try {
-                    conn.rollback();
-                } catch (SQLException rollbackEx) {
-                    LOGGER.warn("Failed to close JDBC resource while undo ... ", rollbackEx);
-                }
-            }
-            throw new TransactionException(BranchRollbackFailed_Retriable, String.format("%s/%s", branchId, xid), e);
-
-        } finally {
+        for (; ; ) {
             try {
-                if (rs != null) {
-                    rs.close();
+                conn = dataSourceProxy.getPlainConnection();
+
+                // The entire undo process should run in a local transaction.
+                conn.setAutoCommit(false);
+
+                // Find UNDO LOG
+                selectPST = conn.prepareStatement(SELECT_UNDO_LOG_SQL);
+                selectPST.setLong(1, branchId);
+                selectPST.setString(2, xid);
+                rs = selectPST.executeQuery();
+
+                boolean exists = false;
+                while (rs.next()) {
+                    exists = true;
+
+                    // It is possible that the server repeatedly sends a rollback request to roll back
+                    // the same branch transaction to multiple processes,
+                    // ensuring that only the undo_log in the normal state is processed.
+                    int state = rs.getInt("log_status");
+                    if (!canUndo(state)) {
+                        LOGGER.info("xid {} branch {}, ignore {} undo_log",
+                            xid, branchId, state);
+                        return;
+                    }
+
+                    Blob b = rs.getBlob("rollback_info");
+                    String rollbackInfo = StringUtils.blob2string(b);
+                    BranchUndoLog branchUndoLog = UndoLogParserFactory.getInstance().decode(rollbackInfo);
+
+                    for (SQLUndoLog sqlUndoLog : branchUndoLog.getSqlUndoLogs()) {
+                        TableMeta tableMeta = TableMetaCache.getTableMeta(dataSourceProxy, sqlUndoLog.getTableName());
+                        sqlUndoLog.setTableMeta(tableMeta);
+                        AbstractUndoExecutor undoExecutor = UndoExecutorFactory.getUndoExecutor(
+                            dataSourceProxy.getDbType(),
+                            sqlUndoLog);
+                        undoExecutor.executeOn(conn);
+                    }
                 }
-                if (selectPST != null) {
-                    selectPST.close();
+
+                // If undo_log exists, it means that the branch transaction has completed the first phase,
+                // we can directly roll back and clean the undo_log
+                // Otherwise, it indicates that there is an exception in the branch transaction,
+                // causing undo_log not to be written to the database.
+                // For example, the business processing timeout, the global transaction is the initiator rolls back.
+                // To ensure data consistency, we can insert an undo_log with GlobalFinished state
+                // to prevent the local transaction of the first phase of other programs from being correctly submitted.
+                // See https://github.com/alibaba/fescar/issues/489
+
+                if (exists) {
+                    deleteUndoLog(xid, branchId, conn);
+                    conn.commit();
+                    LOGGER.info("xid {} branch {}, undo_log deleted with {}",
+                        xid, branchId, State.GlobalFinished.name());
+                } else {
+                    insertUndoLogWithGlobalFinished(xid, branchId, conn);
+                    conn.commit();
+                    LOGGER.info("xid {} branch {}, undo_log added with {}",
+                        xid, branchId, State.GlobalFinished.name());
                 }
+
+                return;
+            } catch (SQLIntegrityConstraintViolationException e) {
+                // Possible undo_log has been inserted into the database by other processes, retrying rollback undo_log
+                LOGGER.info("xid {} branch {}, undo_log inserted, retry rollback",
+                    xid, branchId);
+            } catch (Throwable e) {
                 if (conn != null) {
-                    conn.close();
+                    try {
+                        conn.rollback();
+                    } catch (SQLException rollbackEx) {
+                        LOGGER.warn("Failed to close JDBC resource while undo ... ", rollbackEx);
+                    }
+                }
+                throw new TransactionException(BranchRollbackFailed_Retriable, String.format("%s/%s", branchId, xid),
+                    e);
+
+            } finally {
+                try {
+                    if (rs != null) {
+                        rs.close();
+                    }
+                    if (selectPST != null) {
+                        selectPST.close();
+                    }
+                    if (conn != null) {
+                        conn.close();
+                    }
+                } catch (SQLException closeEx) {
+                    LOGGER.warn("Failed to close JDBC resource while undo ... ", closeEx);
                 }
-            } catch (SQLException closeEx) {
-                LOGGER.warn("Failed to close JDBC resource while undo ... ", closeEx);
             }
         }
-
     }</t>
  </si>
  <si>
    <t xml:space="preserve">
&lt;&lt;&lt;&lt;&lt;&lt;&lt; HEAD
            // The entire undo process should run in a local transaction.
            conn.setAutoCommit(false);
            // Find UNDO LOG
            selectPST = conn.prepareStatement(SELECT_UNDO_LOG_SQL);
            selectPST.setLong(1, branchId);
            selectPST.setString(2, xid);
            rs = selectPST.executeQuery();
            while (rs.next()) {
                Blob b = rs.getBlob("rollback_info");
                String rollbackInfo = StringUtils.blob2string(b);
                BranchUndoLog branchUndoLog = UndoLogParserFactory.getInstance().decode(rollbackInfo);
                for (SQLUndoLog sqlUndoLog : branchUndoLog.getSqlUndoLogs()) {
                    TableMeta tableMeta = TableMetaCache.getTableMeta(dataSourceProxy, sqlUndoLog.getTableName());
                    sqlUndoLog.setTableMeta(tableMeta);
                    AbstractUndoExecutor undoExecutor = UndoExecutorFactory.getUndoExecutor(dataSourceProxy.getDbType(),
                        sqlUndoLog);
                    undoExecutor.executeOn(conn);
                }
            }
            deleteUndoLog(xid, branchId, conn);
            conn.commit();
        } catch (Throwable e) {
            if (conn != null) {
                try {
                    conn.rollback();
                } catch (SQLException rollbackEx) {
                    LOGGER.warn("Failed to close JDBC resource while undo ... ", rollbackEx);
                }
            }
            throw new TransactionException(BranchRollbackFailed_Retriable, String.format("%s/%s", branchId, xid), e);
        } finally {
=======
        for (; ; ) {
&gt;&gt;&gt;&gt;&gt;&gt;&gt; 1b2501265104d74be8d12414d40b5376a05547ee
            try {</t>
  </si>
  <si>
    <t>U I vs. D I</t>
  </si>
  <si>
    <t>onlyr right</t>
  </si>
  <si>
    <t xml:space="preserve">
          for (SQLUndoLog sqlUndoLog : branchUndoLog.getSqlUndoLogs()) {
            TableMeta tableMeta = TableMetaCache.getTableMeta(dataSourceProxy, sqlUndoLog.getTableName());
            sqlUndoLog.setTableMeta(tableMeta);
            AbstractUndoExecutor undoExecutor = UndoExecutorFactory.getUndoExecutor(dataSourceProxy.getDbType(), sqlUndoLog);
            undoExecutor.executeOn(conn);
          }
        }</t>
  </si>
  <si>
    <t>back to base</t>
  </si>
  <si>
    <t xml:space="preserve">
&lt;&lt;&lt;&lt;&lt;&lt;&lt; ours
                    AbstractUndoExecutor undoExecutor = UndoExecutorFactory.getUndoExecutor(dataSourceProxy.getDbType(),
=======
                        AbstractUndoExecutor undoExecutor = UndoExecutorFactory.getUndoExecutor(
                            dataSourceProxy.getDbType(),
&gt;&gt;&gt;&gt;&gt;&gt;&gt; theirs</t>
  </si>
  <si>
    <t xml:space="preserve">
                    for (SQLUndoLog sqlUndoLog : branchUndoLog.getSqlUndoLogs()) {
                        TableMeta tableMeta = TableMetaCache.getTableMeta(dataSourceProxy, sqlUndoLog.getTableName());
                        sqlUndoLog.setTableMeta(tableMeta);
&lt;&lt;&lt;&lt;&lt;&lt;&lt; ../left/rm-datasource/src/main/java/com/alibaba/fescar/rm/datasource/undo/UndoLogManager.java
                    AbstractUndoExecutor undoExecutor = UndoExecutorFactory.getUndoExecutor(dataSourceProxy.getDbType(),
                        sqlUndoLog);
                    undoExecutor.executeOn(conn);
||||||| ../base/rm-datasource/src/main/java/com/alibaba/fescar/rm/datasource/undo/UndoLogManager.java
                    AbstractUndoExecutor undoExecutor = UndoExecutorFactory.getUndoExecutor(dataSourceProxy.getDbType(), sqlUndoLog);
=======
                        AbstractUndoExecutor undoExecutor = UndoExecutorFactory.getUndoExecutor(
                            dataSourceProxy.getDbType(),
                            sqlUndoLog);
&gt;&gt;&gt;&gt;&gt;&gt;&gt; ../right/rm-datasource/src/main/java/com/alibaba/fescar/rm/datasource/undo/UndoLogManager.java
                            sqlUndoLog);
                        undoExecutor.executeOn(conn);
                    }</t>
  </si>
  <si>
    <t>48972cf7c810802eeb88bb0babbabc56f34023d5</t>
  </si>
  <si>
    <t>fd77ab81f7e048bf0d18761d896810e2ed05785c</t>
  </si>
  <si>
    <t>0d77160bf1e6891bbd2cbd163699682fa7ca7b0d</t>
  </si>
  <si>
    <t>e842d096869bf04097ad0eb61a51a52ab74a4957</t>
  </si>
  <si>
    <t>src/main/java/org/vertx/java/core/eventbus/impl/DefaultEventBus.java</t>
  </si>
  <si>
    <t xml:space="preserve">
@@ -581,32 +541,38 @@ public class DefaultEventBus implements EventBus {
   // Called when a message is incoming
   private void receiveMessage(BaseMessage msg) {
     msg.bus = this;
-    final Map&lt;HandlerHolder, String&gt; map = handlers.get(msg.address);
-    if (map != null) {
-      boolean replyHandler = false;
-      for (final HandlerHolder holder: map.keySet()) {
-        if (holder.replyHandler) {
-          replyHandler = true;
+    final Handlers handlers = handlerMap.get(msg.address);
+    if (handlers != null) {
+      if (msg.send) {
+        //Choose one
+        HandlerHolder holder = handlers.choose();
+        if (holder != null) {
+          doReceive(handlers, msg, holder);
+        }
+      } else {
+        // Publish
+        for (final HandlerHolder holder: handlers.map.keySet()) {
+          doReceive(handlers, msg, holder);
         }
-        // Each handler gets a fresh copy
-        final Message copied = msg.copy();
-
-        holder.context.execute(new Runnable() {
-          public void run() {
-            // Need to check handler is still there - the handler might have been removed after the message were sent but
-            // before it was received
-            if (map.containsKey(holder)) {
-              holder.handler.handle(copied);
-            }
-          }
-        });
-      }
-      if (replyHandler) {
-        handlers.remove(msg.address);
       }
     }
   }</t>
  </si>
  <si>
    <t xml:space="preserve">
@@ -579,15 +585,11 @@ public class DefaultEventBus implements EventBus {
   }
   // Called when a message is incoming
-  private void receiveMessage(BaseMessage msg) {
+  private void receiveMessage(final BaseMessage msg) {
     msg.bus = this;
     final Map&lt;HandlerHolder, String&gt; map = handlers.get(msg.address);
     if (map != null) {
-      boolean replyHandler = false;
       for (final HandlerHolder holder: map.keySet()) {
-        if (holder.replyHandler) {
-          replyHandler = true;
-        }
         // Each handler gets a fresh copy
         final Message copied = msg.copy();
@@ -596,14 +598,17 @@ public class DefaultEventBus implements EventBus {
             // Need to check handler is still there - the handler might have been removed after the message were sent but
             // before it was received
             if (map.containsKey(holder)) {
-              holder.handler.handle(copied);
+              try {
+                holder.handler.handle(copied);
+              } finally {
+                if (holder.replyHandler) {
+                  unregisterHandler(msg.address, holder.handler);
+                }
+              }
             }
           }
         });
       }</t>
  </si>
  <si>
    <t xml:space="preserve">
&lt;&lt;&lt;&lt;&lt;&lt;&lt; HEAD
    final Handlers handlers = handlerMap.get(msg.address);
    if (handlers != null) {
      if (msg.send) {
        //Choose one
        HandlerHolder holder = handlers.choose();
        if (holder != null) {
          doReceive(handlers, msg, holder);
        }
      } else {
        // Publish
        for (final HandlerHolder holder: handlers.map.keySet()) {
          doReceive(handlers, msg, holder);
        }
=======
    final Map&lt;HandlerHolder, String&gt; map = handlers.get(msg.address);
    if (map != null) {
      for (final HandlerHolder holder: map.keySet()) {
        // Each handler gets a fresh copy
        final Message copied = msg.copy();
        holder.context.execute(new Runnable() {
          public void run() {
            // Need to check handler is still there - the handler might have been removed after the message were sent but
            // before it was received
            if (map.containsKey(holder)) {
              try {
                holder.handler.handle(copied);
              } finally {
                if (holder.replyHandler) {
                  unregisterHandler(msg.address, holder.handler);
                }
              }
            }
          }
        });
&gt;&gt;&gt;&gt;&gt;&gt;&gt; 0d77160bf1e6891bbd2cbd163699682fa7ca7b0d
      }</t>
  </si>
  <si>
    <t xml:space="preserve">
@@ -579,32 +546,44 @@ public class DefaultEventBus implements EventBus {
   }
   // Called when a message is incoming
-  private void receiveMessage(BaseMessage msg) {
+  private void receiveMessage(final BaseMessage msg) {
     msg.bus = this;
-    final Map&lt;HandlerHolder, String&gt; map = handlers.get(msg.address);
-    if (map != null) {
-      boolean replyHandler = false;
-      for (final HandlerHolder holder: map.keySet()) {
-        if (holder.replyHandler) {
-          replyHandler = true;
+    final Handlers handlers = handlerMap.get(msg.address);
+    if (handlers != null) {
+      if (msg.send) {
+        //Choose one
+        HandlerHolder holder = handlers.choose();
+        if (holder != null) {
+          doReceive(handlers, msg, holder);
+        }
+      } else {
+        // Publish
+        for (final HandlerHolder holder: handlers.map.keySet()) {
+          doReceive(handlers, msg, holder);
         }
-        // Each handler gets a fresh copy
-        final Message copied = msg.copy();
-
-        holder.context.execute(new Runnable() {
-          public void run() {
-            // Need to check handler is still there - the handler might have been removed after the message were sent but
-            // before it was received
-            if (map.containsKey(holder)) {
-              holder.handler.handle(copied);
+      }
+    }
+  }
+
+  private void doReceive(final Handlers handlers, final BaseMessage msg, final HandlerHolder holder) {
+    // Each handler gets a fresh copy
+    final Message copied = msg.copy();
+
+    holder.context.execute(new Runnable() {
+      public void run() {
+        // Need to check handler is still there - the handler might have been removed after the message were sent but
+        // before it was received
+        if (handlers.map.containsKey(holder)) {
+          try {
+            holder.handler.handle(copied);
+          } finally {
+            if (holder.replyHandler) {
+              unregisterHandler(msg.address, holder.handler);
             }
           }
-        });
-      }
-      if (replyHandler) {
-        handlers.remove(msg.address);
+        }
       }
-    }
+    });
   }</t>
  </si>
  <si>
    <t>accept parts of both sides</t>
  </si>
  <si>
    <t xml:space="preserve">
&lt;&lt;&lt;&lt;&lt;&lt;&lt; ../left/src/main/java/org/vertx/java/core/eventbus/impl/DefaultEventBus.java
  private void doReceive(final Handlers handlers, BaseMessage msg, final HandlerHolder holder) {
    final Message copied = msg.copy();
    holder.context.execute(new Runnable() {
      public void run() {
        if (handlers.map.containsKey(holder)) {
          holder.handler.handle(copied);
        }
      }
    });
  }
=======
&gt;&gt;&gt;&gt;&gt;&gt;&gt; Unknown file: This is a bug in JDime.
</t>
  </si>
  <si>
    <t xml:space="preserve">
  private void receiveMessage(BaseMessage msg) {
    msg.bus = this;
    final Map&lt;HandlerHolder, String&gt; map = handlers.get(msg.address);
    if (map != null) {
      for (final HandlerHolder holder: map.keySet()) {
        // Each handler gets a fresh copy
        final Message copied = msg.copy();
        holder.context.execute(new Runnable() {
          public void run() {
            // Need to check handler is still there - the handler might have been removed after the message were sent but
            // before it was received
            if (map.containsKey(holder)) {
              try {
                holder.handler.handle(copied);
              } finally {
                if (holder.replyHandler) {
                  unregisterHandler(msg.address, holder.handler);
                }
              }
            }
          }
        });
      }
    }
  }
  private static class HandlerHolder {
    final Context context;
    final Handler handler;
    final boolean replyHandler;</t>
  </si>
  <si>
    <t>take right and remove final keyward</t>
  </si>
  <si>
    <t xml:space="preserve">
&lt;&lt;&lt;&lt;&lt;&lt;&lt; ../left/src/main/java/org/vertx/java/core/eventbus/impl/DefaultEventBus.java
  private void doReceive(final Handlers handlers, BaseMessage msg, final HandlerHolder holder) {
    final Message copied = msg.copy();
    holder.context.execute(new Runnable() {
      public void run() {
        if (handlers.map.containsKey(holder)) {
          holder.handler.handle(copied);
        }
      }
    });
  }
=======
&gt;&gt;&gt;&gt;&gt;&gt;&gt; Unknown file: This is a bug in JDime.</t>
  </si>
  <si>
    <t xml:space="preserve">
  private void receiveMessage(BaseMessage msg) {
    msg.bus = this;
    final Map&lt;HandlerHolder, String&gt; map = handlers.get(msg.address);
    if (map != null) {
      for (final HandlerHolder holder: map.keySet()) {
&lt;&lt;&lt;&lt;&lt;&lt;&lt; ../left/src/main/java/org/vertx/java/core/eventbus/impl/DefaultEventBus.java
          doReceive(handlers, msg, holder);
        }
      }
    }
  }
  private void doReceive(final Handlers handlers, BaseMessage msg, final HandlerHolder holder) {
||||||| ../base/src/main/java/org/vertx/java/core/eventbus/impl/DefaultEventBus.java
          doReceive(handlers, msg, holder);
        }
      }
    }
  }
  private void doReceive(final Handlers handlers, final BaseMessage msg, final HandlerHolder holder) {    
=======
&gt;&gt;&gt;&gt;&gt;&gt;&gt; ../right/src/main/java/org/vertx/java/core/eventbus/impl/DefaultEventBus.java
        // Each handler gets a fresh copy
        final Message copied = msg.copy();
        holder.context.execute(new Runnable() {
          public void run() {</t>
  </si>
  <si>
    <t>872bd9ad88f5c7144a999d1875f9a996be09caa7</t>
  </si>
  <si>
    <t>3ca6814948b5ed2e50e86b9353e7b6220d3b7df6</t>
  </si>
  <si>
    <t>2927bb341c6607f615905fb70ee31e15230ac97f</t>
  </si>
  <si>
    <t>03fc6fe3eba25f3a8f5a11d73e4e56128e74920e</t>
  </si>
  <si>
    <t xml:space="preserve">
@@ -4,7 +4,7 @@
         &lt;parent&gt;
                 &lt;groupId&gt;com.orientechnologies&lt;/groupId&gt;
                 &lt;artifactId&gt;orientdb-parent&lt;/artifactId&gt;
-                &lt;version&gt;1.0rc7-SNAPSHOT&lt;/version&gt;
+                &lt;version&gt;1.0rc8-SNAPSHOT&lt;/version&gt;
         &lt;/parent&gt;</t>
  </si>
  <si>
    <t xml:space="preserve">
@@ -1,72 +1,145 @@
-&lt;?xml version="1.0" encoding="UTF-8"?&gt;
-&lt;project xmlns="http://maven.apache.org/POM/4.0.0" xmlns:xsi="http://www.w3.org/2001/XMLSchema-instance" xsi:schemaLocation="http://maven.apache.org/POM/4.0.0 http://maven.apache.org/maven-v4_0_0.xsd"&gt;
-        &lt;modelVersion&gt;4.0.0&lt;/modelVersion&gt;
-        &lt;parent&gt;
-                &lt;groupId&gt;com.orientechnologies&lt;/groupId&gt;
-                &lt;artifactId&gt;orientdb-parent&lt;/artifactId&gt;
-                &lt;version&gt;1.0rc7-SNAPSHOT&lt;/version&gt;
-        &lt;/parent&gt;
-
-        &lt;artifactId&gt;orientdb-jdbc&lt;/artifactId&gt;
-        &lt;packaging&gt;jar&lt;/packaging&gt;
-        &lt;version&gt;1.0-SNAPSHOT&lt;/version&gt;
-        
-        &lt;name&gt;OrientDB JDBC&lt;/name&gt;
-
-        &lt;organization&gt;
-                &lt;name&gt;Orient Technologies&lt;/name&gt;
-                &lt;url&gt;http://www.orientechnologies.com&lt;/url&gt;
-        &lt;/organization&gt;
-        &lt;properties&gt;
-                &lt;jar.manifest.mainclass&gt;com.orientechnologies.orient.server.OServerMain&lt;/jar.manifest.mainclass&gt;
-                &lt;orient.version&gt;1.0rc7&lt;/orient.version&gt;
-        &lt;/properties&gt;
-        &lt;repositories&gt;
-                &lt;repository&gt;
-                        &lt;id&gt;orientechnologies-repository&lt;/id&gt;
-                        &lt;name&gt;Orient Technologies Maven2 Repository&lt;/name&gt;
-                        &lt;url&gt;http://www.orientechnologies.com/listing/m2&lt;/url&gt;
-                        &lt;snapshots&gt;
-                                &lt;enabled&gt;true&lt;/enabled&gt;
-                                &lt;updatePolicy&gt;always&lt;/updatePolicy&gt;
-                        &lt;/snapshots&gt;
-                &lt;/repository&gt;
-        &lt;/repositories&gt;
-        &lt;dependencies&gt;
-                &lt;dependency&gt;
-                        &lt;groupId&gt;junit&lt;/groupId&gt;
-                        &lt;artifactId&gt;junit&lt;/artifactId&gt;
-                        &lt;version&gt;4.8.2&lt;/version&gt;
-                        &lt;scope&gt;test&lt;/scope&gt;
-                &lt;/dependency&gt;
-
-                &lt;dependency&gt;
-                        &lt;groupId&gt;org.hamcrest&lt;/groupId&gt;
-                        &lt;artifactId&gt;hamcrest-all&lt;/artifactId&gt;
-                        &lt;version&gt;1.1&lt;/version&gt;
-                        &lt;scope&gt;test&lt;/scope&gt;
-                &lt;/dependency&gt;
-
-                &lt;dependency&gt;
-                        &lt;groupId&gt;com.orientechnologies&lt;/groupId&gt;
-                        &lt;artifactId&gt;orientdb-enterprise&lt;/artifactId&gt;
-                        &lt;version&gt;${orient.version}&lt;/version&gt;
-                &lt;/dependency&gt;
-        &lt;/dependencies&gt;
-
-        &lt;build&gt;
-                &lt;plugins&gt;
-                        &lt;plugin&gt;
-                                &lt;artifactId&gt;maven-jar-plugin&lt;/artifactId&gt;
-                                &lt;configuration&gt;
-                                        &lt;archive&gt;
-                                                &lt;manifest&gt;
-                                                        &lt;mainClass&gt;${jar.manifest.mainclass}&lt;/mainClass&gt;
-                                                &lt;/manifest&gt;
-                                        &lt;/archive&gt;
-                                &lt;/configuration&gt;
-                        &lt;/plugin&gt;
-                &lt;/plugins&gt;
-        &lt;/build&gt;
-
-&lt;/project&gt;
+&lt;?xml version="1.0" encoding="UTF-8"?&gt;
+&lt;project xmlns="http://maven.apache.org/POM/4.0.0" xmlns:xsi="http://www.w3.org/2001/XMLSchema-instance" xsi:schemaLocation="http://maven.apache.org/POM/4.0.0 http://maven.apache.org/maven-v4_0_0.xsd"&gt;
+        &lt;modelVersion&gt;4.0.0&lt;/modelVersion&gt;
+        &lt;parent&gt;
+                &lt;groupId&gt;com.orientechnologies&lt;/groupId&gt;
+                &lt;artifactId&gt;orientdb-parent&lt;/artifactId&gt;
+                &lt;version&gt;1.0rc8-SNAPSHOT&lt;/version&gt;
+        &lt;/parent&gt;
+
+        &lt;artifactId&gt;orientdb-jdbc&lt;/artifactId&gt;
+        &lt;packaging&gt;jar&lt;/packaging&gt;
+        &lt;version&gt;1.0-SNAPSHOT&lt;/version&gt;
+        
+        &lt;name&gt;OrientDB JDBC&lt;/name&gt;
+
+        &lt;organization&gt;
+                &lt;name&gt;Orient Technologies&lt;/name&gt;
+                &lt;url&gt;http://www.orientechnologies.com&lt;/url&gt;
+        &lt;/organization&gt;
+        &lt;properties&gt;
+                &lt;jar.manifest.mainclass&gt;com.orientechnologies.orient.server.OServerMain&lt;/jar.manifest.mainclass&gt;
+                &lt;orient.version&gt;1.0rc8-SNAPSHOT&lt;/orient.version&gt;
+        &lt;tinkerpop.blueprints.version&gt;1.1&lt;/tinkerpop.blueprints.version&gt;
+        &lt;/properties&gt;
+        &lt;repositories&gt;
+                &lt;repository&gt;
+                        &lt;id&gt;orientechnologies-repository&lt;/id&gt;
+                        &lt;name&gt;Orient Technologies Maven2 Repository&lt;/name&gt;
+                        &lt;url&gt;http://www.orientechnologies.com/listing/m2&lt;/url&gt;
+                        &lt;snapshots&gt;
+                                &lt;enabled&gt;true&lt;/enabled&gt;
+                                &lt;updatePolicy&gt;always&lt;/updatePolicy&gt;
+                        &lt;/snapshots&gt;
+                &lt;/repository&gt;
+      &lt;repository&gt;
+        &lt;id&gt;tinkerpop-repository&lt;/id&gt;
+        &lt;name&gt;TinkerPop Maven2 Repository&lt;/name&gt;
+        &lt;url&gt;http://tinkerpop.com/maven2&lt;/url&gt;
+        &lt;snapshots&gt;
+          &lt;enabled&gt;true&lt;/enabled&gt;
+          &lt;updatePolicy&gt;always&lt;/updatePolicy&gt;
+        &lt;/snapshots&gt;
+      &lt;/repository&gt;
+        &lt;/repositories&gt;
+        &lt;dependencies&gt;
+                &lt;dependency&gt;
+                        &lt;groupId&gt;junit&lt;/groupId&gt;
+                        &lt;artifactId&gt;junit&lt;/artifactId&gt;
+                        &lt;version&gt;4.8.2&lt;/version&gt;
+                        &lt;scope&gt;test&lt;/scope&gt;
+                &lt;/dependency&gt;
+
+                &lt;dependency&gt;
+                        &lt;groupId&gt;org.hamcrest&lt;/groupId&gt;
+                        &lt;artifactId&gt;hamcrest-all&lt;/artifactId&gt;
+                        &lt;version&gt;1.1&lt;/version&gt;
+                        &lt;scope&gt;test&lt;/scope&gt;
+                &lt;/dependency&gt;
+
+                &lt;dependency&gt;
+                        &lt;groupId&gt;com.orientechnologies&lt;/groupId&gt;
+                        &lt;artifactId&gt;orientdb-enterprise&lt;/artifactId&gt;
+                        &lt;version&gt;${orient.version}&lt;/version&gt;
+                        &lt;exclusions&gt;
+                          &lt;exclusion&gt;
+                            &lt;artifactId&gt;orient-commons&lt;/artifactId&gt;
+                            &lt;groupId&gt;com.orientechnologies&lt;/groupId&gt;
+                          &lt;/exclusion&gt;
+                        &lt;/exclusions&gt;
+                &lt;/dependency&gt;
+    
+    &lt;dependency&gt;
+      &lt;groupId&gt;com.orientechnologies&lt;/groupId&gt;
+      &lt;artifactId&gt;orient-commons&lt;/artifactId&gt;
+      &lt;version&gt;${orient.version}&lt;/version&gt;
+    &lt;/dependency&gt;
+    
+      &lt;dependency&gt;
+        &lt;groupId&gt;com.tinkerpop.blueprints&lt;/groupId&gt;
+        &lt;artifactId&gt;blueprints-orient-graph&lt;/artifactId&gt;
+        &lt;version&gt;${tinkerpop.blueprints.version}&lt;/version&gt;
+        &lt;scope&gt;test&lt;/scope&gt;
+      &lt;/dependency&gt;
+      &lt;dependency&gt;
+        &lt;groupId&gt;com.tinkerpop.blueprints&lt;/groupId&gt;
+        &lt;artifactId&gt;blueprints-core&lt;/artifactId&gt;
+        &lt;version&gt;${tinkerpop.blueprints.version}&lt;/version&gt;
+        &lt;scope&gt;test&lt;/scope&gt;
+      &lt;/dependency&gt;
+    
+      &lt;dependency&gt;
+        &lt;groupId&gt;com.orientechnologies&lt;/groupId&gt;
+        &lt;artifactId&gt;orientdb-client&lt;/artifactId&gt;
+        &lt;version&gt;${orient.version}&lt;/version&gt;
+        &lt;scope&gt;test&lt;/scope&gt;
+      &lt;/dependency&gt;
+      &lt;dependency&gt;
+        &lt;groupId&gt;org.springframework&lt;/groupId&gt;
+        &lt;artifactId&gt;spring-jdbc&lt;/artifactId&gt;
+        &lt;version&gt;3.0.6.RELEASE&lt;/version&gt;
+        &lt;scope&gt;test&lt;/scope&gt;
+      &lt;/dependency&gt;
+      &lt;dependency&gt;
+        &lt;groupId&gt;org.springframework&lt;/groupId&gt;
+        &lt;artifactId&gt;spring-tx&lt;/artifactId&gt;
+        &lt;version&gt;3.0.6.RELEASE&lt;/version&gt;
+        &lt;scope&gt;test&lt;/scope&gt;
+      &lt;/dependency&gt;
+      &lt;dependency&gt;
+        &lt;groupId&gt;org.springframework&lt;/groupId&gt;
+        &lt;artifactId&gt;spring-core&lt;/artifactId&gt;
+        &lt;version&gt;3.0.6.RELEASE&lt;/version&gt;
+        &lt;scope&gt;test&lt;/scope&gt;
+      &lt;/dependency&gt;
+      &lt;dependency&gt;
+        &lt;groupId&gt;org.springframework&lt;/groupId&gt;
+        &lt;artifactId&gt;spring-context&lt;/artifactId&gt;
+        &lt;version&gt;3.0.6.RELEASE&lt;/version&gt;
+        &lt;scope&gt;test&lt;/scope&gt;
+      &lt;/dependency&gt;
+      &lt;dependency&gt;
+        &lt;groupId&gt;log4j&lt;/groupId&gt;
+        &lt;artifactId&gt;log4j&lt;/artifactId&gt;
+        &lt;version&gt;1.2.16&lt;/version&gt;
+        &lt;scope&gt;test&lt;/scope&gt;
+      &lt;/dependency&gt;
+   
+        &lt;/dependencies&gt;
+
+        &lt;build&gt;
+                &lt;plugins&gt;
+                        &lt;plugin&gt;
+                                &lt;artifactId&gt;maven-jar-plugin&lt;/artifactId&gt;
+                                &lt;configuration&gt;
+                                        &lt;archive&gt;
+                                                &lt;manifest&gt;
+                                                        &lt;mainClass&gt;${jar.manifest.mainclass}&lt;/mainClass&gt;
+                                                &lt;/manifest&gt;
+                                        &lt;/archive&gt;
+                                &lt;/configuration&gt;
+                        &lt;/plugin&gt;
+                &lt;/plugins&gt;
+        &lt;/build&gt;
+
+&lt;/project&gt;</t>
  </si>
  <si>
    <t xml:space="preserve">
&lt;&lt;&lt;&lt;&lt;&lt;&lt; HEAD
&lt;?xml version="1.0" encoding="UTF-8"?&gt;
&lt;project xmlns="http://maven.apache.org/POM/4.0.0" xmlns:xsi="http://www.w3.org/2001/XMLSchema-instance" xsi:schemaLocation="http://maven.apache.org/POM/4.0.0 http://maven.apache.org/maven-v4_0_0.xsd"&gt;
        &lt;modelVersion&gt;4.0.0&lt;/modelVersion&gt;
        &lt;parent&gt;
                &lt;groupId&gt;com.orientechnologies&lt;/groupId&gt;
                &lt;artifactId&gt;orientdb-parent&lt;/artifactId&gt;
                &lt;version&gt;1.0rc8-SNAPSHOT&lt;/version&gt;
        &lt;/parent&gt;
        &lt;artifactId&gt;orientdb-jdbc&lt;/artifactId&gt;
        &lt;packaging&gt;jar&lt;/packaging&gt;
        &lt;version&gt;1.0-SNAPSHOT&lt;/version&gt;
        &lt;name&gt;OrientDB JDBC&lt;/name&gt;
        &lt;organization&gt;
                &lt;name&gt;Orient Technologies&lt;/name&gt;
                &lt;url&gt;http://www.orientechnologies.com&lt;/url&gt;
        &lt;/organization&gt;
        &lt;properties&gt;
                &lt;jar.manifest.mainclass&gt;com.orientechnologies.orient.server.OServerMain&lt;/jar.manifest.mainclass&gt;
                &lt;orient.version&gt;1.0rc7&lt;/orient.version&gt;
        &lt;/properties&gt;
        &lt;repositories&gt;
                &lt;repository&gt;
                        &lt;id&gt;orientechnologies-repository&lt;/id&gt;
                        &lt;name&gt;Orient Technologies Maven2 Repository&lt;/name&gt;
                        &lt;url&gt;http://www.orientechnologies.com/listing/m2&lt;/url&gt;
                        &lt;snapshots&gt;
                                &lt;enabled&gt;true&lt;/enabled&gt;
                                &lt;updatePolicy&gt;always&lt;/updatePolicy&gt;
                        &lt;/snapshots&gt;
                &lt;/repository&gt;
        &lt;/repositories&gt;
        &lt;dependencies&gt;
                &lt;dependency&gt;
                        &lt;groupId&gt;junit&lt;/groupId&gt;
                        &lt;artifactId&gt;junit&lt;/artifactId&gt;
                        &lt;version&gt;4.8.2&lt;/version&gt;
                        &lt;scope&gt;test&lt;/scope&gt;
                &lt;/dependency&gt;
                &lt;dependency&gt;
                        &lt;groupId&gt;org.hamcrest&lt;/groupId&gt;
                        &lt;artifactId&gt;hamcrest-all&lt;/artifactId&gt;
                        &lt;version&gt;1.1&lt;/version&gt;
                        &lt;scope&gt;test&lt;/scope&gt;
                &lt;/dependency&gt;
                &lt;dependency&gt;
                        &lt;groupId&gt;com.orientechnologies&lt;/groupId&gt;
                        &lt;artifactId&gt;orientdb-enterprise&lt;/artifactId&gt;
                        &lt;version&gt;${orient.version}&lt;/version&gt;
                &lt;/dependency&gt;
        &lt;/dependencies&gt;
        &lt;build&gt;
                &lt;plugins&gt;
                        &lt;plugin&gt;
                                &lt;artifactId&gt;maven-jar-plugin&lt;/artifactId&gt;
                                &lt;configuration&gt;
                                        &lt;archive&gt;
                                                &lt;manifest&gt;
                                                        &lt;mainClass&gt;${jar.manifest.mainclass}&lt;/mainClass&gt;
                                                &lt;/manifest&gt;
                                        &lt;/archive&gt;
                                &lt;/configuration&gt;
                        &lt;/plugin&gt;
                &lt;/plugins&gt;
        &lt;/build&gt;
&lt;/project&gt;
=======
&lt;?xml version="1.0" encoding="UTF-8"?&gt;
&lt;project xmlns="http://maven.apache.org/POM/4.0.0" xmlns:xsi="http://www.w3.org/2001/XMLSchema-instance" xsi:schemaLocation="http://maven.apache.org/POM/4.0.0 http://maven.apache.org/maven-v4_0_0.xsd"&gt;
        &lt;modelVersion&gt;4.0.0&lt;/modelVersion&gt;
        &lt;parent&gt;
                &lt;groupId&gt;com.orientechnologies&lt;/groupId&gt;
                &lt;artifactId&gt;orientdb-parent&lt;/artifactId&gt;
                &lt;version&gt;1.0rc8-SNAPSHOT&lt;/version&gt;
        &lt;/parent&gt;
        &lt;artifactId&gt;orientdb-jdbc&lt;/artifactId&gt;
        &lt;packaging&gt;jar&lt;/packaging&gt;
        &lt;version&gt;1.0-SNAPSHOT&lt;/version&gt;
        &lt;name&gt;OrientDB JDBC&lt;/name&gt;
        &lt;organization&gt;
                &lt;name&gt;Orient Technologies&lt;/name&gt;
                &lt;url&gt;http://www.orientechnologies.com&lt;/url&gt;
        &lt;/organization&gt;
        &lt;properties&gt;
                &lt;jar.manifest.mainclass&gt;com.orientechnologies.orient.server.OServerMain&lt;/jar.manifest.mainclass&gt;
                &lt;orient.version&gt;1.0rc8-SNAPSHOT&lt;/orient.version&gt;
        &lt;tinkerpop.blueprints.version&gt;1.1&lt;/tinkerpop.blueprints.version&gt;
        &lt;/properties&gt;
        &lt;repositories&gt;
                &lt;repository&gt;
                        &lt;id&gt;orientechnologies-repository&lt;/id&gt;
                        &lt;name&gt;Orient Technologies Maven2 Repository&lt;/name&gt;
                        &lt;url&gt;http://www.orientechnologies.com/listing/m2&lt;/url&gt;
                        &lt;snapshots&gt;
                                &lt;enabled&gt;true&lt;/enabled&gt;
                                &lt;updatePolicy&gt;always&lt;/updatePolicy&gt;
                        &lt;/snapshots&gt;
                &lt;/repository&gt;
      &lt;repository&gt;
        &lt;id&gt;tinkerpop-repository&lt;/id&gt;
        &lt;name&gt;TinkerPop Maven2 Repository&lt;/name&gt;
        &lt;url&gt;http://tinkerpop.com/maven2&lt;/url&gt;
        &lt;snapshots&gt;
          &lt;enabled&gt;true&lt;/enabled&gt;
          &lt;updatePolicy&gt;always&lt;/updatePolicy&gt;
        &lt;/snapshots&gt;
      &lt;/repository&gt;
        &lt;/repositories&gt;
        &lt;dependencies&gt;
                &lt;dependency&gt;
                        &lt;groupId&gt;junit&lt;/groupId&gt;
                        &lt;artifactId&gt;junit&lt;/artifactId&gt;
                        &lt;version&gt;4.8.2&lt;/version&gt;
                        &lt;scope&gt;test&lt;/scope&gt;
                &lt;/dependency&gt;
                &lt;dependency&gt;
                        &lt;groupId&gt;org.hamcrest&lt;/groupId&gt;
                        &lt;artifactId&gt;hamcrest-all&lt;/artifactId&gt;
                        &lt;version&gt;1.1&lt;/version&gt;
                        &lt;scope&gt;test&lt;/scope&gt;
                &lt;/dependency&gt;
                &lt;dependency&gt;
                        &lt;groupId&gt;com.orientechnologies&lt;/groupId&gt;
                        &lt;artifactId&gt;orientdb-enterprise&lt;/artifactId&gt;
                        &lt;version&gt;${orient.version}&lt;/version&gt;
                        &lt;exclusions&gt;
                          &lt;exclusion&gt;
                            &lt;artifactId&gt;orient-commons&lt;/artifactId&gt;
                            &lt;groupId&gt;com.orientechnologies&lt;/groupId&gt;
                          &lt;/exclusion&gt;
                        &lt;/exclusions&gt;
                &lt;/dependency&gt;
    &lt;dependency&gt;
      &lt;groupId&gt;com.orientechnologies&lt;/groupId&gt;
      &lt;artifactId&gt;orient-commons&lt;/artifactId&gt;
      &lt;version&gt;${orient.version}&lt;/version&gt;
    &lt;/dependency&gt;
      &lt;dependency&gt;
        &lt;groupId&gt;com.tinkerpop.blueprints&lt;/groupId&gt;
        &lt;artifactId&gt;blueprints-orient-graph&lt;/artifactId&gt;
        &lt;version&gt;${tinkerpop.blueprints.version}&lt;/version&gt;
        &lt;scope&gt;test&lt;/scope&gt;
      &lt;/dependency&gt;
      &lt;dependency&gt;
        &lt;groupId&gt;com.tinkerpop.blueprints&lt;/groupId&gt;
        &lt;artifactId&gt;blueprints-core&lt;/artifactId&gt;
        &lt;version&gt;${tinkerpop.blueprints.version}&lt;/version&gt;
        &lt;scope&gt;test&lt;/scope&gt;
      &lt;/dependency&gt;
      &lt;dependency&gt;
        &lt;groupId&gt;com.orientechnologies&lt;/groupId&gt;
        &lt;artifactId&gt;orientdb-client&lt;/artifactId&gt;
        &lt;version&gt;${orient.version}&lt;/version&gt;
        &lt;scope&gt;test&lt;/scope&gt;
      &lt;/dependency&gt;
      &lt;dependency&gt;
        &lt;groupId&gt;org.springframework&lt;/groupId&gt;
        &lt;artifactId&gt;spring-jdbc&lt;/artifactId&gt;
        &lt;version&gt;3.0.6.RELEASE&lt;/version&gt;
        &lt;scope&gt;test&lt;/scope&gt;
      &lt;/dependency&gt;
      &lt;dependency&gt;
        &lt;groupId&gt;org.springframework&lt;/groupId&gt;
        &lt;artifactId&gt;spring-tx&lt;/artifactId&gt;
        &lt;version&gt;3.0.6.RELEASE&lt;/version&gt;
        &lt;scope&gt;test&lt;/scope&gt;
      &lt;/dependency&gt;
      &lt;dependency&gt;
        &lt;groupId&gt;org.springframework&lt;/groupId&gt;
        &lt;artifactId&gt;spring-core&lt;/artifactId&gt;
        &lt;version&gt;3.0.6.RELEASE&lt;/version&gt;
        &lt;scope&gt;test&lt;/scope&gt;
      &lt;/dependency&gt;
      &lt;dependency&gt;
        &lt;groupId&gt;org.springframework&lt;/groupId&gt;
        &lt;artifactId&gt;spring-context&lt;/artifactId&gt;
        &lt;version&gt;3.0.6.RELEASE&lt;/version&gt;
        &lt;scope&gt;test&lt;/scope&gt;
      &lt;/dependency&gt;
      &lt;dependency&gt;
        &lt;groupId&gt;log4j&lt;/groupId&gt;
        &lt;artifactId&gt;log4j&lt;/artifactId&gt;
        &lt;version&gt;1.2.16&lt;/version&gt;
        &lt;scope&gt;test&lt;/scope&gt;
      &lt;/dependency&gt;
        &lt;/dependencies&gt;
        &lt;build&gt;
                &lt;plugins&gt;
                        &lt;plugin&gt;
                                &lt;artifactId&gt;maven-jar-plugin&lt;/artifactId&gt;
                                &lt;configuration&gt;
                                        &lt;archive&gt;
                                                &lt;manifest&gt;
                                                        &lt;mainClass&gt;${jar.manifest.mainclass}&lt;/mainClass&gt;
                                                &lt;/manifest&gt;
                                        &lt;/archive&gt;
                                &lt;/configuration&gt;
                        &lt;/plugin&gt;
                &lt;/plugins&gt;
        &lt;/build&gt;
&lt;/project&gt;
&gt;&gt;&gt;&gt;&gt;&gt;&gt; 2927bb341c6607f615905fb70ee31e15230ac97f</t>
  </si>
  <si>
    <t xml:space="preserve">
@@ -1,72 +1,145 @@
-&lt;?xml version="1.0" encoding="UTF-8"?&gt;
-&lt;project xmlns="http://maven.apache.org/POM/4.0.0" xmlns:xsi="http://www.w3.org/2001/XMLSchema-instance" xsi:schemaLocation="http://maven.apache.org/POM/4.0.0 http://maven.apache.org/maven-v4_0_0.xsd"&gt;
-	&lt;modelVersion&gt;4.0.0&lt;/modelVersion&gt;
-	&lt;parent&gt;
-		&lt;groupId&gt;com.orientechnologies&lt;/groupId&gt;
-		&lt;artifactId&gt;orientdb-parent&lt;/artifactId&gt;
-		&lt;version&gt;1.0rc7-SNAPSHOT&lt;/version&gt;
-	&lt;/parent&gt;
-
-	&lt;artifactId&gt;orientdb-jdbc&lt;/artifactId&gt;
-	&lt;packaging&gt;jar&lt;/packaging&gt;
-	&lt;version&gt;1.0-SNAPSHOT&lt;/version&gt;
-	
-	&lt;name&gt;OrientDB JDBC&lt;/name&gt;
-
-	&lt;organization&gt;
-		&lt;name&gt;Orient Technologies&lt;/name&gt;
-		&lt;url&gt;http://www.orientechnologies.com&lt;/url&gt;
-	&lt;/organization&gt;
-	&lt;properties&gt;
-		&lt;jar.manifest.mainclass&gt;com.orientechnologies.orient.server.OServerMain&lt;/jar.manifest.mainclass&gt;
-		&lt;orient.version&gt;1.0rc7&lt;/orient.version&gt;
-	&lt;/properties&gt;
-	&lt;repositories&gt;
-		&lt;repository&gt;
-			&lt;id&gt;orientechnologies-repository&lt;/id&gt;
-			&lt;name&gt;Orient Technologies Maven2 Repository&lt;/name&gt;
-			&lt;url&gt;http://www.orientechnologies.com/listing/m2&lt;/url&gt;
-			&lt;snapshots&gt;
-				&lt;enabled&gt;true&lt;/enabled&gt;
-				&lt;updatePolicy&gt;always&lt;/updatePolicy&gt;
-			&lt;/snapshots&gt;
-		&lt;/repository&gt;
-	&lt;/repositories&gt;
-	&lt;dependencies&gt;
-		&lt;dependency&gt;
-			&lt;groupId&gt;junit&lt;/groupId&gt;
-			&lt;artifactId&gt;junit&lt;/artifactId&gt;
-			&lt;version&gt;4.8.2&lt;/version&gt;
-			&lt;scope&gt;test&lt;/scope&gt;
-		&lt;/dependency&gt;
-
-		&lt;dependency&gt;
-			&lt;groupId&gt;org.hamcrest&lt;/groupId&gt;
-			&lt;artifactId&gt;hamcrest-all&lt;/artifactId&gt;
-			&lt;version&gt;1.1&lt;/version&gt;
-			&lt;scope&gt;test&lt;/scope&gt;
-		&lt;/dependency&gt;
-
-		&lt;dependency&gt;
-			&lt;groupId&gt;com.orientechnologies&lt;/groupId&gt;
-			&lt;artifactId&gt;orientdb-enterprise&lt;/artifactId&gt;
-			&lt;version&gt;${orient.version}&lt;/version&gt;
-		&lt;/dependency&gt;
-	&lt;/dependencies&gt;
-
-	&lt;build&gt;
-		&lt;plugins&gt;
-			&lt;plugin&gt;
-				&lt;artifactId&gt;maven-jar-plugin&lt;/artifactId&gt;
-				&lt;configuration&gt;
-					&lt;archive&gt;
-						&lt;manifest&gt;
-							&lt;mainClass&gt;${jar.manifest.mainclass}&lt;/mainClass&gt;
-						&lt;/manifest&gt;
-					&lt;/archive&gt;
-				&lt;/configuration&gt;
-			&lt;/plugin&gt;
-		&lt;/plugins&gt;
-	&lt;/build&gt;
-
-&lt;/project&gt;
+&lt;?xml version="1.0" encoding="UTF-8"?&gt;
+&lt;project xmlns="http://maven.apache.org/POM/4.0.0" xmlns:xsi="http://www.w3.org/2001/XMLSchema-instance" xsi:schemaLocation="http://maven.apache.org/POM/4.0.0 http://maven.apache.org/maven-v4_0_0.xsd"&gt;
+	&lt;modelVersion&gt;4.0.0&lt;/modelVersion&gt;
+	&lt;parent&gt;
+		&lt;groupId&gt;com.orientechnologies&lt;/groupId&gt;
+		&lt;artifactId&gt;orientdb-parent&lt;/artifactId&gt;
+		&lt;version&gt;1.0rc8-SNAPSHOT&lt;/version&gt;
+	&lt;/parent&gt;
+
+	&lt;artifactId&gt;orientdb-jdbc&lt;/artifactId&gt;
+	&lt;packaging&gt;jar&lt;/packaging&gt;
+	&lt;version&gt;1.0-SNAPSHOT&lt;/version&gt;
+
+	&lt;name&gt;OrientDB JDBC&lt;/name&gt;
+
+	&lt;organization&gt;
+		&lt;name&gt;Orient Technologies&lt;/name&gt;
+		&lt;url&gt;http://www.orientechnologies.com&lt;/url&gt;
+	&lt;/organization&gt;
+	&lt;properties&gt;
+		&lt;jar.manifest.mainclass&gt;com.orientechnologies.orient.server.OServerMain&lt;/jar.manifest.mainclass&gt;
+		&lt;orient.version&gt;1.0rc8-SNAPSHOT&lt;/orient.version&gt;
+		&lt;tinkerpop.blueprints.version&gt;1.1&lt;/tinkerpop.blueprints.version&gt;
+	&lt;/properties&gt;
+	&lt;repositories&gt;
+		&lt;repository&gt;
+			&lt;id&gt;orientechnologies-repository&lt;/id&gt;
+			&lt;name&gt;Orient Technologies Maven2 Repository&lt;/name&gt;
+			&lt;url&gt;http://www.orientechnologies.com/listing/m2&lt;/url&gt;
+			&lt;snapshots&gt;
+				&lt;enabled&gt;true&lt;/enabled&gt;
+				&lt;updatePolicy&gt;always&lt;/updatePolicy&gt;
+			&lt;/snapshots&gt;
+		&lt;/repository&gt;
+		&lt;repository&gt;
+			&lt;id&gt;tinkerpop-repository&lt;/id&gt;
+			&lt;name&gt;TinkerPop Maven2 Repository&lt;/name&gt;
+			&lt;url&gt;http://tinkerpop.com/maven2&lt;/url&gt;
+			&lt;snapshots&gt;
+				&lt;enabled&gt;true&lt;/enabled&gt;
+				&lt;updatePolicy&gt;always&lt;/updatePolicy&gt;
+			&lt;/snapshots&gt;
+		&lt;/repository&gt;
+	&lt;/repositories&gt;
+	&lt;dependencies&gt;
+		&lt;dependency&gt;
+			&lt;groupId&gt;junit&lt;/groupId&gt;
+			&lt;artifactId&gt;junit-dep&lt;/artifactId&gt;
+			&lt;version&gt;4.10&lt;/version&gt;
+			&lt;scope&gt;test&lt;/scope&gt;
+		&lt;/dependency&gt;
+
+		&lt;dependency&gt;
+			&lt;groupId&gt;org.hamcrest&lt;/groupId&gt;
+			&lt;artifactId&gt;hamcrest-integration&lt;/artifactId&gt;
+			&lt;version&gt;1.2.1&lt;/version&gt;
+			&lt;scope&gt;test&lt;/scope&gt;
+		&lt;/dependency&gt;
+
+		&lt;dependency&gt;
+			&lt;groupId&gt;com.orientechnologies&lt;/groupId&gt;
+			&lt;artifactId&gt;orientdb-enterprise&lt;/artifactId&gt;
+			&lt;version&gt;${orient.version}&lt;/version&gt;
+			&lt;exclusions&gt;
+				&lt;exclusion&gt;
+					&lt;artifactId&gt;orient-commons&lt;/artifactId&gt;
+					&lt;groupId&gt;com.orientechnologies&lt;/groupId&gt;
+				&lt;/exclusion&gt;
+			&lt;/exclusions&gt;
+		&lt;/dependency&gt;
+
+		&lt;dependency&gt;
+			&lt;groupId&gt;com.orientechnologies&lt;/groupId&gt;
+			&lt;artifactId&gt;orient-commons&lt;/artifactId&gt;
+			&lt;version&gt;${orient.version}&lt;/version&gt;
+		&lt;/dependency&gt;
+
+		&lt;dependency&gt;
+			&lt;groupId&gt;com.tinkerpop.blueprints&lt;/groupId&gt;
+			&lt;artifactId&gt;blueprints-orient-graph&lt;/artifactId&gt;
+			&lt;version&gt;${tinkerpop.blueprints.version}&lt;/version&gt;
+			&lt;scope&gt;test&lt;/scope&gt;
+		&lt;/dependency&gt;
+		&lt;dependency&gt;
+			&lt;groupId&gt;com.tinkerpop.blueprints&lt;/groupId&gt;
+			&lt;artifactId&gt;blueprints-core&lt;/artifactId&gt;
+			&lt;version&gt;${tinkerpop.blueprints.version}&lt;/version&gt;
+			&lt;scope&gt;test&lt;/scope&gt;
+		&lt;/dependency&gt;
+
+		&lt;dependency&gt;
+			&lt;groupId&gt;com.orientechnologies&lt;/groupId&gt;
+			&lt;artifactId&gt;orientdb-client&lt;/artifactId&gt;
+			&lt;version&gt;${orient.version}&lt;/version&gt;
+			&lt;scope&gt;test&lt;/scope&gt;
+		&lt;/dependency&gt;
+		&lt;dependency&gt;
+			&lt;groupId&gt;org.springframework&lt;/groupId&gt;
+			&lt;artifactId&gt;spring-jdbc&lt;/artifactId&gt;
+			&lt;version&gt;3.0.5.RELEASE&lt;/version&gt;
+			&lt;scope&gt;test&lt;/scope&gt;
+		&lt;/dependency&gt;
+		&lt;dependency&gt;
+			&lt;groupId&gt;org.springframework&lt;/groupId&gt;
+			&lt;artifactId&gt;spring-tx&lt;/artifactId&gt;
+			&lt;version&gt;3.0.5.RELEASE&lt;/version&gt;
+			&lt;scope&gt;test&lt;/scope&gt;
+		&lt;/dependency&gt;
+		&lt;dependency&gt;
+			&lt;groupId&gt;org.springframework&lt;/groupId&gt;
+			&lt;artifactId&gt;spring-core&lt;/artifactId&gt;
+			&lt;version&gt;3.0.5.RELEASE&lt;/version&gt;
+			&lt;scope&gt;test&lt;/scope&gt;
+		&lt;/dependency&gt;
+		&lt;dependency&gt;
+			&lt;groupId&gt;org.springframework&lt;/groupId&gt;
+			&lt;artifactId&gt;spring-context&lt;/artifactId&gt;
+			&lt;version&gt;3.0.5.RELEASE&lt;/version&gt;
+			&lt;scope&gt;test&lt;/scope&gt;
+		&lt;/dependency&gt;
+		&lt;dependency&gt;
+			&lt;groupId&gt;log4j&lt;/groupId&gt;
+			&lt;artifactId&gt;log4j&lt;/artifactId&gt;
+			&lt;version&gt;1.2.16&lt;/version&gt;
+			&lt;scope&gt;test&lt;/scope&gt;
+		&lt;/dependency&gt;
+
+	&lt;/dependencies&gt;
+
+	&lt;build&gt;
+		&lt;plugins&gt;
+			&lt;plugin&gt;
+				&lt;artifactId&gt;maven-jar-plugin&lt;/artifactId&gt;
+				&lt;configuration&gt;
+					&lt;archive&gt;
+						&lt;manifest&gt;
+							&lt;mainClass&gt;${jar.manifest.mainclass}&lt;/mainClass&gt;
+						&lt;/manifest&gt;
+					&lt;/archive&gt;
+				&lt;/configuration&gt;
+			&lt;/plugin&gt;
+		&lt;/plugins&gt;
+	&lt;/build&gt;
+
+&lt;/project&gt;</t>
  </si>
  <si>
    <t>U vs. D I
L is a subset of R</t>
  </si>
  <si>
    <t>take right side and additional change</t>
  </si>
  <si>
    <t xml:space="preserve">
&lt;?xml version="1.0" encoding="UTF-8"?&gt;
&lt;project xmlns="http://maven.apache.org/POM/4.0.0" xmlns:xsi="http://www.w3.org/2001/XMLSchema-instance" xsi:schemaLocation="http://maven.apache.org/POM/4.0.0 http://maven.apache.org/maven-v4_0_0.xsd"&gt;
   &lt;modelVersion&gt;4.0.0&lt;/modelVersion&gt;
   &lt;parent&gt;
      &lt;groupId&gt;com.orientechnologies&lt;/groupId&gt;
      &lt;artifactId&gt;orientdb-parent&lt;/artifactId&gt;
      &lt;version&gt;1.0rc8-SNAPSHOT&lt;/version&gt;
   &lt;/parent&gt;
   &lt;artifactId&gt;orientdb-jdbc&lt;/artifactId&gt;
   &lt;packaging&gt;jar&lt;/packaging&gt;
   &lt;version&gt;1.0-SNAPSHOT&lt;/version&gt;
   &lt;name&gt;OrientDB JDBC&lt;/name&gt;
   &lt;organization&gt;
      &lt;name&gt;Orient Technologies&lt;/name&gt;
      &lt;url&gt;http://www.orientechnologies.com&lt;/url&gt;
   &lt;/organization&gt;
   &lt;properties&gt;
      &lt;jar.manifest.mainclass&gt;com.orientechnologies.orient.server.OServerMain&lt;/jar.manifest.mainclass&gt;
      &lt;orient.version&gt;1.0rc7&lt;/orient.version&gt;
      &lt;tinkerpop.blueprints.version&gt;1.1&lt;/tinkerpop.blueprints.version&gt;
   &lt;/properties&gt;
   &lt;repositories&gt;
      &lt;repository&gt;
         &lt;id&gt;orientechnologies-repository&lt;/id&gt;
         &lt;name&gt;Orient Technologies Maven2 Repository&lt;/name&gt;
         &lt;url&gt;http://www.orientechnologies.com/listing/m2&lt;/url&gt;
         &lt;snapshots&gt;
            &lt;enabled&gt;true&lt;/enabled&gt;
            &lt;updatePolicy&gt;always&lt;/updatePolicy&gt;
         &lt;/snapshots&gt;
      &lt;/repository&gt;
      &lt;repository&gt;
         &lt;id&gt;orientechnologies-repository&lt;/id&gt;
         &lt;name&gt;Orient Technologies Maven2 Repository&lt;/name&gt;
         &lt;url&gt;http://www.orientechnologies.com/listing/m2&lt;/url&gt;
         &lt;snapshots&gt;
            &lt;enabled&gt;true&lt;/enabled&gt;
            &lt;updatePolicy&gt;always&lt;/updatePolicy&gt;
         &lt;/snapshots&gt;
      &lt;/repository&gt;
   &lt;/repositories&gt;
   &lt;dependencies&gt;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&lt;exclusions&gt;
            &lt;exclusion&gt;
               &lt;artifactId&gt;orient-commons&lt;/artifactId&gt;
               &lt;groupId&gt;com.orientechnologies&lt;/groupId&gt;
            &lt;/exclusion&gt;
         &lt;/exclusions&gt;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   &lt;dependency&gt;
         &lt;groupId&gt;junit&lt;/groupId&gt;
         &lt;artifactId&gt;junit&lt;/artifactId&gt;
         &lt;version&gt;4.8.2&lt;/version&gt;
         &lt;scope&gt;test&lt;/scope&gt;
      &lt;/dependency&gt;
   &lt;/dependencies&gt;
   &lt;build&gt;
      &lt;plugins&gt;
         &lt;plugin&gt;
            &lt;artifactId&gt;maven-jar-plugin&lt;/artifactId&gt;
            &lt;configuration&gt;
               &lt;archive&gt;
                  &lt;manifest&gt;
                     &lt;mainClass&gt;${jar.manifest.mainclass}&lt;/mainClass&gt;
                  &lt;/manifest&gt;
               &lt;/archive&gt;
            &lt;/configuration&gt;
         &lt;/plugin&gt;
      &lt;/plugins&gt;
   &lt;/build&gt;
&lt;/project&gt;</t>
  </si>
  <si>
    <t>take left side but format difference (Na: I feel this is R+M)</t>
  </si>
  <si>
    <t xml:space="preserve">
	&lt;parent&gt;
		&lt;groupId&gt;com.orientechnologies&lt;/groupId&gt;
		&lt;artifactId&gt;orientdb-parent&lt;/artifactId&gt;
		&lt;version&gt;1.0rc8-SNAPSHOT&lt;/version&gt;
	&lt;/parent&gt;
	&lt;artifactId&gt;orientdb-jdbc&lt;/artifactId&gt;
	&lt;packaging&gt;jar&lt;/packaging&gt;
	&lt;version&gt;1.0-SNAPSHOT&lt;/version&gt;
	&lt;name&gt;OrientDB JDBC&lt;/name&gt;
	&lt;organization&gt;
		&lt;name&gt;Orient Technologies&lt;/name&gt;
		&lt;url&gt;http://www.orientechnologies.com&lt;/url&gt;
	&lt;/organization&gt;
	&lt;properties&gt;
		&lt;jar.manifest.mainclass&gt;com.orientechnologies.orient.server.OServerMain&lt;/jar.manifest.mainclass&gt;
		&lt;orient.version&gt;1.0rc8-SNAPSHOT&lt;/orient.version&gt;
        &lt;tinkerpop.blueprints.version&gt;1.1&lt;/tinkerpop.blueprints.version&gt;
	&lt;/properties&gt;</t>
  </si>
  <si>
    <t>elastic-job-cloud/elastic-job-cloud-scheduler/src/main/java/com/dangdang/ddframe/job/cloud/scheduler/boot/MasterBootstrap.java</t>
  </si>
  <si>
    <t xml:space="preserve">
     public MasterBootstrap() {
         env = BootstrapEnvironment.getInstance();
         regCenter = getRegistryCenter();
-        LeasesQueue leasesQueue = new LeasesQueue();
-        final FacadeService facadeService = new FacadeService(regCenter);
-        TaskScheduler taskScheduler = getTaskScheduler();
-        JobEventBus jobEventBus = getJobEventBus();
+        facadeService = new FacadeService(regCenter);
         Optional&lt;JobEventRdbSearch&gt; jobEventRdbSearch = Optional.absent();
         if (env.getJobEventRdbConfiguration().isPresent()) {
             jobEventRdbSearch = Optional.of(new JobEventRdbSearch(env.getJobEventRdbConfiguration().get().getDataSource()));
         }
-        final StatisticManager statisticManager = StatisticManager.getInstance(regCenter, env.getJobEventRdbConfiguration());
-        statisticManager.startup();
-        schedulerDriver = getSchedulerDriver(leasesQueue, taskScheduler, facadeService, jobEventBus, statisticManager);
+        statisticManager = StatisticManager.getInstance(regCenter, env.getJobEventRdbConfiguration());
         restfulServer = new RestfulServer(env.getRestfulServerConfiguration().getPort());
-        CloudJobRestfulApi.init(schedulerDriver, regCenter, jobEventRdbSearch);
-        initConfigurationListener();
-        final ProducerManager producerManager = ProducerManagerFactory.getInstance(schedulerDriver, regCenter);
-        producerManager.startup();
-        new Thread(new TaskLaunchProcessor(leasesQueue, schedulerDriver, taskScheduler, facadeService, jobEventBus), "task-launch-processor-" + Thread.currentThread().getId()).start();
-        new Thread(new StatisticsProcessor(), "statistics-processor-" + Thread.currentThread().getId()).start();
-        Runtime.getRuntime().addShutdownHook(new Thread() {
-            
-            @Override
-            public void run() {
-                facadeService.stop();
-                producerManager.shutdown();
-                statisticManager.shutdown();
-            }
-        });
+        frameworkIDService = new FrameworkIDService(regCenter);
+        CloudJobRestfulApi.init(regCenter, jobEventRdbSearch);
     }</t>
  </si>
  <si>
    <t xml:space="preserve">
@@ -72,15 +71,11 @@ public final class MasterBootstrap {
         final FacadeService facadeService = new FacadeService(regCenter);
         TaskScheduler taskScheduler = getTaskScheduler();
         JobEventBus jobEventBus = getJobEventBus();
-        Optional&lt;JobEventRdbSearch&gt; jobEventRdbSearch = Optional.absent();
-        if (env.getJobEventRdbConfiguration().isPresent()) {
-            jobEventRdbSearch = Optional.of(new JobEventRdbSearch(env.getJobEventRdbConfiguration().get().getDataSource()));
-        }
         final StatisticManager statisticManager = StatisticManager.getInstance(regCenter, env.getJobEventRdbConfiguration());
         statisticManager.startup();
         schedulerDriver = getSchedulerDriver(leasesQueue, taskScheduler, facadeService, jobEventBus, statisticManager);
         restfulServer = new RestfulServer(env.getRestfulServerConfiguration().getPort());
-        CloudJobRestfulApi.init(schedulerDriver, regCenter, jobEventRdbSearch);
+        CloudJobRestfulApi.init(schedulerDriver, regCenter);
         initConfigurationListener();
         final ProducerManager producerManager = ProducerManagerFactory.getInstance(schedulerDriver, regCenter);
         producerManager.startup();</t>
  </si>
  <si>
    <t xml:space="preserve">
    public MasterBootstrap() {
        env = BootstrapEnvironment.getInstance();
        regCenter = getRegistryCenter();
&lt;&lt;&lt;&lt;&lt;&lt;&lt; HEAD
        facadeService = new FacadeService(regCenter);
        Optional&lt;JobEventRdbSearch&gt; jobEventRdbSearch = Optional.absent();
        if (env.getJobEventRdbConfiguration().isPresent()) {
            jobEventRdbSearch = Optional.of(new JobEventRdbSearch(env.getJobEventRdbConfiguration().get().getDataSource()));
        }
        statisticManager = StatisticManager.getInstance(regCenter, env.getJobEventRdbConfiguration());
        restfulServer = new RestfulServer(env.getRestfulServerConfiguration().getPort());
        frameworkIDService = new FrameworkIDService(regCenter);
        CloudJobRestfulApi.init(regCenter, jobEventRdbSearch);
=======
        LeasesQueue leasesQueue = new LeasesQueue();
        final FacadeService facadeService = new FacadeService(regCenter);
        TaskScheduler taskScheduler = getTaskScheduler();
        JobEventBus jobEventBus = getJobEventBus();
        final StatisticManager statisticManager = StatisticManager.getInstance(regCenter, env.getJobEventRdbConfiguration());
        statisticManager.startup();
        schedulerDriver = getSchedulerDriver(leasesQueue, taskScheduler, facadeService, jobEventBus, statisticManager);
        restfulServer = new RestfulServer(env.getRestfulServerConfiguration().getPort());
        CloudJobRestfulApi.init(schedulerDriver, regCenter);
        initConfigurationListener();
        final ProducerManager producerManager = ProducerManagerFactory.getInstance(schedulerDriver, regCenter);
        producerManager.startup();
        new Thread(new TaskLaunchProcessor(leasesQueue, schedulerDriver, taskScheduler, facadeService, jobEventBus), "task-launch-processor-" + Thread.currentThread().getId()).start();
        new Thread(new StatisticsProcessor(), "statistics-processor-" + Thread.currentThread().getId()).start();
        Runtime.getRuntime().addShutdownHook(new Thread() {
            @Override
            public void run() {
                facadeService.stop();
                producerManager.shutdown();
                statisticManager.shutdown();
            }
        });
&gt;&gt;&gt;&gt;&gt;&gt;&gt; b94a6057fbb411b47a9a78fd7597fb0e8c29edcb
    }
    </t>
  </si>
  <si>
    <t>D I vs. D U</t>
  </si>
  <si>
    <t xml:space="preserve">
    public MasterBootstrap() {
        env = BootstrapEnvironment.getInstance();
        regCenter = getRegistryCenter();
&lt;&lt;&lt;&lt;&lt;&lt;&lt; /home/ppp/Research_Projects/Merge_Conflicts/Resource/Paper/bowen-icsme-2023-data/ConflictBench/20_Conflicts/workspace/fstmerge_tmp1703457035498/fstmerge_var1_1680154089102162154
        facadeService = new FacadeService(regCenter);
        Optional&lt;JobEventRdbSearch&gt; jobEventRdbSearch = Optional.absent();
        if (env.getJobEventRdbConfiguration().isPresent()) {
            jobEventRdbSearch = Optional.of(new JobEventRdbSearch(env.getJobEventRdbConfiguration().get().getDataSource()));
        }
        statisticManager = StatisticManager.getInstance(regCenter, env.getJobEventRdbConfiguration());
        restfulServer = new RestfulServer(env.getRestfulServerConfiguration().getPort());
        frameworkIDService = new FrameworkIDService(regCenter);
        CloudJobRestfulApi.init(regCenter, jobEventRdbSearch);
=======
        LeasesQueue leasesQueue = new LeasesQueue();
        final FacadeService facadeService = new FacadeService(regCenter);
        TaskScheduler taskScheduler = getTaskScheduler();
        JobEventBus jobEventBus = getJobEventBus();
        final StatisticManager statisticManager = StatisticManager.getInstance(regCenter, env.getJobEventRdbConfiguration());
        statisticManager.startup();
        schedulerDriver = getSchedulerDriver(leasesQueue, taskScheduler, facadeService, jobEventBus, statisticManager);
        restfulServer = new RestfulServer(env.getRestfulServerConfiguration().getPort());
        CloudJobRestfulApi.init(schedulerDriver, regCenter);
        initConfigurationListener();
        final ProducerManager producerManager = ProducerManagerFactory.getInstance(schedulerDriver, regCenter);
        producerManager.startup();
        new Thread(new TaskLaunchProcessor(leasesQueue, schedulerDriver, taskScheduler, facadeService, jobEventBus), "task-launch-processor-" + Thread.currentThread().getId()).start();
        new Thread(new StatisticsProcessor(), "statistics-processor-" + Thread.currentThread().getId()).start();
        Runtime.getRuntime().addShutdownHook(new Thread() {
            @Override
            public void run() {
                facadeService.stop();
                producerManager.shutdown();
                statisticManager.shutdown();
            }
        });
&gt;&gt;&gt;&gt;&gt;&gt;&gt; /home/ppp/Research_Projects/Merge_Conflicts/Resource/Paper/bowen-icsme-2023-data/ConflictBench/20_Conflicts/workspace/fstmerge_tmp1703457035498/fstmerge_var2_3368207892153920288
    }</t>
  </si>
  <si>
    <t xml:space="preserve">
    public MasterBootstrap() {
        env = BootstrapEnvironment.getInstance();
        regCenter = getRegistryCenter();
&lt;&lt;&lt;&lt;&lt;&lt;&lt; ours
        facadeService = new FacadeService(regCenter);
        Optional&lt;JobEventRdbSearch&gt; jobEventRdbSearch = Optional.absent();
        if (env.getJobEventRdbConfiguration().isPresent()) {
            jobEventRdbSearch = Optional.of(new JobEventRdbSearch(env.getJobEventRdbConfiguration().get().getDataSource()));
        }
        statisticManager = StatisticManager.getInstance(regCenter, env.getJobEventRdbConfiguration());
=======
        LeasesQueue leasesQueue = new LeasesQueue();
        final FacadeService facadeService = new FacadeService(regCenter);
        TaskScheduler taskScheduler = getTaskScheduler();
        JobEventBus jobEventBus = getJobEventBus();
        final StatisticManager statisticManager = StatisticManager.getInstance(regCenter, env.getJobEventRdbConfiguration());
        statisticManager.startup();
        schedulerDriver = getSchedulerDriver(leasesQueue, taskScheduler, facadeService, jobEventBus, statisticManager);
&gt;&gt;&gt;&gt;&gt;&gt;&gt; theirs
        restfulServer = new RestfulServer(env.getRestfulServerConfiguration().getPort());
&lt;&lt;&lt;&lt;&lt;&lt;&lt; ours
        frameworkIDService = new FrameworkIDService(regCenter);
        CloudJobRestfulApi.init(regCenter, jobEventRdbSearch);
=======
        CloudJobRestfulApi.init(schedulerDriver, regCenter);
        initConfigurationListener();
        final ProducerManager producerManager = ProducerManagerFactory.getInstance(schedulerDriver, regCenter);
        producerManager.startup();
        new Thread(new TaskLaunchProcessor(leasesQueue, schedulerDriver, taskScheduler, facadeService, jobEventBus), "task-launch-processor-" + Thread.currentThread().getId()).start();
        new Thread(new StatisticsProcessor(), "statistics-processor-" + Thread.currentThread().getId()).start();
        Runtime.getRuntime().addShutdownHook(new Thread() {
            @Override
            public void run() {
                facadeService.stop();
                producerManager.shutdown();
                statisticManager.shutdown();
            }
        });
&gt;&gt;&gt;&gt;&gt;&gt;&gt; theirs</t>
  </si>
  <si>
    <t xml:space="preserve">
  public MasterBootstrap() {
    env = BootstrapEnvironment.getInstance();
    regCenter = getRegistryCenter();
    facadeService = new FacadeService(regCenter);
    statisticManager = StatisticManager.getInstance(regCenter, env.getJobEventRdbConfiguration());
    restfulServer = new RestfulServer(env.getRestfulServerConfiguration().getPort());
    frameworkIDService = new FrameworkIDService(regCenter);
    CloudJobRestfulApi.init(regCenter);
  }</t>
  </si>
  <si>
    <t>take both left and right and change content and indentation</t>
  </si>
  <si>
    <t xml:space="preserve">
    public MasterBootstrap() {
        env = BootstrapEnvironment.getInstance();
        regCenter = getRegistryCenter();
        facadeService = new FacadeService(regCenter);
        statisticManager = StatisticManager.getInstance(regCenter, env.getJobEventRdbConfiguration());
        restfulServer = new RestfulServer(env.getRestfulServerConfiguration().getPort());
&lt;&lt;&lt;&lt;&lt;&lt;&lt; ../left/elastic-job-cloud/elastic-job-cloud-scheduler/src/main/java/com/dangdang/ddframe/job/cloud/scheduler/boot/MasterBootstrap.java
        frameworkIDService = new FrameworkIDService(regCenter);
        CloudJobRestfulApi.init(regCenter, jobEventRdbSearch);
||||||| ../base/elastic-job-cloud/elastic-job-cloud-scheduler/src/main/java/com/dangdang/ddframe/job/cloud/scheduler/boot/MasterBootstrap.java
        CloudJobRestfulApi.init(schedulerDriver, regCenter, jobEventRdbSearch);
=======
        frameworkIDService = new FrameworkIDService(regCenter);
        CloudJobRestfulApi.init(regCenter, jobEventRdbSearch);
&gt;&gt;&gt;&gt;&gt;&gt;&gt; ../right/elastic-job-cloud/elastic-job-cloud-scheduler/src/main/java/com/dangdang/ddframe/job/cloud/scheduler/boot/MasterBootstrap.java
        CloudJobRestfulApi.init(regCenter, jobEventRdbSearch);
    }</t>
  </si>
  <si>
    <t>Applicable Scenario</t>
  </si>
  <si>
    <t>Total Merge Scenario</t>
  </si>
  <si>
    <t>Tool Applicability</t>
  </si>
  <si>
    <t>FSTMerge</t>
  </si>
  <si>
    <t>JDime</t>
  </si>
  <si>
    <t>IntelliMerge</t>
  </si>
  <si>
    <t>AutoMerge</t>
  </si>
  <si>
    <t>KDiff3</t>
  </si>
  <si>
    <t>True Conflicts</t>
  </si>
  <si>
    <t>Report Conflicts</t>
  </si>
  <si>
    <t>Detection Precision</t>
  </si>
  <si>
    <t>Match Scenario</t>
  </si>
  <si>
    <t>Scenarios with resolution</t>
  </si>
  <si>
    <t>Resolution Desirability</t>
  </si>
  <si>
    <t>FALSE conflict
type pattern</t>
  </si>
  <si>
    <t>I + I</t>
  </si>
  <si>
    <t>I + U</t>
  </si>
  <si>
    <t xml:space="preserve"> I + N</t>
  </si>
  <si>
    <t>D + D</t>
  </si>
  <si>
    <t>D + U</t>
  </si>
  <si>
    <t>I D + I</t>
  </si>
  <si>
    <t>I D + D</t>
  </si>
  <si>
    <t>I D + U</t>
  </si>
  <si>
    <t>I D + N</t>
  </si>
  <si>
    <t>I U + I</t>
  </si>
  <si>
    <t>I U + U</t>
  </si>
  <si>
    <t>D U + D</t>
  </si>
  <si>
    <t>I D + I U</t>
  </si>
  <si>
    <t>Line #</t>
  </si>
  <si>
    <t>17,38,88,103,110,141,144</t>
  </si>
  <si>
    <t>19,21,56,57,116,132,158,170</t>
  </si>
  <si>
    <t>16,42,87,125,127</t>
  </si>
  <si>
    <t>77</t>
  </si>
  <si>
    <t>3</t>
  </si>
  <si>
    <t>4,126</t>
  </si>
  <si>
    <t>89,112,128,163,171,178</t>
  </si>
  <si>
    <t>61</t>
  </si>
  <si>
    <t>47,130,148</t>
  </si>
  <si>
    <t>14,80</t>
  </si>
  <si>
    <t>149</t>
  </si>
  <si>
    <t>6,92,155</t>
  </si>
  <si>
    <t>95</t>
  </si>
  <si>
    <t>7,40,162</t>
  </si>
  <si>
    <t>Total</t>
  </si>
  <si>
    <t>TRUE conflict
type pattern</t>
  </si>
  <si>
    <t>I vs. D</t>
  </si>
  <si>
    <t>I vs. U</t>
  </si>
  <si>
    <t>D vs. D</t>
  </si>
  <si>
    <t>D vs. U</t>
  </si>
  <si>
    <t>I D vs. D</t>
  </si>
  <si>
    <t>I D vs. U</t>
  </si>
  <si>
    <t>I U vs. U</t>
  </si>
  <si>
    <t>D U vs. D</t>
  </si>
  <si>
    <t>D U vs. U</t>
  </si>
  <si>
    <t>I D vs. I D</t>
  </si>
  <si>
    <t>I D vs. I U</t>
  </si>
  <si>
    <t>I D vs. D U</t>
  </si>
  <si>
    <t>I D vs. I</t>
  </si>
  <si>
    <t>44,78,104</t>
  </si>
  <si>
    <t>5,15,23,27,31,43,45,51,58,62,65,66,71,72,76,84,96,102,106,119,122,142,157,161,164,168</t>
  </si>
  <si>
    <t>2,9,11,13,26,32,37,41,49,52,53,55,64,69,75,86,91,93,99,100,105,108,109,115,121,134,137,143,160,173</t>
  </si>
  <si>
    <t>114,123,133,147</t>
  </si>
  <si>
    <t>20,29,50,60,68,90,113,166</t>
  </si>
  <si>
    <t>18,98,120,167</t>
  </si>
  <si>
    <t>159</t>
  </si>
  <si>
    <t>135</t>
  </si>
  <si>
    <t>10,22,67,107,117,118,150,156,175</t>
  </si>
  <si>
    <t>25,101,138,152</t>
  </si>
  <si>
    <t>8,48,73,146</t>
  </si>
  <si>
    <t>12,24,28,30,33,34,36,39,46,59,63,70,74,79,81,82,83,85,94,97,111,131,136,139,140,145,151,153,154,165,169,172,174,176,177,179,180,181</t>
  </si>
  <si>
    <t>54, 129</t>
  </si>
  <si>
    <t>Child Resolution</t>
  </si>
  <si>
    <t>TRUE Conflict</t>
  </si>
  <si>
    <t>FALSE Conflict</t>
  </si>
  <si>
    <t>FSTMerge 
Total</t>
  </si>
  <si>
    <t>FSTMerge
Match</t>
  </si>
  <si>
    <t>FSTMerge
Unmatch</t>
  </si>
  <si>
    <t>JDime
Total</t>
  </si>
  <si>
    <t>JDime
Match</t>
  </si>
  <si>
    <t>JDime
Unmatch</t>
  </si>
  <si>
    <t>IntelliMerge
Total</t>
  </si>
  <si>
    <t>IntelliMerge
Match</t>
  </si>
  <si>
    <t>IntelliMerge
Unmatch</t>
  </si>
  <si>
    <t>AutoMerge
Total</t>
  </si>
  <si>
    <t>AutoMerge
Match</t>
  </si>
  <si>
    <t>AutoMerge
Unmatch</t>
  </si>
  <si>
    <t>KDiff3
Total</t>
  </si>
  <si>
    <t>KDiff3
Match</t>
  </si>
  <si>
    <t>KDiff3
Unmatch</t>
  </si>
  <si>
    <t>True
Conflict
Reported</t>
  </si>
  <si>
    <t>Sum</t>
  </si>
  <si>
    <t>False
Conflict
Reported</t>
  </si>
  <si>
    <t>Reported Conflicts amony the 136 merge scenarios reported by KDiff3</t>
  </si>
  <si>
    <t>Regular Expression</t>
  </si>
  <si>
    <t>True Conflict:</t>
  </si>
  <si>
    <t>with "+"</t>
  </si>
  <si>
    <t>with "vs."</t>
  </si>
  <si>
    <t>Index</t>
  </si>
  <si>
    <t>I + N</t>
  </si>
  <si>
    <t>D + N</t>
  </si>
  <si>
    <t>U + N</t>
  </si>
  <si>
    <t>I U + D</t>
  </si>
  <si>
    <t>I U + N</t>
  </si>
  <si>
    <t>D U + I</t>
  </si>
  <si>
    <t>D U + U</t>
  </si>
  <si>
    <t>I D + I D</t>
  </si>
  <si>
    <t>I U vs. I</t>
  </si>
  <si>
    <t>I U vs. D</t>
  </si>
  <si>
    <t>D U vs. I</t>
  </si>
  <si>
    <t>I U vs. I 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</si>
</sst>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8.0"/>
      <color rgb="FF000000"/>
      <name val="&quot;Arial&quot;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sz val="11.0"/>
      <color theme="1"/>
      <name val="Arial"/>
    </font>
    <font>
      <u/>
      <color rgb="FF1155CC"/>
      <name val="Arial"/>
    </font>
    <font>
      <sz val="12.0"/>
      <color theme="1"/>
      <name val="Calibri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left" vertical="bottom"/>
    </xf>
    <xf quotePrefix="1"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quotePrefix="1" borderId="1" fillId="0" fontId="3" numFmtId="0" xfId="0" applyAlignment="1" applyBorder="1" applyFont="1">
      <alignment vertical="bottom"/>
    </xf>
    <xf borderId="0" fillId="2" fontId="3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0" fillId="2" fontId="3" numFmtId="0" xfId="0" applyAlignment="1" applyFont="1">
      <alignment horizontal="center" vertical="bottom"/>
    </xf>
    <xf quotePrefix="1" borderId="0" fillId="2" fontId="3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shrinkToFit="0" vertical="bottom" wrapText="0"/>
    </xf>
    <xf borderId="0" fillId="0" fontId="6" numFmtId="0" xfId="0" applyFont="1"/>
    <xf borderId="1" fillId="0" fontId="3" numFmtId="0" xfId="0" applyAlignment="1" applyBorder="1" applyFont="1">
      <alignment vertical="bottom"/>
    </xf>
    <xf borderId="0" fillId="2" fontId="3" numFmtId="0" xfId="0" applyAlignment="1" applyFont="1">
      <alignment readingOrder="0" vertical="bottom"/>
    </xf>
    <xf quotePrefix="1" borderId="0" fillId="0" fontId="3" numFmtId="0" xfId="0" applyAlignment="1" applyFont="1">
      <alignment vertical="bottom"/>
    </xf>
    <xf quotePrefix="1" borderId="0" fillId="0" fontId="6" numFmtId="0" xfId="0" applyFont="1"/>
    <xf borderId="0" fillId="0" fontId="3" numFmtId="0" xfId="0" applyAlignment="1" applyFont="1">
      <alignment shrinkToFit="0" vertical="bottom" wrapText="0"/>
    </xf>
    <xf borderId="2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vertical="bottom"/>
    </xf>
    <xf borderId="0" fillId="0" fontId="6" numFmtId="0" xfId="0" applyAlignment="1" applyFont="1">
      <alignment readingOrder="0"/>
    </xf>
    <xf quotePrefix="1" borderId="3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Font="1"/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quotePrefix="1" borderId="0" fillId="0" fontId="6" numFmtId="0" xfId="0" applyFont="1"/>
    <xf borderId="0" fillId="0" fontId="3" numFmtId="0" xfId="0" applyAlignment="1" applyFont="1">
      <alignment horizontal="left" readingOrder="0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quotePrefix="1" borderId="3" fillId="0" fontId="3" numFmtId="0" xfId="0" applyAlignment="1" applyBorder="1" applyFont="1">
      <alignment vertical="bottom"/>
    </xf>
    <xf quotePrefix="1" borderId="3" fillId="0" fontId="3" numFmtId="0" xfId="0" applyAlignment="1" applyBorder="1" applyFont="1">
      <alignment readingOrder="0" vertical="bottom"/>
    </xf>
    <xf quotePrefix="1" borderId="2" fillId="0" fontId="3" numFmtId="0" xfId="0" applyAlignment="1" applyBorder="1" applyFont="1">
      <alignment vertical="bottom"/>
    </xf>
    <xf quotePrefix="1" borderId="0" fillId="0" fontId="3" numFmtId="0" xfId="0" applyAlignment="1" applyFont="1">
      <alignment horizontal="left" readingOrder="0" vertical="bottom"/>
    </xf>
    <xf quotePrefix="1" borderId="0" fillId="0" fontId="6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2" fontId="8" numFmtId="0" xfId="0" applyAlignment="1" applyFont="1">
      <alignment vertical="bottom"/>
    </xf>
    <xf quotePrefix="1" borderId="1" fillId="2" fontId="3" numFmtId="0" xfId="0" applyAlignment="1" applyBorder="1" applyFont="1">
      <alignment vertical="bottom"/>
    </xf>
    <xf quotePrefix="1" borderId="0" fillId="2" fontId="3" numFmtId="0" xfId="0" applyAlignment="1" applyFont="1">
      <alignment vertical="bottom"/>
    </xf>
    <xf quotePrefix="1"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horizontal="left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10" xfId="0" applyAlignment="1" applyFont="1" applyNumberFormat="1">
      <alignment horizontal="right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readingOrder="0" vertical="bottom"/>
    </xf>
    <xf borderId="0" fillId="0" fontId="9" numFmtId="49" xfId="0" applyAlignment="1" applyFont="1" applyNumberFormat="1">
      <alignment horizontal="left" vertical="bottom"/>
    </xf>
    <xf borderId="0" fillId="0" fontId="9" numFmtId="0" xfId="0" applyAlignment="1" applyFont="1">
      <alignment horizontal="left" vertical="bottom"/>
    </xf>
    <xf borderId="0" fillId="0" fontId="9" numFmtId="10" xfId="0" applyAlignment="1" applyFont="1" applyNumberFormat="1">
      <alignment readingOrder="0" vertical="bottom"/>
    </xf>
    <xf borderId="4" fillId="0" fontId="6" numFmtId="0" xfId="0" applyBorder="1" applyFont="1"/>
    <xf borderId="4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4" fillId="0" fontId="6" numFmtId="0" xfId="0" applyBorder="1" applyFont="1"/>
    <xf borderId="5" fillId="0" fontId="6" numFmtId="0" xfId="0" applyBorder="1" applyFont="1"/>
    <xf borderId="0" fillId="0" fontId="6" numFmtId="0" xfId="0" applyAlignment="1" applyFont="1">
      <alignment readingOrder="0"/>
    </xf>
    <xf borderId="0" fillId="2" fontId="10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edcl/elasticsearch-analysis-ik" TargetMode="External"/><Relationship Id="rId42" Type="http://schemas.openxmlformats.org/officeDocument/2006/relationships/hyperlink" Target="https://github.com/Netflix/zuul" TargetMode="External"/><Relationship Id="rId41" Type="http://schemas.openxmlformats.org/officeDocument/2006/relationships/hyperlink" Target="https://github.com/Netflix/eureka" TargetMode="External"/><Relationship Id="rId44" Type="http://schemas.openxmlformats.org/officeDocument/2006/relationships/hyperlink" Target="https://github.com/pagehelper/Mybatis-PageHelper" TargetMode="External"/><Relationship Id="rId43" Type="http://schemas.openxmlformats.org/officeDocument/2006/relationships/hyperlink" Target="https://github.com/xetorthio/jedis" TargetMode="External"/><Relationship Id="rId46" Type="http://schemas.openxmlformats.org/officeDocument/2006/relationships/hyperlink" Target="https://github.com/perwendel/spark" TargetMode="External"/><Relationship Id="rId45" Type="http://schemas.openxmlformats.org/officeDocument/2006/relationships/hyperlink" Target="https://github.com/code4craft/webmagic" TargetMode="External"/><Relationship Id="rId107" Type="http://schemas.openxmlformats.org/officeDocument/2006/relationships/hyperlink" Target="https://github.com/sofastack/sofa-boot" TargetMode="External"/><Relationship Id="rId106" Type="http://schemas.openxmlformats.org/officeDocument/2006/relationships/hyperlink" Target="https://github.com/hazelcast/hazelcast" TargetMode="External"/><Relationship Id="rId105" Type="http://schemas.openxmlformats.org/officeDocument/2006/relationships/hyperlink" Target="https://github.com/vavr-io/vavr" TargetMode="External"/><Relationship Id="rId104" Type="http://schemas.openxmlformats.org/officeDocument/2006/relationships/hyperlink" Target="https://github.com/gephi/gephi" TargetMode="External"/><Relationship Id="rId109" Type="http://schemas.openxmlformats.org/officeDocument/2006/relationships/hyperlink" Target="https://github.com/apache/incubator-dolphinscheduler" TargetMode="External"/><Relationship Id="rId108" Type="http://schemas.openxmlformats.org/officeDocument/2006/relationships/hyperlink" Target="https://github.com/apache/groovy" TargetMode="External"/><Relationship Id="rId48" Type="http://schemas.openxmlformats.org/officeDocument/2006/relationships/hyperlink" Target="https://github.com/java-decompiler/jd-gui" TargetMode="External"/><Relationship Id="rId47" Type="http://schemas.openxmlformats.org/officeDocument/2006/relationships/hyperlink" Target="https://github.com/GoogleContainerTools/jib" TargetMode="External"/><Relationship Id="rId49" Type="http://schemas.openxmlformats.org/officeDocument/2006/relationships/hyperlink" Target="https://github.com/baomidou/mybatis-plus" TargetMode="External"/><Relationship Id="rId103" Type="http://schemas.openxmlformats.org/officeDocument/2006/relationships/hyperlink" Target="https://github.com/ffay/lanproxy" TargetMode="External"/><Relationship Id="rId102" Type="http://schemas.openxmlformats.org/officeDocument/2006/relationships/hyperlink" Target="https://github.com/yasserg/crawler4j" TargetMode="External"/><Relationship Id="rId101" Type="http://schemas.openxmlformats.org/officeDocument/2006/relationships/hyperlink" Target="https://github.com/spring-cloud/spring-cloud-netflix" TargetMode="External"/><Relationship Id="rId100" Type="http://schemas.openxmlformats.org/officeDocument/2006/relationships/hyperlink" Target="https://github.com/spring-projects/spring-petclinic" TargetMode="External"/><Relationship Id="rId31" Type="http://schemas.openxmlformats.org/officeDocument/2006/relationships/hyperlink" Target="https://github.com/zhihu/Matisse" TargetMode="External"/><Relationship Id="rId30" Type="http://schemas.openxmlformats.org/officeDocument/2006/relationships/hyperlink" Target="https://github.com/alibaba/nacos" TargetMode="External"/><Relationship Id="rId33" Type="http://schemas.openxmlformats.org/officeDocument/2006/relationships/hyperlink" Target="https://github.com/looly/hutool" TargetMode="External"/><Relationship Id="rId32" Type="http://schemas.openxmlformats.org/officeDocument/2006/relationships/hyperlink" Target="https://github.com/eclipse-vertx/vert.x" TargetMode="External"/><Relationship Id="rId35" Type="http://schemas.openxmlformats.org/officeDocument/2006/relationships/hyperlink" Target="https://github.com/prestodb/presto" TargetMode="External"/><Relationship Id="rId181" Type="http://schemas.openxmlformats.org/officeDocument/2006/relationships/drawing" Target="../drawings/drawing2.xml"/><Relationship Id="rId34" Type="http://schemas.openxmlformats.org/officeDocument/2006/relationships/hyperlink" Target="https://github.com/apache/rocketmq" TargetMode="External"/><Relationship Id="rId180" Type="http://schemas.openxmlformats.org/officeDocument/2006/relationships/hyperlink" Target="https://github.com/JCTools/JCTools" TargetMode="External"/><Relationship Id="rId37" Type="http://schemas.openxmlformats.org/officeDocument/2006/relationships/hyperlink" Target="https://github.com/apache/incubator-shardingsphere" TargetMode="External"/><Relationship Id="rId176" Type="http://schemas.openxmlformats.org/officeDocument/2006/relationships/hyperlink" Target="https://github.com/spring-cloud/spring-cloud-gateway" TargetMode="External"/><Relationship Id="rId36" Type="http://schemas.openxmlformats.org/officeDocument/2006/relationships/hyperlink" Target="https://github.com/mockito/mockito" TargetMode="External"/><Relationship Id="rId175" Type="http://schemas.openxmlformats.org/officeDocument/2006/relationships/hyperlink" Target="https://github.com/twitter/distributedlog" TargetMode="External"/><Relationship Id="rId39" Type="http://schemas.openxmlformats.org/officeDocument/2006/relationships/hyperlink" Target="https://github.com/Yalantis/uCrop" TargetMode="External"/><Relationship Id="rId174" Type="http://schemas.openxmlformats.org/officeDocument/2006/relationships/hyperlink" Target="https://github.com/liuyangming/ByteTCC" TargetMode="External"/><Relationship Id="rId38" Type="http://schemas.openxmlformats.org/officeDocument/2006/relationships/hyperlink" Target="https://github.com/iBotPeaches/Apktool" TargetMode="External"/><Relationship Id="rId173" Type="http://schemas.openxmlformats.org/officeDocument/2006/relationships/hyperlink" Target="https://github.com/FudanNLP/fnlp" TargetMode="External"/><Relationship Id="rId179" Type="http://schemas.openxmlformats.org/officeDocument/2006/relationships/hyperlink" Target="https://github.com/jMonkeyEngine/jmonkeyengine" TargetMode="External"/><Relationship Id="rId178" Type="http://schemas.openxmlformats.org/officeDocument/2006/relationships/hyperlink" Target="https://github.com/h2oai/h2o-2" TargetMode="External"/><Relationship Id="rId177" Type="http://schemas.openxmlformats.org/officeDocument/2006/relationships/hyperlink" Target="https://github.com/JSQLParser/JSqlParser" TargetMode="External"/><Relationship Id="rId20" Type="http://schemas.openxmlformats.org/officeDocument/2006/relationships/hyperlink" Target="https://github.com/dianping/cat" TargetMode="External"/><Relationship Id="rId22" Type="http://schemas.openxmlformats.org/officeDocument/2006/relationships/hyperlink" Target="https://github.com/EnterpriseQualityCoding/FizzBuzzEnterpriseEdition" TargetMode="External"/><Relationship Id="rId21" Type="http://schemas.openxmlformats.org/officeDocument/2006/relationships/hyperlink" Target="https://github.com/openzipkin/zipkin" TargetMode="External"/><Relationship Id="rId24" Type="http://schemas.openxmlformats.org/officeDocument/2006/relationships/hyperlink" Target="https://github.com/brettwooldridge/HikariCP" TargetMode="External"/><Relationship Id="rId23" Type="http://schemas.openxmlformats.org/officeDocument/2006/relationships/hyperlink" Target="https://github.com/dbeaver/dbeaver" TargetMode="External"/><Relationship Id="rId129" Type="http://schemas.openxmlformats.org/officeDocument/2006/relationships/hyperlink" Target="https://github.com/eirslett/frontend-maven-plugin" TargetMode="External"/><Relationship Id="rId128" Type="http://schemas.openxmlformats.org/officeDocument/2006/relationships/hyperlink" Target="https://github.com/CalebFenton/simplify" TargetMode="External"/><Relationship Id="rId127" Type="http://schemas.openxmlformats.org/officeDocument/2006/relationships/hyperlink" Target="https://github.com/aws/aws-sdk-java" TargetMode="External"/><Relationship Id="rId126" Type="http://schemas.openxmlformats.org/officeDocument/2006/relationships/hyperlink" Target="https://github.com/oblac/jodd" TargetMode="External"/><Relationship Id="rId26" Type="http://schemas.openxmlformats.org/officeDocument/2006/relationships/hyperlink" Target="https://github.com/LMAX-Exchange/disruptor" TargetMode="External"/><Relationship Id="rId121" Type="http://schemas.openxmlformats.org/officeDocument/2006/relationships/hyperlink" Target="https://github.com/codingapi/tx-lcn" TargetMode="External"/><Relationship Id="rId25" Type="http://schemas.openxmlformats.org/officeDocument/2006/relationships/hyperlink" Target="https://github.com/redisson/redisson" TargetMode="External"/><Relationship Id="rId120" Type="http://schemas.openxmlformats.org/officeDocument/2006/relationships/hyperlink" Target="https://github.com/oldmanpushcart/greys-anatomy" TargetMode="External"/><Relationship Id="rId28" Type="http://schemas.openxmlformats.org/officeDocument/2006/relationships/hyperlink" Target="https://github.com/linlinjava/litemall" TargetMode="External"/><Relationship Id="rId27" Type="http://schemas.openxmlformats.org/officeDocument/2006/relationships/hyperlink" Target="https://github.com/alibaba/spring-cloud-alibaba" TargetMode="External"/><Relationship Id="rId125" Type="http://schemas.openxmlformats.org/officeDocument/2006/relationships/hyperlink" Target="https://github.com/bluelinelabs/LoganSquare" TargetMode="External"/><Relationship Id="rId29" Type="http://schemas.openxmlformats.org/officeDocument/2006/relationships/hyperlink" Target="https://github.com/Bigkoo/Android-PickerView" TargetMode="External"/><Relationship Id="rId124" Type="http://schemas.openxmlformats.org/officeDocument/2006/relationships/hyperlink" Target="https://github.com/confluentinc/ksql" TargetMode="External"/><Relationship Id="rId123" Type="http://schemas.openxmlformats.org/officeDocument/2006/relationships/hyperlink" Target="https://github.com/deathmarine/Luyten" TargetMode="External"/><Relationship Id="rId122" Type="http://schemas.openxmlformats.org/officeDocument/2006/relationships/hyperlink" Target="https://github.com/roncoo/roncoo-pay" TargetMode="External"/><Relationship Id="rId95" Type="http://schemas.openxmlformats.org/officeDocument/2006/relationships/hyperlink" Target="https://github.com/hibernate/hibernate-orm" TargetMode="External"/><Relationship Id="rId94" Type="http://schemas.openxmlformats.org/officeDocument/2006/relationships/hyperlink" Target="https://github.com/JesusFreke/smali" TargetMode="External"/><Relationship Id="rId97" Type="http://schemas.openxmlformats.org/officeDocument/2006/relationships/hyperlink" Target="https://github.com/bingoogolapple/BGARefreshLayout-Android" TargetMode="External"/><Relationship Id="rId96" Type="http://schemas.openxmlformats.org/officeDocument/2006/relationships/hyperlink" Target="https://github.com/orientechnologies/orientdb" TargetMode="External"/><Relationship Id="rId11" Type="http://schemas.openxmlformats.org/officeDocument/2006/relationships/hyperlink" Target="https://github.com/alibaba/arthas" TargetMode="External"/><Relationship Id="rId99" Type="http://schemas.openxmlformats.org/officeDocument/2006/relationships/hyperlink" Target="https://github.com/spring-projects/spring-security-oauth" TargetMode="External"/><Relationship Id="rId10" Type="http://schemas.openxmlformats.org/officeDocument/2006/relationships/hyperlink" Target="https://github.com/ctripcorp/apollo" TargetMode="External"/><Relationship Id="rId98" Type="http://schemas.openxmlformats.org/officeDocument/2006/relationships/hyperlink" Target="https://github.com/graphql-java/graphql-java" TargetMode="External"/><Relationship Id="rId13" Type="http://schemas.openxmlformats.org/officeDocument/2006/relationships/hyperlink" Target="https://github.com/apache/kafka" TargetMode="External"/><Relationship Id="rId12" Type="http://schemas.openxmlformats.org/officeDocument/2006/relationships/hyperlink" Target="https://github.com/Netflix/Hystrix" TargetMode="External"/><Relationship Id="rId91" Type="http://schemas.openxmlformats.org/officeDocument/2006/relationships/hyperlink" Target="https://github.com/wuyouzhuguli/FEBS-Shiro" TargetMode="External"/><Relationship Id="rId90" Type="http://schemas.openxmlformats.org/officeDocument/2006/relationships/hyperlink" Target="https://github.com/mrniko/netty-socketio" TargetMode="External"/><Relationship Id="rId93" Type="http://schemas.openxmlformats.org/officeDocument/2006/relationships/hyperlink" Target="https://github.com/springfox/springfox" TargetMode="External"/><Relationship Id="rId92" Type="http://schemas.openxmlformats.org/officeDocument/2006/relationships/hyperlink" Target="https://github.com/apache/dubbo-spring-boot-project" TargetMode="External"/><Relationship Id="rId118" Type="http://schemas.openxmlformats.org/officeDocument/2006/relationships/hyperlink" Target="https://github.com/Atmosphere/atmosphere" TargetMode="External"/><Relationship Id="rId117" Type="http://schemas.openxmlformats.org/officeDocument/2006/relationships/hyperlink" Target="https://github.com/auth0/java-jwt" TargetMode="External"/><Relationship Id="rId116" Type="http://schemas.openxmlformats.org/officeDocument/2006/relationships/hyperlink" Target="https://github.com/alibaba/jvm-sandbox" TargetMode="External"/><Relationship Id="rId115" Type="http://schemas.openxmlformats.org/officeDocument/2006/relationships/hyperlink" Target="https://github.com/Netflix/ribbon" TargetMode="External"/><Relationship Id="rId119" Type="http://schemas.openxmlformats.org/officeDocument/2006/relationships/hyperlink" Target="https://github.com/zhoutaoo/SpringCloud" TargetMode="External"/><Relationship Id="rId15" Type="http://schemas.openxmlformats.org/officeDocument/2006/relationships/hyperlink" Target="https://github.com/seata/seata" TargetMode="External"/><Relationship Id="rId110" Type="http://schemas.openxmlformats.org/officeDocument/2006/relationships/hyperlink" Target="https://github.com/reactive-streams/reactive-streams-jvm" TargetMode="External"/><Relationship Id="rId14" Type="http://schemas.openxmlformats.org/officeDocument/2006/relationships/hyperlink" Target="https://github.com/google/ExoPlayer" TargetMode="External"/><Relationship Id="rId17" Type="http://schemas.openxmlformats.org/officeDocument/2006/relationships/hyperlink" Target="https://github.com/alibaba/easyexcel" TargetMode="External"/><Relationship Id="rId16" Type="http://schemas.openxmlformats.org/officeDocument/2006/relationships/hyperlink" Target="https://github.com/halo-dev/halo" TargetMode="External"/><Relationship Id="rId19" Type="http://schemas.openxmlformats.org/officeDocument/2006/relationships/hyperlink" Target="https://github.com/xuxueli/xxl-job" TargetMode="External"/><Relationship Id="rId114" Type="http://schemas.openxmlformats.org/officeDocument/2006/relationships/hyperlink" Target="https://github.com/objectbox/objectbox-java" TargetMode="External"/><Relationship Id="rId18" Type="http://schemas.openxmlformats.org/officeDocument/2006/relationships/hyperlink" Target="https://github.com/mybatis/mybatis-3" TargetMode="External"/><Relationship Id="rId113" Type="http://schemas.openxmlformats.org/officeDocument/2006/relationships/hyperlink" Target="https://github.com/openhab/openhab1-addons" TargetMode="External"/><Relationship Id="rId112" Type="http://schemas.openxmlformats.org/officeDocument/2006/relationships/hyperlink" Target="https://github.com/quartz-scheduler/quartz" TargetMode="External"/><Relationship Id="rId111" Type="http://schemas.openxmlformats.org/officeDocument/2006/relationships/hyperlink" Target="https://github.com/micronaut-projects/micronaut-core" TargetMode="External"/><Relationship Id="rId84" Type="http://schemas.openxmlformats.org/officeDocument/2006/relationships/hyperlink" Target="https://github.com/wildfirechat/server" TargetMode="External"/><Relationship Id="rId83" Type="http://schemas.openxmlformats.org/officeDocument/2006/relationships/hyperlink" Target="https://github.com/real-logic/aeron" TargetMode="External"/><Relationship Id="rId86" Type="http://schemas.openxmlformats.org/officeDocument/2006/relationships/hyperlink" Target="https://github.com/crossoverJie/cim" TargetMode="External"/><Relationship Id="rId85" Type="http://schemas.openxmlformats.org/officeDocument/2006/relationships/hyperlink" Target="https://github.com/OpenAPITools/openapi-generator" TargetMode="External"/><Relationship Id="rId88" Type="http://schemas.openxmlformats.org/officeDocument/2006/relationships/hyperlink" Target="https://github.com/jfoenixadmin/JFoenix" TargetMode="External"/><Relationship Id="rId150" Type="http://schemas.openxmlformats.org/officeDocument/2006/relationships/hyperlink" Target="https://github.com/querydsl/querydsl" TargetMode="External"/><Relationship Id="rId87" Type="http://schemas.openxmlformats.org/officeDocument/2006/relationships/hyperlink" Target="https://github.com/json-path/JsonPath" TargetMode="External"/><Relationship Id="rId89" Type="http://schemas.openxmlformats.org/officeDocument/2006/relationships/hyperlink" Target="https://github.com/rest-assured/rest-assured" TargetMode="External"/><Relationship Id="rId80" Type="http://schemas.openxmlformats.org/officeDocument/2006/relationships/hyperlink" Target="https://github.com/knightliao/disconf" TargetMode="External"/><Relationship Id="rId82" Type="http://schemas.openxmlformats.org/officeDocument/2006/relationships/hyperlink" Target="https://github.com/joelittlejohn/jsonschema2pojo" TargetMode="External"/><Relationship Id="rId81" Type="http://schemas.openxmlformats.org/officeDocument/2006/relationships/hyperlink" Target="https://github.com/google/error-prone" TargetMode="External"/><Relationship Id="rId1" Type="http://schemas.openxmlformats.org/officeDocument/2006/relationships/hyperlink" Target="https://github.com/spring-projects/spring-boot" TargetMode="External"/><Relationship Id="rId2" Type="http://schemas.openxmlformats.org/officeDocument/2006/relationships/hyperlink" Target="https://github.com/ReactiveX/RxJava" TargetMode="External"/><Relationship Id="rId3" Type="http://schemas.openxmlformats.org/officeDocument/2006/relationships/hyperlink" Target="https://github.com/spring-projects/spring-framework" TargetMode="External"/><Relationship Id="rId149" Type="http://schemas.openxmlformats.org/officeDocument/2006/relationships/hyperlink" Target="https://github.com/stylefeng/Guns" TargetMode="External"/><Relationship Id="rId4" Type="http://schemas.openxmlformats.org/officeDocument/2006/relationships/hyperlink" Target="https://github.com/square/retrofit" TargetMode="External"/><Relationship Id="rId148" Type="http://schemas.openxmlformats.org/officeDocument/2006/relationships/hyperlink" Target="https://github.com/AntennaPod/AntennaPod" TargetMode="External"/><Relationship Id="rId9" Type="http://schemas.openxmlformats.org/officeDocument/2006/relationships/hyperlink" Target="https://github.com/alibaba/druid" TargetMode="External"/><Relationship Id="rId143" Type="http://schemas.openxmlformats.org/officeDocument/2006/relationships/hyperlink" Target="https://github.com/theonedev/onedev" TargetMode="External"/><Relationship Id="rId142" Type="http://schemas.openxmlformats.org/officeDocument/2006/relationships/hyperlink" Target="https://github.com/TeamAmaze/AmazeFileManager" TargetMode="External"/><Relationship Id="rId141" Type="http://schemas.openxmlformats.org/officeDocument/2006/relationships/hyperlink" Target="https://github.com/donglua/PhotoPicker" TargetMode="External"/><Relationship Id="rId140" Type="http://schemas.openxmlformats.org/officeDocument/2006/relationships/hyperlink" Target="https://github.com/google/data-transfer-project" TargetMode="External"/><Relationship Id="rId5" Type="http://schemas.openxmlformats.org/officeDocument/2006/relationships/hyperlink" Target="https://github.com/apache/dubbo" TargetMode="External"/><Relationship Id="rId147" Type="http://schemas.openxmlformats.org/officeDocument/2006/relationships/hyperlink" Target="https://github.com/flowable/flowable-engine" TargetMode="External"/><Relationship Id="rId6" Type="http://schemas.openxmlformats.org/officeDocument/2006/relationships/hyperlink" Target="https://github.com/proxyee-down-org/proxyee-down" TargetMode="External"/><Relationship Id="rId146" Type="http://schemas.openxmlformats.org/officeDocument/2006/relationships/hyperlink" Target="https://github.com/MovingBlocks/Terasology" TargetMode="External"/><Relationship Id="rId7" Type="http://schemas.openxmlformats.org/officeDocument/2006/relationships/hyperlink" Target="https://github.com/skylot/jadx" TargetMode="External"/><Relationship Id="rId145" Type="http://schemas.openxmlformats.org/officeDocument/2006/relationships/hyperlink" Target="https://github.com/jprante/elasticsearch-jdbc" TargetMode="External"/><Relationship Id="rId8" Type="http://schemas.openxmlformats.org/officeDocument/2006/relationships/hyperlink" Target="https://github.com/alibaba/fastjson" TargetMode="External"/><Relationship Id="rId144" Type="http://schemas.openxmlformats.org/officeDocument/2006/relationships/hyperlink" Target="https://github.com/coobird/thumbnailator" TargetMode="External"/><Relationship Id="rId73" Type="http://schemas.openxmlformats.org/officeDocument/2006/relationships/hyperlink" Target="https://github.com/weibocom/motan" TargetMode="External"/><Relationship Id="rId72" Type="http://schemas.openxmlformats.org/officeDocument/2006/relationships/hyperlink" Target="https://github.com/google/closure-compiler" TargetMode="External"/><Relationship Id="rId75" Type="http://schemas.openxmlformats.org/officeDocument/2006/relationships/hyperlink" Target="https://github.com/evernote/android-job" TargetMode="External"/><Relationship Id="rId74" Type="http://schemas.openxmlformats.org/officeDocument/2006/relationships/hyperlink" Target="https://github.com/NLPchina/ansj_seg" TargetMode="External"/><Relationship Id="rId77" Type="http://schemas.openxmlformats.org/officeDocument/2006/relationships/hyperlink" Target="https://github.com/NanoHttpd/nanohttpd" TargetMode="External"/><Relationship Id="rId76" Type="http://schemas.openxmlformats.org/officeDocument/2006/relationships/hyperlink" Target="https://github.com/AsyncHttpClient/async-http-client" TargetMode="External"/><Relationship Id="rId79" Type="http://schemas.openxmlformats.org/officeDocument/2006/relationships/hyperlink" Target="https://github.com/resilience4j/resilience4j" TargetMode="External"/><Relationship Id="rId78" Type="http://schemas.openxmlformats.org/officeDocument/2006/relationships/hyperlink" Target="https://github.com/abel533/Mapper" TargetMode="External"/><Relationship Id="rId71" Type="http://schemas.openxmlformats.org/officeDocument/2006/relationships/hyperlink" Target="https://github.com/OpenFeign/feign" TargetMode="External"/><Relationship Id="rId70" Type="http://schemas.openxmlformats.org/officeDocument/2006/relationships/hyperlink" Target="https://github.com/elasticjob/elastic-job-lite" TargetMode="External"/><Relationship Id="rId139" Type="http://schemas.openxmlformats.org/officeDocument/2006/relationships/hyperlink" Target="https://github.com/knowm/XChange" TargetMode="External"/><Relationship Id="rId138" Type="http://schemas.openxmlformats.org/officeDocument/2006/relationships/hyperlink" Target="https://github.com/mybatis/spring-boot-starter" TargetMode="External"/><Relationship Id="rId137" Type="http://schemas.openxmlformats.org/officeDocument/2006/relationships/hyperlink" Target="https://github.com/oracle/opengrok" TargetMode="External"/><Relationship Id="rId132" Type="http://schemas.openxmlformats.org/officeDocument/2006/relationships/hyperlink" Target="https://github.com/azkaban/azkaban" TargetMode="External"/><Relationship Id="rId131" Type="http://schemas.openxmlformats.org/officeDocument/2006/relationships/hyperlink" Target="https://github.com/chewiebug/GCViewer" TargetMode="External"/><Relationship Id="rId130" Type="http://schemas.openxmlformats.org/officeDocument/2006/relationships/hyperlink" Target="https://github.com/lettuce-io/lettuce-core" TargetMode="External"/><Relationship Id="rId136" Type="http://schemas.openxmlformats.org/officeDocument/2006/relationships/hyperlink" Target="https://github.com/reactor/reactor-core" TargetMode="External"/><Relationship Id="rId135" Type="http://schemas.openxmlformats.org/officeDocument/2006/relationships/hyperlink" Target="https://github.com/jfinal/jfinal" TargetMode="External"/><Relationship Id="rId134" Type="http://schemas.openxmlformats.org/officeDocument/2006/relationships/hyperlink" Target="https://github.com/apache/ignite" TargetMode="External"/><Relationship Id="rId133" Type="http://schemas.openxmlformats.org/officeDocument/2006/relationships/hyperlink" Target="https://github.com/ronmamo/reflections" TargetMode="External"/><Relationship Id="rId62" Type="http://schemas.openxmlformats.org/officeDocument/2006/relationships/hyperlink" Target="https://github.com/dropwizard/metrics" TargetMode="External"/><Relationship Id="rId61" Type="http://schemas.openxmlformats.org/officeDocument/2006/relationships/hyperlink" Target="https://github.com/hs-web/hsweb-framework" TargetMode="External"/><Relationship Id="rId64" Type="http://schemas.openxmlformats.org/officeDocument/2006/relationships/hyperlink" Target="https://github.com/shwenzhang/AndResGuard" TargetMode="External"/><Relationship Id="rId63" Type="http://schemas.openxmlformats.org/officeDocument/2006/relationships/hyperlink" Target="https://github.com/TooTallNate/Java-WebSocket" TargetMode="External"/><Relationship Id="rId66" Type="http://schemas.openxmlformats.org/officeDocument/2006/relationships/hyperlink" Target="https://github.com/lihengming/spring-boot-api-project-seed" TargetMode="External"/><Relationship Id="rId172" Type="http://schemas.openxmlformats.org/officeDocument/2006/relationships/hyperlink" Target="https://github.com/traccar/traccar" TargetMode="External"/><Relationship Id="rId65" Type="http://schemas.openxmlformats.org/officeDocument/2006/relationships/hyperlink" Target="https://github.com/swagger-api/swagger-core" TargetMode="External"/><Relationship Id="rId171" Type="http://schemas.openxmlformats.org/officeDocument/2006/relationships/hyperlink" Target="https://github.com/spotify/docker-maven-plugin" TargetMode="External"/><Relationship Id="rId68" Type="http://schemas.openxmlformats.org/officeDocument/2006/relationships/hyperlink" Target="https://github.com/NLPchina/elasticsearch-sql" TargetMode="External"/><Relationship Id="rId170" Type="http://schemas.openxmlformats.org/officeDocument/2006/relationships/hyperlink" Target="https://github.com/tronprotocol/java-tron" TargetMode="External"/><Relationship Id="rId67" Type="http://schemas.openxmlformats.org/officeDocument/2006/relationships/hyperlink" Target="https://github.com/jwtk/jjwt" TargetMode="External"/><Relationship Id="rId60" Type="http://schemas.openxmlformats.org/officeDocument/2006/relationships/hyperlink" Target="https://github.com/elunez/eladmin" TargetMode="External"/><Relationship Id="rId165" Type="http://schemas.openxmlformats.org/officeDocument/2006/relationships/hyperlink" Target="https://github.com/FasterXML/jackson-databind" TargetMode="External"/><Relationship Id="rId69" Type="http://schemas.openxmlformats.org/officeDocument/2006/relationships/hyperlink" Target="https://github.com/apache/cassandra" TargetMode="External"/><Relationship Id="rId164" Type="http://schemas.openxmlformats.org/officeDocument/2006/relationships/hyperlink" Target="https://github.com/prontera/spring-cloud-rest-tcc" TargetMode="External"/><Relationship Id="rId163" Type="http://schemas.openxmlformats.org/officeDocument/2006/relationships/hyperlink" Target="https://github.com/spring-projects/spring-loaded" TargetMode="External"/><Relationship Id="rId162" Type="http://schemas.openxmlformats.org/officeDocument/2006/relationships/hyperlink" Target="https://github.com/Netflix/conductor" TargetMode="External"/><Relationship Id="rId169" Type="http://schemas.openxmlformats.org/officeDocument/2006/relationships/hyperlink" Target="https://github.com/square/tape" TargetMode="External"/><Relationship Id="rId168" Type="http://schemas.openxmlformats.org/officeDocument/2006/relationships/hyperlink" Target="https://github.com/voldemort/voldemort" TargetMode="External"/><Relationship Id="rId167" Type="http://schemas.openxmlformats.org/officeDocument/2006/relationships/hyperlink" Target="https://github.com/mapstruct/mapstruct" TargetMode="External"/><Relationship Id="rId166" Type="http://schemas.openxmlformats.org/officeDocument/2006/relationships/hyperlink" Target="https://github.com/ata4/disunity" TargetMode="External"/><Relationship Id="rId51" Type="http://schemas.openxmlformats.org/officeDocument/2006/relationships/hyperlink" Target="https://github.com/junit-team/junit4" TargetMode="External"/><Relationship Id="rId50" Type="http://schemas.openxmlformats.org/officeDocument/2006/relationships/hyperlink" Target="https://github.com/square/javapoet" TargetMode="External"/><Relationship Id="rId53" Type="http://schemas.openxmlformats.org/officeDocument/2006/relationships/hyperlink" Target="https://github.com/MyCATApache/Mycat-Server" TargetMode="External"/><Relationship Id="rId52" Type="http://schemas.openxmlformats.org/officeDocument/2006/relationships/hyperlink" Target="https://github.com/jhy/jsoup" TargetMode="External"/><Relationship Id="rId55" Type="http://schemas.openxmlformats.org/officeDocument/2006/relationships/hyperlink" Target="https://github.com/Netflix/SimianArmy" TargetMode="External"/><Relationship Id="rId161" Type="http://schemas.openxmlformats.org/officeDocument/2006/relationships/hyperlink" Target="https://github.com/esoxjem/MovieGuide" TargetMode="External"/><Relationship Id="rId54" Type="http://schemas.openxmlformats.org/officeDocument/2006/relationships/hyperlink" Target="https://github.com/ChrisRM/material-theme-jetbrains" TargetMode="External"/><Relationship Id="rId160" Type="http://schemas.openxmlformats.org/officeDocument/2006/relationships/hyperlink" Target="https://github.com/apache/dubbo-admin" TargetMode="External"/><Relationship Id="rId57" Type="http://schemas.openxmlformats.org/officeDocument/2006/relationships/hyperlink" Target="https://github.com/trello/RxLifecycle" TargetMode="External"/><Relationship Id="rId56" Type="http://schemas.openxmlformats.org/officeDocument/2006/relationships/hyperlink" Target="https://github.com/justauth/JustAuth" TargetMode="External"/><Relationship Id="rId159" Type="http://schemas.openxmlformats.org/officeDocument/2006/relationships/hyperlink" Target="https://github.com/chanjarster/weixin-java-tools" TargetMode="External"/><Relationship Id="rId59" Type="http://schemas.openxmlformats.org/officeDocument/2006/relationships/hyperlink" Target="https://github.com/pxb1988/dex2jar" TargetMode="External"/><Relationship Id="rId154" Type="http://schemas.openxmlformats.org/officeDocument/2006/relationships/hyperlink" Target="https://github.com/ltsopensource/light-task-scheduler" TargetMode="External"/><Relationship Id="rId58" Type="http://schemas.openxmlformats.org/officeDocument/2006/relationships/hyperlink" Target="https://github.com/ben-manes/caffeine" TargetMode="External"/><Relationship Id="rId153" Type="http://schemas.openxmlformats.org/officeDocument/2006/relationships/hyperlink" Target="https://github.com/immutables/immutables" TargetMode="External"/><Relationship Id="rId152" Type="http://schemas.openxmlformats.org/officeDocument/2006/relationships/hyperlink" Target="https://github.com/undertow-io/undertow" TargetMode="External"/><Relationship Id="rId151" Type="http://schemas.openxmlformats.org/officeDocument/2006/relationships/hyperlink" Target="https://github.com/web3j/web3j" TargetMode="External"/><Relationship Id="rId158" Type="http://schemas.openxmlformats.org/officeDocument/2006/relationships/hyperlink" Target="https://github.com/graphhopper/graphhopper" TargetMode="External"/><Relationship Id="rId157" Type="http://schemas.openxmlformats.org/officeDocument/2006/relationships/hyperlink" Target="https://github.com/mock-server/mockserver" TargetMode="External"/><Relationship Id="rId156" Type="http://schemas.openxmlformats.org/officeDocument/2006/relationships/hyperlink" Target="https://github.com/CrawlScript/WebCollector" TargetMode="External"/><Relationship Id="rId155" Type="http://schemas.openxmlformats.org/officeDocument/2006/relationships/hyperlink" Target="https://github.com/spockframework/spock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3.xml"/><Relationship Id="rId10" Type="http://schemas.openxmlformats.org/officeDocument/2006/relationships/hyperlink" Target="https://github.com/elasticjob/elastic-job-lite" TargetMode="External"/><Relationship Id="rId1" Type="http://schemas.openxmlformats.org/officeDocument/2006/relationships/hyperlink" Target="https://github.com/socketio/socket.io-client-java" TargetMode="External"/><Relationship Id="rId2" Type="http://schemas.openxmlformats.org/officeDocument/2006/relationships/hyperlink" Target="https://github.com/RobotiumTech/robotium" TargetMode="External"/><Relationship Id="rId3" Type="http://schemas.openxmlformats.org/officeDocument/2006/relationships/hyperlink" Target="https://github.com/wildfirechat/server" TargetMode="External"/><Relationship Id="rId4" Type="http://schemas.openxmlformats.org/officeDocument/2006/relationships/hyperlink" Target="https://github.com/Netflix/SimianArmy" TargetMode="External"/><Relationship Id="rId9" Type="http://schemas.openxmlformats.org/officeDocument/2006/relationships/hyperlink" Target="https://github.com/orientechnologies/orientdb" TargetMode="External"/><Relationship Id="rId5" Type="http://schemas.openxmlformats.org/officeDocument/2006/relationships/hyperlink" Target="https://github.com/google/ExoPlayer" TargetMode="External"/><Relationship Id="rId6" Type="http://schemas.openxmlformats.org/officeDocument/2006/relationships/hyperlink" Target="https://github.com/xetorthio/jedis" TargetMode="External"/><Relationship Id="rId7" Type="http://schemas.openxmlformats.org/officeDocument/2006/relationships/hyperlink" Target="https://github.com/seata/seata" TargetMode="External"/><Relationship Id="rId8" Type="http://schemas.openxmlformats.org/officeDocument/2006/relationships/hyperlink" Target="https://github.com/eclipse-vertx/vert.x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0.5"/>
    <col customWidth="1" min="3" max="3" width="10.63"/>
    <col customWidth="1" min="4" max="6" width="10.13"/>
    <col customWidth="1" min="7" max="7" width="18.63"/>
    <col customWidth="1" min="8" max="8" width="10.13"/>
    <col customWidth="1" min="9" max="9" width="28.88"/>
    <col customWidth="1" min="10" max="10" width="34.13"/>
    <col customWidth="1" min="11" max="19" width="14.13"/>
    <col customWidth="1" min="20" max="21" width="15.13"/>
    <col customWidth="1" min="22" max="22" width="19.38"/>
    <col customWidth="1" min="23" max="23" width="16.13"/>
    <col customWidth="1" min="24" max="24" width="8.75"/>
    <col customWidth="1" min="25" max="26" width="15.13"/>
    <col customWidth="1" min="27" max="27" width="16.0"/>
    <col customWidth="1" min="28" max="28" width="12.88"/>
    <col customWidth="1" min="29" max="29" width="6.38"/>
    <col customWidth="1" min="30" max="31" width="15.13"/>
    <col customWidth="1" min="32" max="32" width="17.63"/>
    <col customWidth="1" min="33" max="33" width="7.75"/>
    <col customWidth="1" min="34" max="34" width="7.38"/>
    <col customWidth="1" min="35" max="36" width="15.13"/>
    <col customWidth="1" min="37" max="37" width="19.0"/>
    <col customWidth="1" min="38" max="38" width="6.13"/>
    <col customWidth="1" min="39" max="39" width="6.38"/>
  </cols>
  <sheetData>
    <row r="1" ht="30.0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4" t="s">
        <v>17</v>
      </c>
      <c r="R1" s="4" t="s">
        <v>18</v>
      </c>
      <c r="S1" s="2" t="s">
        <v>19</v>
      </c>
      <c r="T1" s="4" t="s">
        <v>20</v>
      </c>
      <c r="U1" s="4" t="s">
        <v>21</v>
      </c>
      <c r="V1" s="2" t="s">
        <v>22</v>
      </c>
      <c r="W1" s="2" t="s">
        <v>23</v>
      </c>
      <c r="X1" s="2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2" t="s">
        <v>29</v>
      </c>
      <c r="AD1" s="4" t="s">
        <v>30</v>
      </c>
      <c r="AE1" s="4" t="s">
        <v>31</v>
      </c>
      <c r="AF1" s="2" t="s">
        <v>32</v>
      </c>
      <c r="AG1" s="2" t="s">
        <v>33</v>
      </c>
      <c r="AH1" s="2" t="s">
        <v>34</v>
      </c>
      <c r="AI1" s="4" t="s">
        <v>35</v>
      </c>
      <c r="AJ1" s="4" t="s">
        <v>36</v>
      </c>
      <c r="AK1" s="2" t="s">
        <v>37</v>
      </c>
      <c r="AL1" s="2" t="s">
        <v>38</v>
      </c>
      <c r="AM1" s="2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5" t="s">
        <v>44</v>
      </c>
      <c r="AS1" s="2" t="s">
        <v>45</v>
      </c>
      <c r="AT1" s="6"/>
      <c r="AU1" s="6"/>
      <c r="AV1" s="6"/>
      <c r="AW1" s="6"/>
      <c r="AX1" s="6"/>
      <c r="AY1" s="6"/>
      <c r="AZ1" s="6"/>
      <c r="BA1" s="6"/>
    </row>
    <row r="2" ht="22.5" customHeight="1">
      <c r="A2" s="7" t="s">
        <v>46</v>
      </c>
      <c r="B2" s="8" t="s">
        <v>47</v>
      </c>
      <c r="C2" s="8" t="s">
        <v>48</v>
      </c>
      <c r="D2" s="9" t="s">
        <v>49</v>
      </c>
      <c r="E2" s="9" t="s">
        <v>50</v>
      </c>
      <c r="F2" s="9" t="s">
        <v>51</v>
      </c>
      <c r="G2" s="6" t="s">
        <v>52</v>
      </c>
      <c r="H2" s="10" t="b">
        <v>1</v>
      </c>
      <c r="I2" s="6" t="s">
        <v>53</v>
      </c>
      <c r="J2" s="6" t="s">
        <v>54</v>
      </c>
      <c r="K2" s="9" t="s">
        <v>55</v>
      </c>
      <c r="L2" s="6" t="s">
        <v>53</v>
      </c>
      <c r="M2" s="6" t="s">
        <v>56</v>
      </c>
      <c r="N2" s="6" t="s">
        <v>57</v>
      </c>
      <c r="O2" s="6" t="s">
        <v>58</v>
      </c>
      <c r="P2" s="6"/>
      <c r="Q2" s="9" t="s">
        <v>59</v>
      </c>
      <c r="R2" s="6" t="s">
        <v>59</v>
      </c>
      <c r="S2" s="10" t="b">
        <v>0</v>
      </c>
      <c r="T2" s="10" t="b">
        <v>1</v>
      </c>
      <c r="U2" s="10" t="b">
        <v>1</v>
      </c>
      <c r="V2" s="11" t="s">
        <v>60</v>
      </c>
      <c r="W2" s="9" t="s">
        <v>61</v>
      </c>
      <c r="X2" s="9" t="s">
        <v>62</v>
      </c>
      <c r="Y2" s="12" t="b">
        <v>0</v>
      </c>
      <c r="Z2" s="10" t="s">
        <v>63</v>
      </c>
      <c r="AA2" s="13" t="s">
        <v>63</v>
      </c>
      <c r="AB2" s="10" t="s">
        <v>63</v>
      </c>
      <c r="AC2" s="10" t="s">
        <v>63</v>
      </c>
      <c r="AD2" s="12" t="b">
        <v>0</v>
      </c>
      <c r="AE2" s="10" t="s">
        <v>63</v>
      </c>
      <c r="AF2" s="13" t="s">
        <v>63</v>
      </c>
      <c r="AG2" s="10" t="s">
        <v>63</v>
      </c>
      <c r="AH2" s="10" t="s">
        <v>63</v>
      </c>
      <c r="AI2" s="12" t="b">
        <v>0</v>
      </c>
      <c r="AJ2" s="10" t="s">
        <v>63</v>
      </c>
      <c r="AK2" s="13" t="s">
        <v>63</v>
      </c>
      <c r="AL2" s="10" t="s">
        <v>63</v>
      </c>
      <c r="AM2" s="10" t="s">
        <v>63</v>
      </c>
      <c r="AN2" s="9" t="b">
        <v>1</v>
      </c>
      <c r="AO2" s="12" t="b">
        <v>0</v>
      </c>
      <c r="AP2" s="14" t="s">
        <v>64</v>
      </c>
      <c r="AQ2" s="6" t="s">
        <v>65</v>
      </c>
      <c r="AR2" s="6" t="s">
        <v>65</v>
      </c>
      <c r="AS2" s="6"/>
      <c r="AT2" s="6"/>
      <c r="AU2" s="6"/>
      <c r="AV2" s="6"/>
      <c r="AW2" s="6"/>
      <c r="AX2" s="6"/>
      <c r="AY2" s="6"/>
      <c r="AZ2" s="6"/>
      <c r="BA2" s="6"/>
    </row>
    <row r="3" ht="22.5" customHeight="1">
      <c r="A3" s="7" t="s">
        <v>66</v>
      </c>
      <c r="B3" s="8" t="s">
        <v>67</v>
      </c>
      <c r="C3" s="8" t="s">
        <v>68</v>
      </c>
      <c r="D3" s="9" t="s">
        <v>69</v>
      </c>
      <c r="E3" s="9" t="s">
        <v>70</v>
      </c>
      <c r="F3" s="9" t="s">
        <v>71</v>
      </c>
      <c r="G3" s="6" t="s">
        <v>72</v>
      </c>
      <c r="H3" s="10" t="b">
        <v>0</v>
      </c>
      <c r="I3" s="14" t="s">
        <v>73</v>
      </c>
      <c r="J3" s="8" t="s">
        <v>74</v>
      </c>
      <c r="K3" s="8" t="s">
        <v>75</v>
      </c>
      <c r="L3" s="14" t="s">
        <v>76</v>
      </c>
      <c r="M3" s="9" t="s">
        <v>77</v>
      </c>
      <c r="N3" s="9" t="s">
        <v>78</v>
      </c>
      <c r="O3" s="9" t="s">
        <v>79</v>
      </c>
      <c r="P3" s="6"/>
      <c r="Q3" s="9" t="s">
        <v>80</v>
      </c>
      <c r="R3" s="6" t="s">
        <v>81</v>
      </c>
      <c r="S3" s="10" t="b">
        <v>0</v>
      </c>
      <c r="T3" s="10" t="b">
        <v>1</v>
      </c>
      <c r="U3" s="10" t="b">
        <v>0</v>
      </c>
      <c r="V3" s="6" t="s">
        <v>82</v>
      </c>
      <c r="W3" s="9" t="s">
        <v>83</v>
      </c>
      <c r="X3" s="6" t="s">
        <v>79</v>
      </c>
      <c r="Y3" s="10" t="b">
        <v>1</v>
      </c>
      <c r="Z3" s="10" t="b">
        <v>1</v>
      </c>
      <c r="AA3" s="6" t="s">
        <v>84</v>
      </c>
      <c r="AB3" s="9" t="s">
        <v>85</v>
      </c>
      <c r="AC3" s="9" t="s">
        <v>86</v>
      </c>
      <c r="AD3" s="10" t="b">
        <v>1</v>
      </c>
      <c r="AE3" s="10" t="b">
        <v>0</v>
      </c>
      <c r="AF3" s="6" t="s">
        <v>87</v>
      </c>
      <c r="AG3" s="9" t="s">
        <v>88</v>
      </c>
      <c r="AH3" s="6" t="s">
        <v>79</v>
      </c>
      <c r="AI3" s="10" t="b">
        <v>1</v>
      </c>
      <c r="AJ3" s="10" t="b">
        <v>1</v>
      </c>
      <c r="AK3" s="6" t="s">
        <v>89</v>
      </c>
      <c r="AL3" s="9" t="s">
        <v>85</v>
      </c>
      <c r="AM3" s="9" t="s">
        <v>86</v>
      </c>
      <c r="AN3" s="9" t="b">
        <v>1</v>
      </c>
      <c r="AO3" s="9" t="b">
        <v>1</v>
      </c>
      <c r="AP3" s="14" t="s">
        <v>90</v>
      </c>
      <c r="AQ3" s="6" t="s">
        <v>85</v>
      </c>
      <c r="AR3" s="6" t="s">
        <v>86</v>
      </c>
      <c r="AS3" s="6"/>
      <c r="AT3" s="6"/>
      <c r="AU3" s="6"/>
      <c r="AV3" s="6"/>
      <c r="AW3" s="6"/>
      <c r="AX3" s="6"/>
      <c r="AY3" s="6"/>
      <c r="AZ3" s="6"/>
      <c r="BA3" s="6"/>
    </row>
    <row r="4" ht="22.5" customHeight="1">
      <c r="A4" s="7" t="s">
        <v>91</v>
      </c>
      <c r="B4" s="8" t="s">
        <v>92</v>
      </c>
      <c r="C4" s="8" t="s">
        <v>93</v>
      </c>
      <c r="D4" s="9" t="s">
        <v>94</v>
      </c>
      <c r="E4" s="9" t="s">
        <v>95</v>
      </c>
      <c r="F4" s="9" t="s">
        <v>96</v>
      </c>
      <c r="G4" s="6" t="s">
        <v>97</v>
      </c>
      <c r="H4" s="10" t="b">
        <v>0</v>
      </c>
      <c r="I4" s="6" t="s">
        <v>98</v>
      </c>
      <c r="J4" s="6" t="s">
        <v>99</v>
      </c>
      <c r="K4" s="6" t="s">
        <v>100</v>
      </c>
      <c r="L4" s="9" t="s">
        <v>101</v>
      </c>
      <c r="M4" s="6" t="s">
        <v>102</v>
      </c>
      <c r="N4" s="6" t="s">
        <v>103</v>
      </c>
      <c r="O4" s="6" t="s">
        <v>86</v>
      </c>
      <c r="P4" s="6"/>
      <c r="Q4" s="9" t="s">
        <v>59</v>
      </c>
      <c r="R4" s="6" t="s">
        <v>59</v>
      </c>
      <c r="S4" s="10" t="b">
        <v>0</v>
      </c>
      <c r="T4" s="10" t="b">
        <v>0</v>
      </c>
      <c r="U4" s="10" t="b">
        <v>0</v>
      </c>
      <c r="V4" s="6" t="s">
        <v>63</v>
      </c>
      <c r="W4" s="6" t="s">
        <v>104</v>
      </c>
      <c r="X4" s="6" t="s">
        <v>63</v>
      </c>
      <c r="Y4" s="12" t="b">
        <v>0</v>
      </c>
      <c r="Z4" s="10" t="s">
        <v>63</v>
      </c>
      <c r="AA4" s="13" t="s">
        <v>63</v>
      </c>
      <c r="AB4" s="10" t="s">
        <v>63</v>
      </c>
      <c r="AC4" s="10" t="s">
        <v>63</v>
      </c>
      <c r="AD4" s="12" t="b">
        <v>0</v>
      </c>
      <c r="AE4" s="10" t="s">
        <v>63</v>
      </c>
      <c r="AF4" s="13" t="s">
        <v>63</v>
      </c>
      <c r="AG4" s="10" t="s">
        <v>63</v>
      </c>
      <c r="AH4" s="10" t="s">
        <v>63</v>
      </c>
      <c r="AI4" s="12" t="b">
        <v>0</v>
      </c>
      <c r="AJ4" s="10" t="s">
        <v>63</v>
      </c>
      <c r="AK4" s="13" t="s">
        <v>63</v>
      </c>
      <c r="AL4" s="10" t="s">
        <v>63</v>
      </c>
      <c r="AM4" s="10" t="s">
        <v>63</v>
      </c>
      <c r="AN4" s="9" t="b">
        <v>1</v>
      </c>
      <c r="AO4" s="9" t="b">
        <v>1</v>
      </c>
      <c r="AP4" s="14" t="s">
        <v>105</v>
      </c>
      <c r="AQ4" s="6" t="s">
        <v>85</v>
      </c>
      <c r="AR4" s="6" t="s">
        <v>86</v>
      </c>
      <c r="AS4" s="6"/>
      <c r="AT4" s="6"/>
      <c r="AU4" s="6"/>
      <c r="AV4" s="6"/>
      <c r="AW4" s="6"/>
      <c r="AX4" s="6"/>
      <c r="AY4" s="6"/>
      <c r="AZ4" s="6"/>
      <c r="BA4" s="6"/>
    </row>
    <row r="5" ht="22.5" customHeight="1">
      <c r="A5" s="7" t="s">
        <v>106</v>
      </c>
      <c r="B5" s="8" t="s">
        <v>107</v>
      </c>
      <c r="C5" s="8" t="s">
        <v>108</v>
      </c>
      <c r="D5" s="9" t="s">
        <v>109</v>
      </c>
      <c r="E5" s="9" t="s">
        <v>110</v>
      </c>
      <c r="F5" s="9" t="s">
        <v>111</v>
      </c>
      <c r="G5" s="6" t="s">
        <v>112</v>
      </c>
      <c r="H5" s="10" t="b">
        <v>1</v>
      </c>
      <c r="I5" s="6" t="s">
        <v>113</v>
      </c>
      <c r="J5" s="6" t="s">
        <v>114</v>
      </c>
      <c r="K5" s="6" t="s">
        <v>115</v>
      </c>
      <c r="L5" s="6" t="s">
        <v>116</v>
      </c>
      <c r="M5" s="6" t="s">
        <v>117</v>
      </c>
      <c r="N5" s="6" t="s">
        <v>57</v>
      </c>
      <c r="O5" s="6" t="s">
        <v>58</v>
      </c>
      <c r="P5" s="6"/>
      <c r="Q5" s="9" t="s">
        <v>80</v>
      </c>
      <c r="R5" s="6" t="s">
        <v>118</v>
      </c>
      <c r="S5" s="10" t="b">
        <v>0</v>
      </c>
      <c r="T5" s="10" t="b">
        <v>1</v>
      </c>
      <c r="U5" s="10" t="b">
        <v>0</v>
      </c>
      <c r="V5" s="14" t="s">
        <v>119</v>
      </c>
      <c r="W5" s="6" t="s">
        <v>65</v>
      </c>
      <c r="X5" s="6" t="s">
        <v>65</v>
      </c>
      <c r="Y5" s="10" t="b">
        <v>0</v>
      </c>
      <c r="Z5" s="15" t="s">
        <v>63</v>
      </c>
      <c r="AA5" s="6" t="s">
        <v>63</v>
      </c>
      <c r="AB5" s="10" t="s">
        <v>63</v>
      </c>
      <c r="AC5" s="10" t="s">
        <v>63</v>
      </c>
      <c r="AD5" s="10" t="b">
        <v>0</v>
      </c>
      <c r="AE5" s="15" t="s">
        <v>63</v>
      </c>
      <c r="AF5" s="6" t="s">
        <v>63</v>
      </c>
      <c r="AG5" s="6" t="s">
        <v>63</v>
      </c>
      <c r="AH5" s="6" t="s">
        <v>63</v>
      </c>
      <c r="AI5" s="10" t="b">
        <v>0</v>
      </c>
      <c r="AJ5" s="10" t="s">
        <v>63</v>
      </c>
      <c r="AK5" s="6" t="s">
        <v>63</v>
      </c>
      <c r="AL5" s="6" t="s">
        <v>63</v>
      </c>
      <c r="AM5" s="6" t="s">
        <v>63</v>
      </c>
      <c r="AN5" s="9" t="b">
        <v>1</v>
      </c>
      <c r="AO5" s="12" t="b">
        <v>0</v>
      </c>
      <c r="AP5" s="14" t="s">
        <v>120</v>
      </c>
      <c r="AQ5" s="6" t="s">
        <v>65</v>
      </c>
      <c r="AR5" s="6" t="s">
        <v>65</v>
      </c>
      <c r="AS5" s="6"/>
      <c r="AT5" s="6"/>
      <c r="AU5" s="6"/>
      <c r="AV5" s="6"/>
      <c r="AW5" s="6"/>
      <c r="AX5" s="6"/>
      <c r="AY5" s="6"/>
      <c r="AZ5" s="6"/>
      <c r="BA5" s="6"/>
    </row>
    <row r="6" ht="22.5" customHeight="1">
      <c r="A6" s="7" t="s">
        <v>121</v>
      </c>
      <c r="B6" s="8" t="s">
        <v>122</v>
      </c>
      <c r="C6" s="8" t="s">
        <v>123</v>
      </c>
      <c r="D6" s="9" t="s">
        <v>124</v>
      </c>
      <c r="E6" s="9" t="s">
        <v>125</v>
      </c>
      <c r="F6" s="9" t="s">
        <v>126</v>
      </c>
      <c r="G6" s="6" t="s">
        <v>127</v>
      </c>
      <c r="H6" s="10" t="b">
        <v>0</v>
      </c>
      <c r="I6" s="11" t="s">
        <v>128</v>
      </c>
      <c r="J6" s="11" t="s">
        <v>129</v>
      </c>
      <c r="K6" s="6" t="s">
        <v>130</v>
      </c>
      <c r="L6" s="6" t="s">
        <v>131</v>
      </c>
      <c r="M6" s="6" t="s">
        <v>132</v>
      </c>
      <c r="N6" s="6" t="s">
        <v>103</v>
      </c>
      <c r="O6" s="6" t="s">
        <v>86</v>
      </c>
      <c r="P6" s="6"/>
      <c r="Q6" s="9" t="s">
        <v>80</v>
      </c>
      <c r="R6" s="6" t="s">
        <v>133</v>
      </c>
      <c r="S6" s="10" t="b">
        <v>0</v>
      </c>
      <c r="T6" s="10" t="b">
        <v>0</v>
      </c>
      <c r="U6" s="10" t="b">
        <v>0</v>
      </c>
      <c r="V6" s="6" t="s">
        <v>63</v>
      </c>
      <c r="W6" s="6" t="s">
        <v>104</v>
      </c>
      <c r="X6" s="6" t="s">
        <v>63</v>
      </c>
      <c r="Y6" s="10" t="b">
        <v>1</v>
      </c>
      <c r="Z6" s="10" t="b">
        <v>1</v>
      </c>
      <c r="AA6" s="6" t="s">
        <v>134</v>
      </c>
      <c r="AB6" s="9" t="s">
        <v>135</v>
      </c>
      <c r="AC6" s="9" t="s">
        <v>79</v>
      </c>
      <c r="AD6" s="10" t="b">
        <v>1</v>
      </c>
      <c r="AE6" s="10" t="b">
        <v>0</v>
      </c>
      <c r="AF6" s="6" t="s">
        <v>136</v>
      </c>
      <c r="AG6" s="6" t="s">
        <v>65</v>
      </c>
      <c r="AH6" s="6" t="s">
        <v>65</v>
      </c>
      <c r="AI6" s="10" t="b">
        <v>1</v>
      </c>
      <c r="AJ6" s="10" t="b">
        <v>1</v>
      </c>
      <c r="AK6" s="6" t="s">
        <v>134</v>
      </c>
      <c r="AL6" s="9" t="s">
        <v>135</v>
      </c>
      <c r="AM6" s="9" t="s">
        <v>79</v>
      </c>
      <c r="AN6" s="9" t="b">
        <v>1</v>
      </c>
      <c r="AO6" s="12" t="b">
        <v>0</v>
      </c>
      <c r="AP6" s="14" t="s">
        <v>137</v>
      </c>
      <c r="AQ6" s="6" t="s">
        <v>65</v>
      </c>
      <c r="AR6" s="6" t="s">
        <v>65</v>
      </c>
      <c r="AS6" s="6"/>
      <c r="AT6" s="6"/>
      <c r="AU6" s="6"/>
      <c r="AV6" s="6"/>
      <c r="AW6" s="6"/>
      <c r="AX6" s="6"/>
      <c r="AY6" s="6"/>
      <c r="AZ6" s="6"/>
      <c r="BA6" s="6"/>
    </row>
    <row r="7" ht="22.5" customHeight="1">
      <c r="A7" s="7" t="s">
        <v>138</v>
      </c>
      <c r="B7" s="8" t="s">
        <v>139</v>
      </c>
      <c r="C7" s="8" t="s">
        <v>140</v>
      </c>
      <c r="D7" s="9" t="s">
        <v>141</v>
      </c>
      <c r="E7" s="9" t="s">
        <v>142</v>
      </c>
      <c r="F7" s="9" t="s">
        <v>143</v>
      </c>
      <c r="G7" s="6" t="s">
        <v>144</v>
      </c>
      <c r="H7" s="10" t="b">
        <v>0</v>
      </c>
      <c r="I7" s="6" t="s">
        <v>145</v>
      </c>
      <c r="J7" s="6" t="s">
        <v>146</v>
      </c>
      <c r="K7" s="6" t="s">
        <v>147</v>
      </c>
      <c r="L7" s="6" t="s">
        <v>148</v>
      </c>
      <c r="M7" s="6" t="s">
        <v>149</v>
      </c>
      <c r="N7" s="6" t="s">
        <v>150</v>
      </c>
      <c r="O7" s="9" t="s">
        <v>151</v>
      </c>
      <c r="P7" s="6"/>
      <c r="Q7" s="9" t="s">
        <v>80</v>
      </c>
      <c r="R7" s="6" t="s">
        <v>133</v>
      </c>
      <c r="S7" s="10" t="b">
        <v>0</v>
      </c>
      <c r="T7" s="10" t="b">
        <v>1</v>
      </c>
      <c r="U7" s="10" t="b">
        <v>0</v>
      </c>
      <c r="V7" s="11" t="s">
        <v>152</v>
      </c>
      <c r="W7" s="6" t="s">
        <v>65</v>
      </c>
      <c r="X7" s="6" t="s">
        <v>65</v>
      </c>
      <c r="Y7" s="10" t="b">
        <v>1</v>
      </c>
      <c r="Z7" s="12" t="b">
        <v>0</v>
      </c>
      <c r="AA7" s="11" t="s">
        <v>153</v>
      </c>
      <c r="AB7" s="9" t="s">
        <v>154</v>
      </c>
      <c r="AC7" s="9" t="s">
        <v>79</v>
      </c>
      <c r="AD7" s="10" t="b">
        <v>1</v>
      </c>
      <c r="AE7" s="10" t="b">
        <v>0</v>
      </c>
      <c r="AF7" s="11" t="s">
        <v>155</v>
      </c>
      <c r="AG7" s="9" t="s">
        <v>156</v>
      </c>
      <c r="AH7" s="6" t="s">
        <v>79</v>
      </c>
      <c r="AI7" s="10" t="b">
        <v>1</v>
      </c>
      <c r="AJ7" s="12" t="b">
        <v>0</v>
      </c>
      <c r="AK7" s="11" t="s">
        <v>153</v>
      </c>
      <c r="AL7" s="9" t="s">
        <v>154</v>
      </c>
      <c r="AM7" s="9" t="s">
        <v>79</v>
      </c>
      <c r="AN7" s="9" t="b">
        <v>1</v>
      </c>
      <c r="AO7" s="12" t="b">
        <v>0</v>
      </c>
      <c r="AP7" s="14" t="s">
        <v>157</v>
      </c>
      <c r="AQ7" s="6" t="s">
        <v>65</v>
      </c>
      <c r="AR7" s="6" t="s">
        <v>65</v>
      </c>
      <c r="AS7" s="6"/>
      <c r="AT7" s="6"/>
      <c r="AU7" s="6"/>
      <c r="AV7" s="6"/>
      <c r="AW7" s="6"/>
      <c r="AX7" s="6"/>
      <c r="AY7" s="6"/>
      <c r="AZ7" s="6"/>
      <c r="BA7" s="6"/>
    </row>
    <row r="8" ht="22.5" customHeight="1">
      <c r="A8" s="7" t="s">
        <v>158</v>
      </c>
      <c r="B8" s="8" t="s">
        <v>159</v>
      </c>
      <c r="C8" s="6" t="s">
        <v>160</v>
      </c>
      <c r="D8" s="9" t="s">
        <v>161</v>
      </c>
      <c r="E8" s="9" t="s">
        <v>162</v>
      </c>
      <c r="F8" s="9" t="s">
        <v>163</v>
      </c>
      <c r="G8" s="6" t="s">
        <v>164</v>
      </c>
      <c r="H8" s="10" t="b">
        <v>1</v>
      </c>
      <c r="I8" s="6" t="s">
        <v>165</v>
      </c>
      <c r="J8" s="16" t="s">
        <v>166</v>
      </c>
      <c r="K8" s="6" t="s">
        <v>167</v>
      </c>
      <c r="L8" s="11" t="s">
        <v>166</v>
      </c>
      <c r="M8" s="17" t="s">
        <v>168</v>
      </c>
      <c r="N8" s="6" t="s">
        <v>169</v>
      </c>
      <c r="O8" s="6" t="s">
        <v>170</v>
      </c>
      <c r="P8" s="6"/>
      <c r="Q8" s="9" t="s">
        <v>80</v>
      </c>
      <c r="R8" s="6" t="s">
        <v>133</v>
      </c>
      <c r="S8" s="10" t="b">
        <v>0</v>
      </c>
      <c r="T8" s="10" t="b">
        <v>0</v>
      </c>
      <c r="U8" s="10" t="b">
        <v>0</v>
      </c>
      <c r="V8" s="6" t="s">
        <v>63</v>
      </c>
      <c r="W8" s="6" t="s">
        <v>104</v>
      </c>
      <c r="X8" s="6" t="s">
        <v>63</v>
      </c>
      <c r="Y8" s="10" t="b">
        <v>1</v>
      </c>
      <c r="Z8" s="12" t="b">
        <v>0</v>
      </c>
      <c r="AA8" s="6" t="s">
        <v>171</v>
      </c>
      <c r="AB8" s="9" t="s">
        <v>135</v>
      </c>
      <c r="AC8" s="9" t="s">
        <v>79</v>
      </c>
      <c r="AD8" s="10" t="b">
        <v>1</v>
      </c>
      <c r="AE8" s="10" t="b">
        <v>0</v>
      </c>
      <c r="AF8" s="6" t="s">
        <v>172</v>
      </c>
      <c r="AG8" s="6" t="s">
        <v>65</v>
      </c>
      <c r="AH8" s="6" t="s">
        <v>65</v>
      </c>
      <c r="AI8" s="10" t="b">
        <v>1</v>
      </c>
      <c r="AJ8" s="10" t="b">
        <v>0</v>
      </c>
      <c r="AK8" s="6" t="s">
        <v>171</v>
      </c>
      <c r="AL8" s="9" t="s">
        <v>135</v>
      </c>
      <c r="AM8" s="9" t="s">
        <v>79</v>
      </c>
      <c r="AN8" s="9" t="b">
        <v>1</v>
      </c>
      <c r="AO8" s="12" t="b">
        <v>0</v>
      </c>
      <c r="AP8" s="14" t="s">
        <v>173</v>
      </c>
      <c r="AQ8" s="6" t="s">
        <v>65</v>
      </c>
      <c r="AR8" s="6" t="s">
        <v>65</v>
      </c>
      <c r="AS8" s="6"/>
      <c r="AT8" s="6"/>
      <c r="AU8" s="6"/>
      <c r="AV8" s="6"/>
      <c r="AW8" s="6"/>
      <c r="AX8" s="6"/>
      <c r="AY8" s="6"/>
      <c r="AZ8" s="6"/>
      <c r="BA8" s="6"/>
    </row>
    <row r="9" ht="22.5" customHeight="1">
      <c r="A9" s="18" t="s">
        <v>174</v>
      </c>
      <c r="B9" s="6" t="s">
        <v>175</v>
      </c>
      <c r="C9" s="6" t="s">
        <v>176</v>
      </c>
      <c r="D9" s="9" t="s">
        <v>177</v>
      </c>
      <c r="E9" s="9" t="s">
        <v>178</v>
      </c>
      <c r="F9" s="9" t="s">
        <v>179</v>
      </c>
      <c r="G9" s="6" t="s">
        <v>180</v>
      </c>
      <c r="H9" s="10" t="b">
        <v>1</v>
      </c>
      <c r="I9" s="19" t="s">
        <v>181</v>
      </c>
      <c r="J9" s="20" t="s">
        <v>182</v>
      </c>
      <c r="K9" s="6" t="s">
        <v>183</v>
      </c>
      <c r="L9" s="6" t="s">
        <v>184</v>
      </c>
      <c r="M9" s="17" t="s">
        <v>185</v>
      </c>
      <c r="N9" s="6" t="s">
        <v>186</v>
      </c>
      <c r="O9" s="6" t="s">
        <v>58</v>
      </c>
      <c r="P9" s="6"/>
      <c r="Q9" s="9" t="s">
        <v>59</v>
      </c>
      <c r="R9" s="6" t="s">
        <v>59</v>
      </c>
      <c r="S9" s="10" t="b">
        <v>0</v>
      </c>
      <c r="T9" s="10" t="b">
        <v>1</v>
      </c>
      <c r="U9" s="10" t="b">
        <v>0</v>
      </c>
      <c r="V9" s="9" t="s">
        <v>187</v>
      </c>
      <c r="W9" s="9" t="s">
        <v>188</v>
      </c>
      <c r="X9" s="6" t="s">
        <v>189</v>
      </c>
      <c r="Y9" s="12" t="b">
        <v>0</v>
      </c>
      <c r="Z9" s="10" t="s">
        <v>63</v>
      </c>
      <c r="AA9" s="13" t="s">
        <v>63</v>
      </c>
      <c r="AB9" s="10" t="s">
        <v>63</v>
      </c>
      <c r="AC9" s="10" t="s">
        <v>63</v>
      </c>
      <c r="AD9" s="12" t="b">
        <v>0</v>
      </c>
      <c r="AE9" s="10" t="s">
        <v>63</v>
      </c>
      <c r="AF9" s="13" t="s">
        <v>63</v>
      </c>
      <c r="AG9" s="10" t="s">
        <v>63</v>
      </c>
      <c r="AH9" s="10" t="s">
        <v>63</v>
      </c>
      <c r="AI9" s="12" t="b">
        <v>0</v>
      </c>
      <c r="AJ9" s="10" t="s">
        <v>63</v>
      </c>
      <c r="AK9" s="13" t="s">
        <v>63</v>
      </c>
      <c r="AL9" s="10" t="s">
        <v>63</v>
      </c>
      <c r="AM9" s="10" t="s">
        <v>63</v>
      </c>
      <c r="AN9" s="9" t="b">
        <v>1</v>
      </c>
      <c r="AO9" s="12" t="b">
        <v>0</v>
      </c>
      <c r="AP9" s="14" t="s">
        <v>190</v>
      </c>
      <c r="AQ9" s="6" t="s">
        <v>65</v>
      </c>
      <c r="AR9" s="6" t="s">
        <v>65</v>
      </c>
      <c r="AS9" s="6"/>
      <c r="AT9" s="6"/>
      <c r="AU9" s="6"/>
      <c r="AV9" s="6"/>
      <c r="AW9" s="6"/>
      <c r="AX9" s="6"/>
      <c r="AY9" s="6"/>
      <c r="AZ9" s="6"/>
      <c r="BA9" s="6"/>
    </row>
    <row r="10" ht="22.5" customHeight="1">
      <c r="A10" s="18" t="s">
        <v>191</v>
      </c>
      <c r="B10" s="6" t="s">
        <v>192</v>
      </c>
      <c r="C10" s="6" t="s">
        <v>193</v>
      </c>
      <c r="D10" s="9" t="s">
        <v>194</v>
      </c>
      <c r="E10" s="9" t="s">
        <v>195</v>
      </c>
      <c r="F10" s="9" t="s">
        <v>196</v>
      </c>
      <c r="G10" s="6" t="s">
        <v>197</v>
      </c>
      <c r="H10" s="10" t="b">
        <v>1</v>
      </c>
      <c r="I10" s="11" t="s">
        <v>198</v>
      </c>
      <c r="J10" s="11" t="s">
        <v>199</v>
      </c>
      <c r="K10" s="11" t="s">
        <v>200</v>
      </c>
      <c r="L10" s="11" t="s">
        <v>198</v>
      </c>
      <c r="M10" s="9" t="s">
        <v>201</v>
      </c>
      <c r="N10" s="9" t="s">
        <v>58</v>
      </c>
      <c r="O10" s="9" t="s">
        <v>202</v>
      </c>
      <c r="P10" s="6"/>
      <c r="Q10" s="9" t="s">
        <v>80</v>
      </c>
      <c r="R10" s="6" t="s">
        <v>133</v>
      </c>
      <c r="S10" s="10" t="b">
        <v>1</v>
      </c>
      <c r="T10" s="10" t="b">
        <v>1</v>
      </c>
      <c r="U10" s="10" t="b">
        <v>1</v>
      </c>
      <c r="V10" s="11" t="s">
        <v>203</v>
      </c>
      <c r="W10" s="9" t="s">
        <v>204</v>
      </c>
      <c r="X10" s="9" t="s">
        <v>62</v>
      </c>
      <c r="Y10" s="10" t="b">
        <v>1</v>
      </c>
      <c r="Z10" s="10" t="b">
        <v>1</v>
      </c>
      <c r="AA10" s="11" t="s">
        <v>205</v>
      </c>
      <c r="AB10" s="9" t="s">
        <v>206</v>
      </c>
      <c r="AC10" s="9" t="s">
        <v>62</v>
      </c>
      <c r="AD10" s="10" t="b">
        <v>1</v>
      </c>
      <c r="AE10" s="10" t="b">
        <v>1</v>
      </c>
      <c r="AF10" s="11" t="s">
        <v>207</v>
      </c>
      <c r="AG10" s="6" t="s">
        <v>186</v>
      </c>
      <c r="AH10" s="9" t="s">
        <v>58</v>
      </c>
      <c r="AI10" s="10" t="b">
        <v>1</v>
      </c>
      <c r="AJ10" s="10" t="b">
        <v>1</v>
      </c>
      <c r="AK10" s="11" t="s">
        <v>205</v>
      </c>
      <c r="AL10" s="9" t="s">
        <v>206</v>
      </c>
      <c r="AM10" s="9" t="s">
        <v>62</v>
      </c>
      <c r="AN10" s="9" t="b">
        <v>1</v>
      </c>
      <c r="AO10" s="12" t="b">
        <v>0</v>
      </c>
      <c r="AP10" s="14" t="s">
        <v>208</v>
      </c>
      <c r="AQ10" s="6" t="s">
        <v>65</v>
      </c>
      <c r="AR10" s="6" t="s">
        <v>65</v>
      </c>
      <c r="AS10" s="6"/>
      <c r="AT10" s="6"/>
      <c r="AU10" s="6"/>
      <c r="AV10" s="6"/>
      <c r="AW10" s="6"/>
      <c r="AX10" s="6"/>
      <c r="AY10" s="6"/>
      <c r="AZ10" s="6"/>
      <c r="BA10" s="6"/>
    </row>
    <row r="11" ht="22.5" customHeight="1">
      <c r="A11" s="18" t="s">
        <v>209</v>
      </c>
      <c r="B11" s="6" t="s">
        <v>210</v>
      </c>
      <c r="C11" s="6" t="s">
        <v>211</v>
      </c>
      <c r="D11" s="9" t="s">
        <v>212</v>
      </c>
      <c r="E11" s="9" t="s">
        <v>213</v>
      </c>
      <c r="F11" s="9" t="s">
        <v>214</v>
      </c>
      <c r="G11" s="6" t="s">
        <v>215</v>
      </c>
      <c r="H11" s="21" t="b">
        <v>1</v>
      </c>
      <c r="I11" s="6" t="s">
        <v>216</v>
      </c>
      <c r="J11" s="6" t="s">
        <v>217</v>
      </c>
      <c r="K11" s="6" t="s">
        <v>218</v>
      </c>
      <c r="L11" s="6" t="s">
        <v>219</v>
      </c>
      <c r="M11" s="6" t="s">
        <v>220</v>
      </c>
      <c r="N11" s="6" t="s">
        <v>221</v>
      </c>
      <c r="O11" s="6" t="s">
        <v>79</v>
      </c>
      <c r="P11" s="6"/>
      <c r="Q11" s="9" t="s">
        <v>80</v>
      </c>
      <c r="R11" s="6" t="s">
        <v>133</v>
      </c>
      <c r="S11" s="10" t="b">
        <v>0</v>
      </c>
      <c r="T11" s="10" t="b">
        <v>1</v>
      </c>
      <c r="U11" s="10" t="b">
        <v>0</v>
      </c>
      <c r="V11" s="11" t="s">
        <v>222</v>
      </c>
      <c r="W11" s="6" t="s">
        <v>65</v>
      </c>
      <c r="X11" s="6" t="s">
        <v>65</v>
      </c>
      <c r="Y11" s="10" t="b">
        <v>1</v>
      </c>
      <c r="Z11" s="21" t="b">
        <v>1</v>
      </c>
      <c r="AA11" s="11" t="s">
        <v>223</v>
      </c>
      <c r="AB11" s="6" t="s">
        <v>221</v>
      </c>
      <c r="AC11" s="17" t="s">
        <v>79</v>
      </c>
      <c r="AD11" s="10" t="b">
        <v>1</v>
      </c>
      <c r="AE11" s="10" t="b">
        <v>0</v>
      </c>
      <c r="AF11" s="22" t="s">
        <v>224</v>
      </c>
      <c r="AG11" s="6" t="s">
        <v>65</v>
      </c>
      <c r="AH11" s="6" t="s">
        <v>65</v>
      </c>
      <c r="AI11" s="10" t="b">
        <v>1</v>
      </c>
      <c r="AJ11" s="21" t="b">
        <v>1</v>
      </c>
      <c r="AK11" s="11" t="s">
        <v>223</v>
      </c>
      <c r="AL11" s="6" t="s">
        <v>221</v>
      </c>
      <c r="AM11" s="17" t="s">
        <v>79</v>
      </c>
      <c r="AN11" s="9" t="b">
        <v>1</v>
      </c>
      <c r="AO11" s="12" t="b">
        <v>0</v>
      </c>
      <c r="AP11" s="14" t="s">
        <v>225</v>
      </c>
      <c r="AQ11" s="6" t="s">
        <v>65</v>
      </c>
      <c r="AR11" s="6" t="s">
        <v>65</v>
      </c>
      <c r="AS11" s="6"/>
      <c r="AT11" s="6"/>
      <c r="AU11" s="6"/>
      <c r="AV11" s="6"/>
      <c r="AW11" s="6"/>
      <c r="AX11" s="6"/>
      <c r="AY11" s="6"/>
      <c r="AZ11" s="6"/>
      <c r="BA11" s="6"/>
    </row>
    <row r="12" ht="22.5" customHeight="1">
      <c r="A12" s="18" t="s">
        <v>226</v>
      </c>
      <c r="B12" s="6" t="s">
        <v>227</v>
      </c>
      <c r="C12" s="6" t="s">
        <v>228</v>
      </c>
      <c r="D12" s="9" t="s">
        <v>229</v>
      </c>
      <c r="E12" s="9" t="s">
        <v>230</v>
      </c>
      <c r="F12" s="9" t="s">
        <v>231</v>
      </c>
      <c r="G12" s="6" t="s">
        <v>180</v>
      </c>
      <c r="H12" s="21" t="b">
        <v>1</v>
      </c>
      <c r="I12" s="6" t="s">
        <v>232</v>
      </c>
      <c r="J12" s="6" t="s">
        <v>233</v>
      </c>
      <c r="K12" s="6" t="s">
        <v>234</v>
      </c>
      <c r="L12" s="6" t="s">
        <v>235</v>
      </c>
      <c r="M12" s="9" t="s">
        <v>236</v>
      </c>
      <c r="N12" s="6" t="s">
        <v>103</v>
      </c>
      <c r="O12" s="6" t="s">
        <v>86</v>
      </c>
      <c r="P12" s="6"/>
      <c r="Q12" s="9" t="s">
        <v>59</v>
      </c>
      <c r="R12" s="6" t="s">
        <v>59</v>
      </c>
      <c r="S12" s="10" t="b">
        <v>0</v>
      </c>
      <c r="T12" s="10" t="b">
        <v>1</v>
      </c>
      <c r="U12" s="10" t="b">
        <v>0</v>
      </c>
      <c r="V12" s="11" t="s">
        <v>237</v>
      </c>
      <c r="W12" s="9" t="s">
        <v>188</v>
      </c>
      <c r="X12" s="6" t="s">
        <v>189</v>
      </c>
      <c r="Y12" s="12" t="b">
        <v>0</v>
      </c>
      <c r="Z12" s="10" t="s">
        <v>63</v>
      </c>
      <c r="AA12" s="13" t="s">
        <v>63</v>
      </c>
      <c r="AB12" s="10" t="s">
        <v>63</v>
      </c>
      <c r="AC12" s="10" t="s">
        <v>63</v>
      </c>
      <c r="AD12" s="12" t="b">
        <v>0</v>
      </c>
      <c r="AE12" s="10" t="s">
        <v>63</v>
      </c>
      <c r="AF12" s="13" t="s">
        <v>63</v>
      </c>
      <c r="AG12" s="10" t="s">
        <v>63</v>
      </c>
      <c r="AH12" s="10" t="s">
        <v>63</v>
      </c>
      <c r="AI12" s="12" t="b">
        <v>0</v>
      </c>
      <c r="AJ12" s="10" t="s">
        <v>63</v>
      </c>
      <c r="AK12" s="13" t="s">
        <v>63</v>
      </c>
      <c r="AL12" s="10" t="s">
        <v>63</v>
      </c>
      <c r="AM12" s="10" t="s">
        <v>63</v>
      </c>
      <c r="AN12" s="9" t="b">
        <v>1</v>
      </c>
      <c r="AO12" s="12" t="b">
        <v>0</v>
      </c>
      <c r="AP12" s="14" t="s">
        <v>238</v>
      </c>
      <c r="AQ12" s="6" t="s">
        <v>65</v>
      </c>
      <c r="AR12" s="6" t="s">
        <v>65</v>
      </c>
      <c r="AS12" s="6"/>
      <c r="AT12" s="6"/>
      <c r="AU12" s="6"/>
      <c r="AV12" s="6"/>
      <c r="AW12" s="6"/>
      <c r="AX12" s="6"/>
      <c r="AY12" s="6"/>
      <c r="AZ12" s="6"/>
      <c r="BA12" s="6"/>
    </row>
    <row r="13" ht="22.5" customHeight="1">
      <c r="A13" s="7" t="s">
        <v>239</v>
      </c>
      <c r="B13" s="8" t="s">
        <v>240</v>
      </c>
      <c r="C13" s="8" t="s">
        <v>241</v>
      </c>
      <c r="D13" s="9" t="s">
        <v>242</v>
      </c>
      <c r="E13" s="9" t="s">
        <v>243</v>
      </c>
      <c r="F13" s="9" t="s">
        <v>244</v>
      </c>
      <c r="G13" s="6" t="s">
        <v>245</v>
      </c>
      <c r="H13" s="23" t="b">
        <v>1</v>
      </c>
      <c r="I13" s="8" t="s">
        <v>246</v>
      </c>
      <c r="J13" s="8" t="s">
        <v>247</v>
      </c>
      <c r="K13" s="8" t="s">
        <v>248</v>
      </c>
      <c r="L13" s="8" t="s">
        <v>246</v>
      </c>
      <c r="M13" s="8" t="s">
        <v>249</v>
      </c>
      <c r="N13" s="8" t="s">
        <v>186</v>
      </c>
      <c r="O13" s="24" t="s">
        <v>250</v>
      </c>
      <c r="P13" s="8"/>
      <c r="Q13" s="9" t="s">
        <v>59</v>
      </c>
      <c r="R13" s="8" t="s">
        <v>59</v>
      </c>
      <c r="S13" s="15" t="b">
        <v>0</v>
      </c>
      <c r="T13" s="15" t="b">
        <v>1</v>
      </c>
      <c r="U13" s="15" t="b">
        <v>1</v>
      </c>
      <c r="V13" s="8" t="s">
        <v>251</v>
      </c>
      <c r="W13" s="9" t="s">
        <v>252</v>
      </c>
      <c r="X13" s="9" t="s">
        <v>62</v>
      </c>
      <c r="Y13" s="12" t="b">
        <v>0</v>
      </c>
      <c r="Z13" s="10" t="s">
        <v>63</v>
      </c>
      <c r="AA13" s="13" t="s">
        <v>63</v>
      </c>
      <c r="AB13" s="10" t="s">
        <v>63</v>
      </c>
      <c r="AC13" s="10" t="s">
        <v>63</v>
      </c>
      <c r="AD13" s="12" t="b">
        <v>0</v>
      </c>
      <c r="AE13" s="10" t="s">
        <v>63</v>
      </c>
      <c r="AF13" s="13" t="s">
        <v>63</v>
      </c>
      <c r="AG13" s="10" t="s">
        <v>63</v>
      </c>
      <c r="AH13" s="10" t="s">
        <v>63</v>
      </c>
      <c r="AI13" s="12" t="b">
        <v>0</v>
      </c>
      <c r="AJ13" s="10" t="s">
        <v>63</v>
      </c>
      <c r="AK13" s="13" t="s">
        <v>63</v>
      </c>
      <c r="AL13" s="10" t="s">
        <v>63</v>
      </c>
      <c r="AM13" s="10" t="s">
        <v>63</v>
      </c>
      <c r="AN13" s="9" t="b">
        <v>1</v>
      </c>
      <c r="AO13" s="12" t="b">
        <v>0</v>
      </c>
      <c r="AP13" s="14" t="s">
        <v>253</v>
      </c>
      <c r="AQ13" s="6" t="s">
        <v>65</v>
      </c>
      <c r="AR13" s="6" t="s">
        <v>65</v>
      </c>
      <c r="AS13" s="6"/>
      <c r="AT13" s="6"/>
      <c r="AU13" s="6"/>
      <c r="AV13" s="6"/>
      <c r="AW13" s="6"/>
      <c r="AX13" s="6"/>
      <c r="AY13" s="6"/>
      <c r="AZ13" s="6"/>
      <c r="BA13" s="6"/>
    </row>
    <row r="14" ht="22.5" customHeight="1">
      <c r="A14" s="7" t="s">
        <v>254</v>
      </c>
      <c r="B14" s="8" t="s">
        <v>255</v>
      </c>
      <c r="C14" s="8" t="s">
        <v>256</v>
      </c>
      <c r="D14" s="9" t="s">
        <v>257</v>
      </c>
      <c r="E14" s="9" t="s">
        <v>258</v>
      </c>
      <c r="F14" s="9" t="s">
        <v>259</v>
      </c>
      <c r="G14" s="6" t="s">
        <v>260</v>
      </c>
      <c r="H14" s="21" t="b">
        <v>0</v>
      </c>
      <c r="I14" s="25" t="s">
        <v>261</v>
      </c>
      <c r="J14" s="26" t="s">
        <v>262</v>
      </c>
      <c r="K14" s="8" t="s">
        <v>263</v>
      </c>
      <c r="L14" s="8" t="s">
        <v>264</v>
      </c>
      <c r="M14" s="27" t="s">
        <v>265</v>
      </c>
      <c r="N14" s="8" t="s">
        <v>169</v>
      </c>
      <c r="O14" s="9" t="s">
        <v>266</v>
      </c>
      <c r="P14" s="8"/>
      <c r="Q14" s="9" t="s">
        <v>59</v>
      </c>
      <c r="R14" s="8" t="s">
        <v>59</v>
      </c>
      <c r="S14" s="15" t="b">
        <v>1</v>
      </c>
      <c r="T14" s="10" t="b">
        <v>0</v>
      </c>
      <c r="U14" s="10" t="b">
        <v>0</v>
      </c>
      <c r="V14" s="6" t="s">
        <v>63</v>
      </c>
      <c r="W14" s="6" t="s">
        <v>104</v>
      </c>
      <c r="X14" s="6" t="s">
        <v>63</v>
      </c>
      <c r="Y14" s="12" t="b">
        <v>0</v>
      </c>
      <c r="Z14" s="10" t="s">
        <v>63</v>
      </c>
      <c r="AA14" s="13" t="s">
        <v>63</v>
      </c>
      <c r="AB14" s="10" t="s">
        <v>63</v>
      </c>
      <c r="AC14" s="10" t="s">
        <v>63</v>
      </c>
      <c r="AD14" s="12" t="b">
        <v>0</v>
      </c>
      <c r="AE14" s="10" t="s">
        <v>63</v>
      </c>
      <c r="AF14" s="13" t="s">
        <v>63</v>
      </c>
      <c r="AG14" s="10" t="s">
        <v>63</v>
      </c>
      <c r="AH14" s="10" t="s">
        <v>63</v>
      </c>
      <c r="AI14" s="12" t="b">
        <v>0</v>
      </c>
      <c r="AJ14" s="10" t="s">
        <v>63</v>
      </c>
      <c r="AK14" s="13" t="s">
        <v>63</v>
      </c>
      <c r="AL14" s="10" t="s">
        <v>63</v>
      </c>
      <c r="AM14" s="10" t="s">
        <v>63</v>
      </c>
      <c r="AN14" s="9" t="b">
        <v>1</v>
      </c>
      <c r="AO14" s="9" t="b">
        <v>1</v>
      </c>
      <c r="AP14" s="14" t="s">
        <v>267</v>
      </c>
      <c r="AQ14" s="9" t="s">
        <v>268</v>
      </c>
      <c r="AR14" s="9" t="s">
        <v>170</v>
      </c>
      <c r="AS14" s="6"/>
      <c r="AT14" s="6"/>
      <c r="AU14" s="6"/>
      <c r="AV14" s="6"/>
      <c r="AW14" s="6"/>
      <c r="AX14" s="6"/>
      <c r="AY14" s="6"/>
      <c r="AZ14" s="6"/>
      <c r="BA14" s="6"/>
    </row>
    <row r="15" ht="22.5" customHeight="1">
      <c r="A15" s="7" t="s">
        <v>269</v>
      </c>
      <c r="B15" s="8" t="s">
        <v>270</v>
      </c>
      <c r="C15" s="8" t="s">
        <v>271</v>
      </c>
      <c r="D15" s="9" t="s">
        <v>272</v>
      </c>
      <c r="E15" s="9" t="s">
        <v>273</v>
      </c>
      <c r="F15" s="9" t="s">
        <v>274</v>
      </c>
      <c r="G15" s="6" t="s">
        <v>275</v>
      </c>
      <c r="H15" s="25" t="b">
        <v>1</v>
      </c>
      <c r="I15" s="25" t="s">
        <v>276</v>
      </c>
      <c r="J15" s="25" t="s">
        <v>277</v>
      </c>
      <c r="K15" s="28" t="s">
        <v>278</v>
      </c>
      <c r="L15" s="8" t="s">
        <v>279</v>
      </c>
      <c r="M15" s="8" t="s">
        <v>117</v>
      </c>
      <c r="N15" s="8" t="s">
        <v>186</v>
      </c>
      <c r="O15" s="8" t="s">
        <v>58</v>
      </c>
      <c r="P15" s="8"/>
      <c r="Q15" s="9" t="s">
        <v>80</v>
      </c>
      <c r="R15" s="8" t="s">
        <v>118</v>
      </c>
      <c r="S15" s="15" t="b">
        <v>0</v>
      </c>
      <c r="T15" s="15" t="b">
        <v>1</v>
      </c>
      <c r="U15" s="15" t="b">
        <v>0</v>
      </c>
      <c r="V15" s="28" t="s">
        <v>280</v>
      </c>
      <c r="W15" s="9" t="s">
        <v>281</v>
      </c>
      <c r="X15" s="8" t="s">
        <v>189</v>
      </c>
      <c r="Y15" s="10" t="b">
        <v>0</v>
      </c>
      <c r="Z15" s="15" t="s">
        <v>63</v>
      </c>
      <c r="AA15" s="8" t="s">
        <v>63</v>
      </c>
      <c r="AB15" s="10" t="s">
        <v>63</v>
      </c>
      <c r="AC15" s="10" t="s">
        <v>63</v>
      </c>
      <c r="AD15" s="10" t="b">
        <v>0</v>
      </c>
      <c r="AE15" s="15" t="s">
        <v>63</v>
      </c>
      <c r="AF15" s="8" t="s">
        <v>63</v>
      </c>
      <c r="AG15" s="8" t="s">
        <v>63</v>
      </c>
      <c r="AH15" s="8" t="s">
        <v>63</v>
      </c>
      <c r="AI15" s="10" t="b">
        <v>0</v>
      </c>
      <c r="AJ15" s="10" t="s">
        <v>63</v>
      </c>
      <c r="AK15" s="8" t="s">
        <v>63</v>
      </c>
      <c r="AL15" s="8" t="s">
        <v>63</v>
      </c>
      <c r="AM15" s="8" t="s">
        <v>63</v>
      </c>
      <c r="AN15" s="9" t="b">
        <v>1</v>
      </c>
      <c r="AO15" s="12" t="b">
        <v>0</v>
      </c>
      <c r="AP15" s="14" t="s">
        <v>282</v>
      </c>
      <c r="AQ15" s="6" t="s">
        <v>65</v>
      </c>
      <c r="AR15" s="6" t="s">
        <v>65</v>
      </c>
      <c r="AS15" s="6"/>
      <c r="AT15" s="6"/>
      <c r="AU15" s="6"/>
      <c r="AV15" s="6"/>
      <c r="AW15" s="6"/>
      <c r="AX15" s="6"/>
      <c r="AY15" s="6"/>
      <c r="AZ15" s="6"/>
      <c r="BA15" s="6"/>
    </row>
    <row r="16" ht="22.5" customHeight="1">
      <c r="A16" s="7" t="s">
        <v>283</v>
      </c>
      <c r="B16" s="8" t="s">
        <v>284</v>
      </c>
      <c r="C16" s="8" t="s">
        <v>285</v>
      </c>
      <c r="D16" s="9" t="s">
        <v>286</v>
      </c>
      <c r="E16" s="9" t="s">
        <v>287</v>
      </c>
      <c r="F16" s="9" t="s">
        <v>288</v>
      </c>
      <c r="G16" s="6" t="s">
        <v>289</v>
      </c>
      <c r="H16" s="12" t="b">
        <v>0</v>
      </c>
      <c r="I16" s="25" t="s">
        <v>290</v>
      </c>
      <c r="J16" s="25" t="s">
        <v>291</v>
      </c>
      <c r="K16" s="8" t="s">
        <v>292</v>
      </c>
      <c r="L16" s="28" t="s">
        <v>293</v>
      </c>
      <c r="M16" s="9" t="s">
        <v>294</v>
      </c>
      <c r="N16" s="8" t="s">
        <v>268</v>
      </c>
      <c r="O16" s="8" t="s">
        <v>295</v>
      </c>
      <c r="P16" s="8"/>
      <c r="Q16" s="9" t="s">
        <v>80</v>
      </c>
      <c r="R16" s="8" t="s">
        <v>133</v>
      </c>
      <c r="S16" s="15" t="b">
        <v>1</v>
      </c>
      <c r="T16" s="15" t="b">
        <v>1</v>
      </c>
      <c r="U16" s="15" t="b">
        <v>0</v>
      </c>
      <c r="V16" s="28" t="s">
        <v>296</v>
      </c>
      <c r="W16" s="8" t="s">
        <v>65</v>
      </c>
      <c r="X16" s="8" t="s">
        <v>65</v>
      </c>
      <c r="Y16" s="10" t="b">
        <v>1</v>
      </c>
      <c r="Z16" s="15" t="b">
        <v>0</v>
      </c>
      <c r="AA16" s="28" t="s">
        <v>297</v>
      </c>
      <c r="AB16" s="9" t="s">
        <v>65</v>
      </c>
      <c r="AC16" s="9" t="s">
        <v>65</v>
      </c>
      <c r="AD16" s="10" t="b">
        <v>1</v>
      </c>
      <c r="AE16" s="15" t="b">
        <v>0</v>
      </c>
      <c r="AF16" s="28" t="s">
        <v>298</v>
      </c>
      <c r="AG16" s="8" t="s">
        <v>65</v>
      </c>
      <c r="AH16" s="8" t="s">
        <v>65</v>
      </c>
      <c r="AI16" s="10" t="b">
        <v>1</v>
      </c>
      <c r="AJ16" s="15" t="b">
        <v>0</v>
      </c>
      <c r="AK16" s="28" t="s">
        <v>297</v>
      </c>
      <c r="AL16" s="9" t="s">
        <v>65</v>
      </c>
      <c r="AM16" s="9" t="s">
        <v>65</v>
      </c>
      <c r="AN16" s="9" t="b">
        <v>1</v>
      </c>
      <c r="AO16" s="12" t="b">
        <v>0</v>
      </c>
      <c r="AP16" s="14" t="s">
        <v>299</v>
      </c>
      <c r="AQ16" s="6" t="s">
        <v>65</v>
      </c>
      <c r="AR16" s="6" t="s">
        <v>65</v>
      </c>
      <c r="AS16" s="6"/>
      <c r="AT16" s="6"/>
      <c r="AU16" s="6"/>
      <c r="AV16" s="6"/>
      <c r="AW16" s="6"/>
      <c r="AX16" s="6"/>
      <c r="AY16" s="6"/>
      <c r="AZ16" s="6"/>
      <c r="BA16" s="6"/>
    </row>
    <row r="17" ht="22.5" customHeight="1">
      <c r="A17" s="7" t="s">
        <v>300</v>
      </c>
      <c r="B17" s="8" t="s">
        <v>301</v>
      </c>
      <c r="C17" s="8" t="s">
        <v>302</v>
      </c>
      <c r="D17" s="9" t="s">
        <v>303</v>
      </c>
      <c r="E17" s="9" t="s">
        <v>304</v>
      </c>
      <c r="F17" s="9" t="s">
        <v>305</v>
      </c>
      <c r="G17" s="6" t="s">
        <v>306</v>
      </c>
      <c r="H17" s="21" t="b">
        <v>0</v>
      </c>
      <c r="I17" s="8" t="s">
        <v>307</v>
      </c>
      <c r="J17" s="25" t="s">
        <v>308</v>
      </c>
      <c r="K17" s="8" t="s">
        <v>309</v>
      </c>
      <c r="L17" s="8" t="s">
        <v>310</v>
      </c>
      <c r="M17" s="8" t="s">
        <v>311</v>
      </c>
      <c r="N17" s="8" t="s">
        <v>186</v>
      </c>
      <c r="O17" s="8" t="s">
        <v>58</v>
      </c>
      <c r="P17" s="8"/>
      <c r="Q17" s="9" t="s">
        <v>80</v>
      </c>
      <c r="R17" s="8" t="s">
        <v>312</v>
      </c>
      <c r="S17" s="15" t="b">
        <v>0</v>
      </c>
      <c r="T17" s="10" t="b">
        <v>1</v>
      </c>
      <c r="U17" s="10" t="b">
        <v>0</v>
      </c>
      <c r="V17" s="11" t="s">
        <v>313</v>
      </c>
      <c r="W17" s="6" t="s">
        <v>65</v>
      </c>
      <c r="X17" s="6" t="s">
        <v>65</v>
      </c>
      <c r="Y17" s="10" t="b">
        <v>1</v>
      </c>
      <c r="Z17" s="10" t="b">
        <v>1</v>
      </c>
      <c r="AA17" s="11" t="s">
        <v>314</v>
      </c>
      <c r="AB17" s="9" t="s">
        <v>206</v>
      </c>
      <c r="AC17" s="9" t="s">
        <v>62</v>
      </c>
      <c r="AD17" s="10" t="b">
        <v>1</v>
      </c>
      <c r="AE17" s="10" t="b">
        <v>0</v>
      </c>
      <c r="AF17" s="11" t="s">
        <v>315</v>
      </c>
      <c r="AG17" s="6" t="s">
        <v>65</v>
      </c>
      <c r="AH17" s="6" t="s">
        <v>65</v>
      </c>
      <c r="AI17" s="10" t="b">
        <v>1</v>
      </c>
      <c r="AJ17" s="10" t="b">
        <v>1</v>
      </c>
      <c r="AK17" s="11" t="s">
        <v>314</v>
      </c>
      <c r="AL17" s="9" t="s">
        <v>206</v>
      </c>
      <c r="AM17" s="9" t="s">
        <v>62</v>
      </c>
      <c r="AN17" s="9" t="b">
        <v>1</v>
      </c>
      <c r="AO17" s="9" t="b">
        <v>0</v>
      </c>
      <c r="AP17" s="14" t="s">
        <v>316</v>
      </c>
      <c r="AQ17" s="9" t="s">
        <v>103</v>
      </c>
      <c r="AR17" s="9" t="s">
        <v>86</v>
      </c>
      <c r="AS17" s="6"/>
      <c r="AT17" s="6"/>
      <c r="AU17" s="6"/>
      <c r="AV17" s="6"/>
      <c r="AW17" s="6"/>
      <c r="AX17" s="6"/>
      <c r="AY17" s="6"/>
      <c r="AZ17" s="6"/>
      <c r="BA17" s="6"/>
    </row>
    <row r="18" ht="22.5" customHeight="1">
      <c r="A18" s="7" t="s">
        <v>317</v>
      </c>
      <c r="B18" s="8" t="s">
        <v>318</v>
      </c>
      <c r="C18" s="8" t="s">
        <v>319</v>
      </c>
      <c r="D18" s="9" t="s">
        <v>320</v>
      </c>
      <c r="E18" s="9" t="s">
        <v>321</v>
      </c>
      <c r="F18" s="9" t="s">
        <v>322</v>
      </c>
      <c r="G18" s="6" t="s">
        <v>323</v>
      </c>
      <c r="H18" s="23" t="b">
        <v>1</v>
      </c>
      <c r="I18" s="29" t="s">
        <v>324</v>
      </c>
      <c r="J18" s="25" t="s">
        <v>325</v>
      </c>
      <c r="K18" s="8" t="s">
        <v>326</v>
      </c>
      <c r="L18" s="8" t="s">
        <v>327</v>
      </c>
      <c r="M18" s="8" t="s">
        <v>328</v>
      </c>
      <c r="N18" s="8" t="s">
        <v>186</v>
      </c>
      <c r="O18" s="8" t="s">
        <v>58</v>
      </c>
      <c r="P18" s="8"/>
      <c r="Q18" s="9" t="s">
        <v>80</v>
      </c>
      <c r="R18" s="8" t="s">
        <v>133</v>
      </c>
      <c r="S18" s="15" t="b">
        <v>0</v>
      </c>
      <c r="T18" s="15" t="b">
        <v>1</v>
      </c>
      <c r="U18" s="10" t="b">
        <v>0</v>
      </c>
      <c r="V18" s="28" t="s">
        <v>329</v>
      </c>
      <c r="W18" s="8" t="s">
        <v>65</v>
      </c>
      <c r="X18" s="8" t="s">
        <v>65</v>
      </c>
      <c r="Y18" s="10" t="b">
        <v>1</v>
      </c>
      <c r="Z18" s="10" t="b">
        <v>0</v>
      </c>
      <c r="AA18" s="28" t="s">
        <v>330</v>
      </c>
      <c r="AB18" s="8" t="s">
        <v>65</v>
      </c>
      <c r="AC18" s="8" t="s">
        <v>65</v>
      </c>
      <c r="AD18" s="10" t="b">
        <v>1</v>
      </c>
      <c r="AE18" s="10" t="b">
        <v>0</v>
      </c>
      <c r="AF18" s="28" t="s">
        <v>331</v>
      </c>
      <c r="AG18" s="8" t="s">
        <v>65</v>
      </c>
      <c r="AH18" s="8" t="s">
        <v>65</v>
      </c>
      <c r="AI18" s="10" t="b">
        <v>1</v>
      </c>
      <c r="AJ18" s="10" t="b">
        <v>0</v>
      </c>
      <c r="AK18" s="28" t="s">
        <v>332</v>
      </c>
      <c r="AL18" s="8" t="s">
        <v>333</v>
      </c>
      <c r="AM18" s="9" t="s">
        <v>79</v>
      </c>
      <c r="AN18" s="9" t="b">
        <v>1</v>
      </c>
      <c r="AO18" s="9" t="b">
        <v>0</v>
      </c>
      <c r="AP18" s="14" t="s">
        <v>334</v>
      </c>
      <c r="AQ18" s="6" t="s">
        <v>65</v>
      </c>
      <c r="AR18" s="6" t="s">
        <v>65</v>
      </c>
      <c r="AS18" s="6"/>
      <c r="AT18" s="6"/>
      <c r="AU18" s="6"/>
      <c r="AV18" s="6"/>
      <c r="AW18" s="6"/>
      <c r="AX18" s="6"/>
      <c r="AY18" s="6"/>
      <c r="AZ18" s="6"/>
      <c r="BA18" s="6"/>
    </row>
    <row r="19" ht="22.5" customHeight="1">
      <c r="A19" s="7" t="s">
        <v>335</v>
      </c>
      <c r="B19" s="8" t="s">
        <v>336</v>
      </c>
      <c r="C19" s="8" t="s">
        <v>337</v>
      </c>
      <c r="D19" s="9" t="s">
        <v>338</v>
      </c>
      <c r="E19" s="9" t="s">
        <v>339</v>
      </c>
      <c r="F19" s="9" t="s">
        <v>340</v>
      </c>
      <c r="G19" s="6" t="s">
        <v>341</v>
      </c>
      <c r="H19" s="23" t="b">
        <v>0</v>
      </c>
      <c r="I19" s="14" t="s">
        <v>342</v>
      </c>
      <c r="J19" s="14" t="s">
        <v>343</v>
      </c>
      <c r="K19" s="8" t="s">
        <v>344</v>
      </c>
      <c r="L19" s="8" t="s">
        <v>345</v>
      </c>
      <c r="M19" s="8" t="s">
        <v>346</v>
      </c>
      <c r="N19" s="8" t="s">
        <v>169</v>
      </c>
      <c r="O19" s="8" t="s">
        <v>170</v>
      </c>
      <c r="P19" s="8"/>
      <c r="Q19" s="9" t="s">
        <v>80</v>
      </c>
      <c r="R19" s="8" t="s">
        <v>81</v>
      </c>
      <c r="S19" s="15" t="b">
        <v>0</v>
      </c>
      <c r="T19" s="15" t="b">
        <v>1</v>
      </c>
      <c r="U19" s="15" t="b">
        <v>0</v>
      </c>
      <c r="V19" s="14" t="s">
        <v>347</v>
      </c>
      <c r="W19" s="8" t="s">
        <v>348</v>
      </c>
      <c r="X19" s="8" t="s">
        <v>79</v>
      </c>
      <c r="Y19" s="15" t="b">
        <v>1</v>
      </c>
      <c r="Z19" s="12" t="b">
        <v>0</v>
      </c>
      <c r="AA19" s="14" t="s">
        <v>349</v>
      </c>
      <c r="AB19" s="9" t="s">
        <v>350</v>
      </c>
      <c r="AC19" s="9" t="s">
        <v>79</v>
      </c>
      <c r="AD19" s="15" t="b">
        <v>1</v>
      </c>
      <c r="AE19" s="10" t="b">
        <v>0</v>
      </c>
      <c r="AF19" s="14" t="s">
        <v>351</v>
      </c>
      <c r="AG19" s="9" t="s">
        <v>352</v>
      </c>
      <c r="AH19" s="9" t="s">
        <v>79</v>
      </c>
      <c r="AI19" s="15" t="b">
        <v>1</v>
      </c>
      <c r="AJ19" s="10" t="b">
        <v>0</v>
      </c>
      <c r="AK19" s="14" t="s">
        <v>349</v>
      </c>
      <c r="AL19" s="9" t="s">
        <v>350</v>
      </c>
      <c r="AM19" s="9" t="s">
        <v>79</v>
      </c>
      <c r="AN19" s="9" t="b">
        <v>1</v>
      </c>
      <c r="AO19" s="9" t="b">
        <v>0</v>
      </c>
      <c r="AP19" s="14" t="s">
        <v>353</v>
      </c>
      <c r="AQ19" s="6" t="s">
        <v>65</v>
      </c>
      <c r="AR19" s="6" t="s">
        <v>65</v>
      </c>
      <c r="AS19" s="6"/>
      <c r="AT19" s="6"/>
      <c r="AU19" s="6"/>
      <c r="AV19" s="6"/>
      <c r="AW19" s="6"/>
      <c r="AX19" s="6"/>
      <c r="AY19" s="6"/>
      <c r="AZ19" s="6"/>
      <c r="BA19" s="6"/>
    </row>
    <row r="20" ht="22.5" customHeight="1">
      <c r="A20" s="7" t="s">
        <v>354</v>
      </c>
      <c r="B20" s="8" t="s">
        <v>355</v>
      </c>
      <c r="C20" s="8" t="s">
        <v>356</v>
      </c>
      <c r="D20" s="9" t="s">
        <v>357</v>
      </c>
      <c r="E20" s="9" t="s">
        <v>358</v>
      </c>
      <c r="F20" s="9" t="s">
        <v>359</v>
      </c>
      <c r="G20" s="6" t="s">
        <v>360</v>
      </c>
      <c r="H20" s="23" t="b">
        <v>1</v>
      </c>
      <c r="I20" s="8" t="s">
        <v>361</v>
      </c>
      <c r="J20" s="8" t="s">
        <v>362</v>
      </c>
      <c r="K20" s="8" t="s">
        <v>363</v>
      </c>
      <c r="L20" s="8" t="s">
        <v>362</v>
      </c>
      <c r="M20" s="8" t="s">
        <v>364</v>
      </c>
      <c r="N20" s="8" t="s">
        <v>268</v>
      </c>
      <c r="O20" s="8" t="s">
        <v>170</v>
      </c>
      <c r="P20" s="8"/>
      <c r="Q20" s="9" t="s">
        <v>80</v>
      </c>
      <c r="R20" s="8" t="s">
        <v>133</v>
      </c>
      <c r="S20" s="15" t="b">
        <v>0</v>
      </c>
      <c r="T20" s="15" t="b">
        <v>1</v>
      </c>
      <c r="U20" s="15" t="b">
        <v>0</v>
      </c>
      <c r="V20" s="28" t="s">
        <v>365</v>
      </c>
      <c r="W20" s="8" t="s">
        <v>65</v>
      </c>
      <c r="X20" s="8" t="s">
        <v>65</v>
      </c>
      <c r="Y20" s="10" t="b">
        <v>1</v>
      </c>
      <c r="Z20" s="15" t="b">
        <v>0</v>
      </c>
      <c r="AA20" s="28" t="s">
        <v>366</v>
      </c>
      <c r="AB20" s="9" t="s">
        <v>367</v>
      </c>
      <c r="AC20" s="9" t="s">
        <v>79</v>
      </c>
      <c r="AD20" s="10" t="b">
        <v>1</v>
      </c>
      <c r="AE20" s="9" t="b">
        <v>0</v>
      </c>
      <c r="AF20" s="28" t="s">
        <v>368</v>
      </c>
      <c r="AG20" s="8" t="s">
        <v>65</v>
      </c>
      <c r="AH20" s="8" t="s">
        <v>65</v>
      </c>
      <c r="AI20" s="10" t="b">
        <v>1</v>
      </c>
      <c r="AJ20" s="15" t="b">
        <v>0</v>
      </c>
      <c r="AK20" s="28" t="s">
        <v>366</v>
      </c>
      <c r="AL20" s="9" t="s">
        <v>367</v>
      </c>
      <c r="AM20" s="9" t="s">
        <v>79</v>
      </c>
      <c r="AN20" s="9" t="b">
        <v>1</v>
      </c>
      <c r="AO20" s="9" t="b">
        <v>0</v>
      </c>
      <c r="AP20" s="14" t="s">
        <v>369</v>
      </c>
      <c r="AQ20" s="6" t="s">
        <v>65</v>
      </c>
      <c r="AR20" s="6" t="s">
        <v>65</v>
      </c>
      <c r="AS20" s="6"/>
      <c r="AT20" s="6"/>
      <c r="AU20" s="6"/>
      <c r="AV20" s="6"/>
      <c r="AW20" s="6"/>
      <c r="AX20" s="6"/>
      <c r="AY20" s="6"/>
      <c r="AZ20" s="6"/>
      <c r="BA20" s="6"/>
    </row>
    <row r="21" ht="22.5" customHeight="1">
      <c r="A21" s="7" t="s">
        <v>370</v>
      </c>
      <c r="B21" s="8" t="s">
        <v>371</v>
      </c>
      <c r="C21" s="8" t="s">
        <v>372</v>
      </c>
      <c r="D21" s="9" t="s">
        <v>373</v>
      </c>
      <c r="E21" s="9" t="s">
        <v>374</v>
      </c>
      <c r="F21" s="9" t="s">
        <v>375</v>
      </c>
      <c r="G21" s="6" t="s">
        <v>376</v>
      </c>
      <c r="H21" s="21" t="b">
        <v>0</v>
      </c>
      <c r="I21" s="8" t="s">
        <v>377</v>
      </c>
      <c r="J21" s="8" t="s">
        <v>378</v>
      </c>
      <c r="K21" s="8" t="s">
        <v>379</v>
      </c>
      <c r="L21" s="8" t="s">
        <v>377</v>
      </c>
      <c r="M21" s="8" t="s">
        <v>380</v>
      </c>
      <c r="N21" s="8" t="s">
        <v>186</v>
      </c>
      <c r="O21" s="8" t="s">
        <v>58</v>
      </c>
      <c r="P21" s="8"/>
      <c r="Q21" s="9" t="s">
        <v>80</v>
      </c>
      <c r="R21" s="8" t="s">
        <v>133</v>
      </c>
      <c r="S21" s="15" t="b">
        <v>0</v>
      </c>
      <c r="T21" s="10" t="b">
        <v>1</v>
      </c>
      <c r="U21" s="10" t="b">
        <v>0</v>
      </c>
      <c r="V21" s="11" t="s">
        <v>381</v>
      </c>
      <c r="W21" s="6" t="s">
        <v>65</v>
      </c>
      <c r="X21" s="6" t="s">
        <v>65</v>
      </c>
      <c r="Y21" s="10" t="b">
        <v>1</v>
      </c>
      <c r="Z21" s="10" t="b">
        <v>0</v>
      </c>
      <c r="AA21" s="11" t="s">
        <v>382</v>
      </c>
      <c r="AB21" s="6" t="s">
        <v>65</v>
      </c>
      <c r="AC21" s="6" t="s">
        <v>65</v>
      </c>
      <c r="AD21" s="10" t="b">
        <v>1</v>
      </c>
      <c r="AE21" s="10" t="b">
        <v>0</v>
      </c>
      <c r="AF21" s="11" t="s">
        <v>383</v>
      </c>
      <c r="AG21" s="6" t="s">
        <v>65</v>
      </c>
      <c r="AH21" s="6" t="s">
        <v>65</v>
      </c>
      <c r="AI21" s="10" t="b">
        <v>1</v>
      </c>
      <c r="AJ21" s="10" t="b">
        <v>0</v>
      </c>
      <c r="AK21" s="11" t="s">
        <v>384</v>
      </c>
      <c r="AL21" s="6" t="s">
        <v>65</v>
      </c>
      <c r="AM21" s="30" t="s">
        <v>65</v>
      </c>
      <c r="AN21" s="9" t="b">
        <v>1</v>
      </c>
      <c r="AO21" s="9" t="b">
        <v>1</v>
      </c>
      <c r="AP21" s="14" t="s">
        <v>385</v>
      </c>
      <c r="AQ21" s="9" t="s">
        <v>103</v>
      </c>
      <c r="AR21" s="9" t="s">
        <v>86</v>
      </c>
      <c r="AS21" s="6"/>
      <c r="AT21" s="6"/>
      <c r="AU21" s="6"/>
      <c r="AV21" s="6"/>
      <c r="AW21" s="6"/>
      <c r="AX21" s="6"/>
      <c r="AY21" s="6"/>
      <c r="AZ21" s="6"/>
      <c r="BA21" s="6"/>
    </row>
    <row r="22" ht="22.5" customHeight="1">
      <c r="A22" s="7" t="s">
        <v>386</v>
      </c>
      <c r="B22" s="8" t="s">
        <v>387</v>
      </c>
      <c r="C22" s="8" t="s">
        <v>388</v>
      </c>
      <c r="D22" s="9" t="s">
        <v>389</v>
      </c>
      <c r="E22" s="9" t="s">
        <v>390</v>
      </c>
      <c r="F22" s="9" t="s">
        <v>391</v>
      </c>
      <c r="G22" s="6" t="s">
        <v>392</v>
      </c>
      <c r="H22" s="23" t="b">
        <v>1</v>
      </c>
      <c r="I22" s="25" t="s">
        <v>393</v>
      </c>
      <c r="J22" s="25" t="s">
        <v>394</v>
      </c>
      <c r="K22" s="8" t="s">
        <v>395</v>
      </c>
      <c r="L22" s="8" t="s">
        <v>394</v>
      </c>
      <c r="M22" s="8" t="s">
        <v>396</v>
      </c>
      <c r="N22" s="8" t="s">
        <v>268</v>
      </c>
      <c r="O22" s="8" t="s">
        <v>170</v>
      </c>
      <c r="P22" s="8"/>
      <c r="Q22" s="9" t="s">
        <v>59</v>
      </c>
      <c r="R22" s="8" t="s">
        <v>59</v>
      </c>
      <c r="S22" s="15" t="b">
        <v>0</v>
      </c>
      <c r="T22" s="10" t="b">
        <v>0</v>
      </c>
      <c r="U22" s="15" t="b">
        <v>0</v>
      </c>
      <c r="V22" s="8" t="s">
        <v>63</v>
      </c>
      <c r="W22" s="9" t="s">
        <v>104</v>
      </c>
      <c r="X22" s="8" t="s">
        <v>63</v>
      </c>
      <c r="Y22" s="12" t="b">
        <v>0</v>
      </c>
      <c r="Z22" s="10" t="s">
        <v>63</v>
      </c>
      <c r="AA22" s="13" t="s">
        <v>63</v>
      </c>
      <c r="AB22" s="10" t="s">
        <v>63</v>
      </c>
      <c r="AC22" s="10" t="s">
        <v>63</v>
      </c>
      <c r="AD22" s="12" t="b">
        <v>0</v>
      </c>
      <c r="AE22" s="10" t="s">
        <v>63</v>
      </c>
      <c r="AF22" s="13" t="s">
        <v>63</v>
      </c>
      <c r="AG22" s="10" t="s">
        <v>63</v>
      </c>
      <c r="AH22" s="10" t="s">
        <v>63</v>
      </c>
      <c r="AI22" s="12" t="b">
        <v>0</v>
      </c>
      <c r="AJ22" s="10" t="s">
        <v>63</v>
      </c>
      <c r="AK22" s="13" t="s">
        <v>63</v>
      </c>
      <c r="AL22" s="10" t="s">
        <v>63</v>
      </c>
      <c r="AM22" s="10" t="s">
        <v>63</v>
      </c>
      <c r="AN22" s="9" t="b">
        <v>1</v>
      </c>
      <c r="AO22" s="9" t="b">
        <v>0</v>
      </c>
      <c r="AP22" s="14" t="s">
        <v>397</v>
      </c>
      <c r="AQ22" s="9" t="s">
        <v>65</v>
      </c>
      <c r="AR22" s="9" t="s">
        <v>65</v>
      </c>
      <c r="AS22" s="6"/>
      <c r="AT22" s="6"/>
      <c r="AU22" s="6"/>
      <c r="AV22" s="6"/>
      <c r="AW22" s="6"/>
      <c r="AX22" s="6"/>
      <c r="AY22" s="6"/>
      <c r="AZ22" s="6"/>
      <c r="BA22" s="6"/>
    </row>
    <row r="23" ht="22.5" customHeight="1">
      <c r="A23" s="7" t="s">
        <v>398</v>
      </c>
      <c r="B23" s="8" t="s">
        <v>399</v>
      </c>
      <c r="C23" s="8" t="s">
        <v>400</v>
      </c>
      <c r="D23" s="9" t="s">
        <v>401</v>
      </c>
      <c r="E23" s="9" t="s">
        <v>402</v>
      </c>
      <c r="F23" s="9" t="s">
        <v>403</v>
      </c>
      <c r="G23" s="6" t="s">
        <v>404</v>
      </c>
      <c r="H23" s="25" t="b">
        <v>1</v>
      </c>
      <c r="I23" s="25" t="s">
        <v>405</v>
      </c>
      <c r="J23" s="25" t="s">
        <v>406</v>
      </c>
      <c r="K23" s="28" t="s">
        <v>407</v>
      </c>
      <c r="L23" s="8" t="s">
        <v>405</v>
      </c>
      <c r="M23" s="8" t="s">
        <v>408</v>
      </c>
      <c r="N23" s="8" t="s">
        <v>186</v>
      </c>
      <c r="O23" s="8" t="s">
        <v>58</v>
      </c>
      <c r="P23" s="8"/>
      <c r="Q23" s="9" t="s">
        <v>80</v>
      </c>
      <c r="R23" s="8" t="s">
        <v>118</v>
      </c>
      <c r="S23" s="15" t="b">
        <v>0</v>
      </c>
      <c r="T23" s="15" t="b">
        <v>1</v>
      </c>
      <c r="U23" s="15" t="b">
        <v>0</v>
      </c>
      <c r="V23" s="28" t="s">
        <v>409</v>
      </c>
      <c r="W23" s="8" t="s">
        <v>65</v>
      </c>
      <c r="X23" s="8" t="s">
        <v>65</v>
      </c>
      <c r="Y23" s="10" t="b">
        <v>0</v>
      </c>
      <c r="Z23" s="15" t="s">
        <v>63</v>
      </c>
      <c r="AA23" s="8" t="s">
        <v>63</v>
      </c>
      <c r="AB23" s="10" t="s">
        <v>63</v>
      </c>
      <c r="AC23" s="10" t="s">
        <v>63</v>
      </c>
      <c r="AD23" s="10" t="b">
        <v>0</v>
      </c>
      <c r="AE23" s="15" t="s">
        <v>63</v>
      </c>
      <c r="AF23" s="8" t="s">
        <v>63</v>
      </c>
      <c r="AG23" s="8" t="s">
        <v>63</v>
      </c>
      <c r="AH23" s="8" t="s">
        <v>63</v>
      </c>
      <c r="AI23" s="10" t="b">
        <v>0</v>
      </c>
      <c r="AJ23" s="10" t="s">
        <v>63</v>
      </c>
      <c r="AK23" s="8" t="s">
        <v>63</v>
      </c>
      <c r="AL23" s="8" t="s">
        <v>63</v>
      </c>
      <c r="AM23" s="8" t="s">
        <v>63</v>
      </c>
      <c r="AN23" s="9" t="b">
        <v>0</v>
      </c>
      <c r="AO23" s="12" t="s">
        <v>63</v>
      </c>
      <c r="AP23" s="12" t="s">
        <v>63</v>
      </c>
      <c r="AQ23" s="12" t="s">
        <v>63</v>
      </c>
      <c r="AR23" s="12" t="s">
        <v>63</v>
      </c>
      <c r="AS23" s="6"/>
      <c r="AT23" s="6"/>
      <c r="AU23" s="6"/>
      <c r="AV23" s="6"/>
      <c r="AW23" s="6"/>
      <c r="AX23" s="6"/>
      <c r="AY23" s="6"/>
      <c r="AZ23" s="6"/>
      <c r="BA23" s="6"/>
    </row>
    <row r="24" ht="22.5" customHeight="1">
      <c r="A24" s="7" t="s">
        <v>410</v>
      </c>
      <c r="B24" s="8" t="s">
        <v>411</v>
      </c>
      <c r="C24" s="8" t="s">
        <v>412</v>
      </c>
      <c r="D24" s="9" t="s">
        <v>413</v>
      </c>
      <c r="E24" s="9" t="s">
        <v>414</v>
      </c>
      <c r="F24" s="9" t="s">
        <v>415</v>
      </c>
      <c r="G24" s="6" t="s">
        <v>416</v>
      </c>
      <c r="H24" s="23" t="b">
        <v>1</v>
      </c>
      <c r="I24" s="28" t="s">
        <v>417</v>
      </c>
      <c r="J24" s="8" t="s">
        <v>418</v>
      </c>
      <c r="K24" s="8" t="s">
        <v>419</v>
      </c>
      <c r="L24" s="8" t="s">
        <v>420</v>
      </c>
      <c r="M24" s="9" t="s">
        <v>421</v>
      </c>
      <c r="N24" s="8" t="s">
        <v>169</v>
      </c>
      <c r="O24" s="8" t="s">
        <v>266</v>
      </c>
      <c r="P24" s="8"/>
      <c r="Q24" s="9" t="s">
        <v>59</v>
      </c>
      <c r="R24" s="8" t="s">
        <v>59</v>
      </c>
      <c r="S24" s="15" t="b">
        <v>1</v>
      </c>
      <c r="T24" s="10" t="b">
        <v>1</v>
      </c>
      <c r="U24" s="12" t="b">
        <v>0</v>
      </c>
      <c r="V24" s="14" t="s">
        <v>422</v>
      </c>
      <c r="W24" s="9" t="s">
        <v>423</v>
      </c>
      <c r="X24" s="9" t="s">
        <v>62</v>
      </c>
      <c r="Y24" s="12" t="b">
        <v>0</v>
      </c>
      <c r="Z24" s="10" t="s">
        <v>63</v>
      </c>
      <c r="AA24" s="13" t="s">
        <v>63</v>
      </c>
      <c r="AB24" s="10" t="s">
        <v>63</v>
      </c>
      <c r="AC24" s="10" t="s">
        <v>63</v>
      </c>
      <c r="AD24" s="12" t="b">
        <v>0</v>
      </c>
      <c r="AE24" s="10" t="s">
        <v>63</v>
      </c>
      <c r="AF24" s="13" t="s">
        <v>63</v>
      </c>
      <c r="AG24" s="10" t="s">
        <v>63</v>
      </c>
      <c r="AH24" s="10" t="s">
        <v>63</v>
      </c>
      <c r="AI24" s="12" t="b">
        <v>0</v>
      </c>
      <c r="AJ24" s="10" t="s">
        <v>63</v>
      </c>
      <c r="AK24" s="13" t="s">
        <v>63</v>
      </c>
      <c r="AL24" s="10" t="s">
        <v>63</v>
      </c>
      <c r="AM24" s="10" t="s">
        <v>63</v>
      </c>
      <c r="AN24" s="9" t="b">
        <v>1</v>
      </c>
      <c r="AO24" s="9" t="b">
        <v>1</v>
      </c>
      <c r="AP24" s="14" t="s">
        <v>424</v>
      </c>
      <c r="AQ24" s="9" t="s">
        <v>268</v>
      </c>
      <c r="AR24" s="9" t="s">
        <v>170</v>
      </c>
      <c r="AS24" s="6"/>
      <c r="AT24" s="6"/>
      <c r="AU24" s="6"/>
      <c r="AV24" s="6"/>
      <c r="AW24" s="6"/>
      <c r="AX24" s="6"/>
      <c r="AY24" s="6"/>
      <c r="AZ24" s="6"/>
      <c r="BA24" s="6"/>
    </row>
    <row r="25" ht="22.5" customHeight="1">
      <c r="A25" s="7" t="s">
        <v>425</v>
      </c>
      <c r="B25" s="8" t="s">
        <v>426</v>
      </c>
      <c r="C25" s="8" t="s">
        <v>427</v>
      </c>
      <c r="D25" s="9" t="s">
        <v>428</v>
      </c>
      <c r="E25" s="9" t="s">
        <v>429</v>
      </c>
      <c r="F25" s="9" t="s">
        <v>430</v>
      </c>
      <c r="G25" s="6" t="s">
        <v>431</v>
      </c>
      <c r="H25" s="23" t="b">
        <v>1</v>
      </c>
      <c r="I25" s="8" t="s">
        <v>432</v>
      </c>
      <c r="J25" s="8" t="s">
        <v>433</v>
      </c>
      <c r="K25" s="8" t="s">
        <v>434</v>
      </c>
      <c r="L25" s="8" t="s">
        <v>435</v>
      </c>
      <c r="M25" s="8" t="s">
        <v>436</v>
      </c>
      <c r="N25" s="9" t="s">
        <v>437</v>
      </c>
      <c r="O25" s="9" t="s">
        <v>79</v>
      </c>
      <c r="P25" s="8"/>
      <c r="Q25" s="9" t="s">
        <v>80</v>
      </c>
      <c r="R25" s="8" t="s">
        <v>133</v>
      </c>
      <c r="S25" s="15" t="b">
        <v>0</v>
      </c>
      <c r="T25" s="10" t="b">
        <v>0</v>
      </c>
      <c r="U25" s="12" t="b">
        <v>0</v>
      </c>
      <c r="V25" s="8" t="s">
        <v>63</v>
      </c>
      <c r="W25" s="9" t="s">
        <v>104</v>
      </c>
      <c r="X25" s="8" t="s">
        <v>63</v>
      </c>
      <c r="Y25" s="10" t="b">
        <v>1</v>
      </c>
      <c r="Z25" s="12" t="b">
        <v>0</v>
      </c>
      <c r="AA25" s="28" t="s">
        <v>438</v>
      </c>
      <c r="AB25" s="8" t="s">
        <v>65</v>
      </c>
      <c r="AC25" s="8" t="s">
        <v>65</v>
      </c>
      <c r="AD25" s="10" t="b">
        <v>1</v>
      </c>
      <c r="AE25" s="12" t="b">
        <v>0</v>
      </c>
      <c r="AF25" s="28" t="s">
        <v>439</v>
      </c>
      <c r="AG25" s="8" t="s">
        <v>65</v>
      </c>
      <c r="AH25" s="8" t="s">
        <v>65</v>
      </c>
      <c r="AI25" s="10" t="b">
        <v>1</v>
      </c>
      <c r="AJ25" s="12" t="b">
        <v>0</v>
      </c>
      <c r="AK25" s="28" t="s">
        <v>440</v>
      </c>
      <c r="AL25" s="8" t="s">
        <v>65</v>
      </c>
      <c r="AM25" s="24" t="s">
        <v>65</v>
      </c>
      <c r="AN25" s="9" t="b">
        <v>1</v>
      </c>
      <c r="AO25" s="9" t="b">
        <v>0</v>
      </c>
      <c r="AP25" s="14" t="s">
        <v>441</v>
      </c>
      <c r="AQ25" s="9" t="s">
        <v>65</v>
      </c>
      <c r="AR25" s="9" t="s">
        <v>65</v>
      </c>
      <c r="AS25" s="6"/>
      <c r="AT25" s="6"/>
      <c r="AU25" s="6"/>
      <c r="AV25" s="6"/>
      <c r="AW25" s="6"/>
      <c r="AX25" s="6"/>
      <c r="AY25" s="6"/>
      <c r="AZ25" s="6"/>
      <c r="BA25" s="6"/>
    </row>
    <row r="26" ht="22.5" customHeight="1">
      <c r="A26" s="7" t="s">
        <v>442</v>
      </c>
      <c r="B26" s="8" t="s">
        <v>443</v>
      </c>
      <c r="C26" s="8" t="s">
        <v>444</v>
      </c>
      <c r="D26" s="9" t="s">
        <v>445</v>
      </c>
      <c r="E26" s="9" t="s">
        <v>446</v>
      </c>
      <c r="F26" s="9" t="s">
        <v>447</v>
      </c>
      <c r="G26" s="6" t="s">
        <v>448</v>
      </c>
      <c r="H26" s="15" t="b">
        <v>1</v>
      </c>
      <c r="I26" s="8" t="s">
        <v>449</v>
      </c>
      <c r="J26" s="8" t="s">
        <v>450</v>
      </c>
      <c r="K26" s="8" t="s">
        <v>451</v>
      </c>
      <c r="L26" s="8" t="s">
        <v>449</v>
      </c>
      <c r="M26" s="8" t="s">
        <v>452</v>
      </c>
      <c r="N26" s="8" t="s">
        <v>186</v>
      </c>
      <c r="O26" s="8" t="s">
        <v>58</v>
      </c>
      <c r="P26" s="8"/>
      <c r="Q26" s="9" t="s">
        <v>59</v>
      </c>
      <c r="R26" s="8" t="s">
        <v>59</v>
      </c>
      <c r="S26" s="15" t="b">
        <v>0</v>
      </c>
      <c r="T26" s="10" t="b">
        <v>1</v>
      </c>
      <c r="U26" s="15" t="b">
        <v>1</v>
      </c>
      <c r="V26" s="11" t="s">
        <v>453</v>
      </c>
      <c r="W26" s="9" t="s">
        <v>454</v>
      </c>
      <c r="X26" s="9" t="s">
        <v>62</v>
      </c>
      <c r="Y26" s="12" t="b">
        <v>0</v>
      </c>
      <c r="Z26" s="10" t="s">
        <v>63</v>
      </c>
      <c r="AA26" s="13" t="s">
        <v>63</v>
      </c>
      <c r="AB26" s="10" t="s">
        <v>63</v>
      </c>
      <c r="AC26" s="10" t="s">
        <v>63</v>
      </c>
      <c r="AD26" s="12" t="b">
        <v>0</v>
      </c>
      <c r="AE26" s="10" t="s">
        <v>63</v>
      </c>
      <c r="AF26" s="13" t="s">
        <v>63</v>
      </c>
      <c r="AG26" s="10" t="s">
        <v>63</v>
      </c>
      <c r="AH26" s="10" t="s">
        <v>63</v>
      </c>
      <c r="AI26" s="12" t="b">
        <v>0</v>
      </c>
      <c r="AJ26" s="10" t="s">
        <v>63</v>
      </c>
      <c r="AK26" s="13" t="s">
        <v>63</v>
      </c>
      <c r="AL26" s="10" t="s">
        <v>63</v>
      </c>
      <c r="AM26" s="10" t="s">
        <v>63</v>
      </c>
      <c r="AN26" s="9" t="b">
        <v>1</v>
      </c>
      <c r="AO26" s="9" t="b">
        <v>0</v>
      </c>
      <c r="AP26" s="14" t="s">
        <v>455</v>
      </c>
      <c r="AQ26" s="9" t="s">
        <v>65</v>
      </c>
      <c r="AR26" s="9" t="s">
        <v>65</v>
      </c>
      <c r="AS26" s="6"/>
      <c r="AT26" s="6"/>
      <c r="AU26" s="6"/>
      <c r="AV26" s="6"/>
      <c r="AW26" s="6"/>
      <c r="AX26" s="6"/>
      <c r="AY26" s="6"/>
      <c r="AZ26" s="6"/>
      <c r="BA26" s="6"/>
    </row>
    <row r="27" ht="22.5" customHeight="1">
      <c r="A27" s="7" t="s">
        <v>456</v>
      </c>
      <c r="B27" s="8" t="s">
        <v>457</v>
      </c>
      <c r="C27" s="8" t="s">
        <v>458</v>
      </c>
      <c r="D27" s="9" t="s">
        <v>459</v>
      </c>
      <c r="E27" s="9" t="s">
        <v>460</v>
      </c>
      <c r="F27" s="9" t="s">
        <v>461</v>
      </c>
      <c r="G27" s="6" t="s">
        <v>462</v>
      </c>
      <c r="H27" s="15" t="b">
        <v>1</v>
      </c>
      <c r="I27" s="8" t="s">
        <v>463</v>
      </c>
      <c r="J27" s="8" t="s">
        <v>464</v>
      </c>
      <c r="K27" s="8" t="s">
        <v>465</v>
      </c>
      <c r="L27" s="8" t="s">
        <v>463</v>
      </c>
      <c r="M27" s="8" t="s">
        <v>466</v>
      </c>
      <c r="N27" s="8" t="s">
        <v>186</v>
      </c>
      <c r="O27" s="8" t="s">
        <v>58</v>
      </c>
      <c r="P27" s="8"/>
      <c r="Q27" s="9" t="s">
        <v>80</v>
      </c>
      <c r="R27" s="9" t="s">
        <v>312</v>
      </c>
      <c r="S27" s="15" t="b">
        <v>0</v>
      </c>
      <c r="T27" s="15" t="b">
        <v>1</v>
      </c>
      <c r="U27" s="12" t="b">
        <v>0</v>
      </c>
      <c r="V27" s="28" t="s">
        <v>467</v>
      </c>
      <c r="W27" s="9" t="s">
        <v>468</v>
      </c>
      <c r="X27" s="9" t="s">
        <v>469</v>
      </c>
      <c r="Y27" s="10" t="b">
        <v>1</v>
      </c>
      <c r="Z27" s="12" t="b">
        <v>0</v>
      </c>
      <c r="AA27" s="28" t="s">
        <v>470</v>
      </c>
      <c r="AB27" s="9" t="s">
        <v>471</v>
      </c>
      <c r="AC27" s="9" t="s">
        <v>469</v>
      </c>
      <c r="AD27" s="10" t="b">
        <v>1</v>
      </c>
      <c r="AE27" s="9" t="b">
        <v>0</v>
      </c>
      <c r="AF27" s="28" t="s">
        <v>472</v>
      </c>
      <c r="AG27" s="9" t="s">
        <v>473</v>
      </c>
      <c r="AH27" s="9" t="s">
        <v>469</v>
      </c>
      <c r="AI27" s="10" t="b">
        <v>1</v>
      </c>
      <c r="AJ27" s="12" t="b">
        <v>0</v>
      </c>
      <c r="AK27" s="28" t="s">
        <v>470</v>
      </c>
      <c r="AL27" s="9" t="s">
        <v>471</v>
      </c>
      <c r="AM27" s="9" t="s">
        <v>469</v>
      </c>
      <c r="AN27" s="9" t="b">
        <v>1</v>
      </c>
      <c r="AO27" s="9" t="b">
        <v>0</v>
      </c>
      <c r="AP27" s="14" t="s">
        <v>474</v>
      </c>
      <c r="AQ27" s="9" t="s">
        <v>65</v>
      </c>
      <c r="AR27" s="9" t="s">
        <v>65</v>
      </c>
      <c r="AS27" s="6"/>
      <c r="AT27" s="6"/>
      <c r="AU27" s="6"/>
      <c r="AV27" s="6"/>
      <c r="AW27" s="6"/>
      <c r="AX27" s="6"/>
      <c r="AY27" s="6"/>
      <c r="AZ27" s="6"/>
      <c r="BA27" s="6"/>
    </row>
    <row r="28" ht="22.5" customHeight="1">
      <c r="A28" s="7" t="s">
        <v>475</v>
      </c>
      <c r="B28" s="8" t="s">
        <v>476</v>
      </c>
      <c r="C28" s="8" t="s">
        <v>477</v>
      </c>
      <c r="D28" s="9" t="s">
        <v>478</v>
      </c>
      <c r="E28" s="9" t="s">
        <v>479</v>
      </c>
      <c r="F28" s="9" t="s">
        <v>480</v>
      </c>
      <c r="G28" s="6" t="s">
        <v>180</v>
      </c>
      <c r="H28" s="15" t="b">
        <v>1</v>
      </c>
      <c r="I28" s="8" t="s">
        <v>481</v>
      </c>
      <c r="J28" s="8" t="s">
        <v>482</v>
      </c>
      <c r="K28" s="8" t="s">
        <v>483</v>
      </c>
      <c r="L28" s="8" t="s">
        <v>484</v>
      </c>
      <c r="M28" s="9" t="s">
        <v>485</v>
      </c>
      <c r="N28" s="6" t="s">
        <v>103</v>
      </c>
      <c r="O28" s="6" t="s">
        <v>86</v>
      </c>
      <c r="P28" s="6"/>
      <c r="Q28" s="9" t="s">
        <v>59</v>
      </c>
      <c r="R28" s="8" t="s">
        <v>59</v>
      </c>
      <c r="S28" s="10" t="b">
        <v>0</v>
      </c>
      <c r="T28" s="10" t="b">
        <v>1</v>
      </c>
      <c r="U28" s="10" t="b">
        <v>0</v>
      </c>
      <c r="V28" s="14" t="s">
        <v>486</v>
      </c>
      <c r="W28" s="9" t="s">
        <v>188</v>
      </c>
      <c r="X28" s="9" t="s">
        <v>189</v>
      </c>
      <c r="Y28" s="12" t="b">
        <v>0</v>
      </c>
      <c r="Z28" s="10" t="s">
        <v>63</v>
      </c>
      <c r="AA28" s="13" t="s">
        <v>63</v>
      </c>
      <c r="AB28" s="10" t="s">
        <v>63</v>
      </c>
      <c r="AC28" s="10" t="s">
        <v>63</v>
      </c>
      <c r="AD28" s="12" t="b">
        <v>0</v>
      </c>
      <c r="AE28" s="10" t="s">
        <v>63</v>
      </c>
      <c r="AF28" s="13" t="s">
        <v>63</v>
      </c>
      <c r="AG28" s="10" t="s">
        <v>63</v>
      </c>
      <c r="AH28" s="10" t="s">
        <v>63</v>
      </c>
      <c r="AI28" s="12" t="b">
        <v>0</v>
      </c>
      <c r="AJ28" s="10" t="s">
        <v>63</v>
      </c>
      <c r="AK28" s="13" t="s">
        <v>63</v>
      </c>
      <c r="AL28" s="10" t="s">
        <v>63</v>
      </c>
      <c r="AM28" s="10" t="s">
        <v>63</v>
      </c>
      <c r="AN28" s="9" t="b">
        <v>1</v>
      </c>
      <c r="AO28" s="9" t="b">
        <v>0</v>
      </c>
      <c r="AP28" s="14" t="s">
        <v>487</v>
      </c>
      <c r="AQ28" s="9" t="s">
        <v>65</v>
      </c>
      <c r="AR28" s="9" t="s">
        <v>65</v>
      </c>
      <c r="AS28" s="6"/>
      <c r="AT28" s="6"/>
      <c r="AU28" s="6"/>
      <c r="AV28" s="6"/>
      <c r="AW28" s="6"/>
      <c r="AX28" s="6"/>
      <c r="AY28" s="6"/>
      <c r="AZ28" s="6"/>
      <c r="BA28" s="6"/>
    </row>
    <row r="29" ht="22.5" customHeight="1">
      <c r="A29" s="7" t="s">
        <v>488</v>
      </c>
      <c r="B29" s="8" t="s">
        <v>489</v>
      </c>
      <c r="C29" s="8" t="s">
        <v>490</v>
      </c>
      <c r="D29" s="9" t="s">
        <v>491</v>
      </c>
      <c r="E29" s="9" t="s">
        <v>492</v>
      </c>
      <c r="F29" s="9" t="s">
        <v>493</v>
      </c>
      <c r="G29" s="6" t="s">
        <v>494</v>
      </c>
      <c r="H29" s="15" t="b">
        <v>1</v>
      </c>
      <c r="I29" s="28" t="s">
        <v>495</v>
      </c>
      <c r="J29" s="28" t="s">
        <v>496</v>
      </c>
      <c r="K29" s="28" t="s">
        <v>497</v>
      </c>
      <c r="L29" s="28" t="s">
        <v>498</v>
      </c>
      <c r="M29" s="8" t="s">
        <v>499</v>
      </c>
      <c r="N29" s="8" t="s">
        <v>268</v>
      </c>
      <c r="O29" s="8" t="s">
        <v>170</v>
      </c>
      <c r="P29" s="8"/>
      <c r="Q29" s="9" t="s">
        <v>59</v>
      </c>
      <c r="R29" s="8" t="s">
        <v>59</v>
      </c>
      <c r="S29" s="15" t="b">
        <v>0</v>
      </c>
      <c r="T29" s="10" t="b">
        <v>0</v>
      </c>
      <c r="U29" s="15" t="b">
        <v>0</v>
      </c>
      <c r="V29" s="8" t="s">
        <v>63</v>
      </c>
      <c r="W29" s="8" t="s">
        <v>104</v>
      </c>
      <c r="X29" s="8" t="s">
        <v>63</v>
      </c>
      <c r="Y29" s="12" t="b">
        <v>0</v>
      </c>
      <c r="Z29" s="10" t="s">
        <v>63</v>
      </c>
      <c r="AA29" s="13" t="s">
        <v>63</v>
      </c>
      <c r="AB29" s="10" t="s">
        <v>63</v>
      </c>
      <c r="AC29" s="10" t="s">
        <v>63</v>
      </c>
      <c r="AD29" s="12" t="b">
        <v>0</v>
      </c>
      <c r="AE29" s="10" t="s">
        <v>63</v>
      </c>
      <c r="AF29" s="13" t="s">
        <v>63</v>
      </c>
      <c r="AG29" s="10" t="s">
        <v>63</v>
      </c>
      <c r="AH29" s="10" t="s">
        <v>63</v>
      </c>
      <c r="AI29" s="12" t="b">
        <v>0</v>
      </c>
      <c r="AJ29" s="10" t="s">
        <v>63</v>
      </c>
      <c r="AK29" s="13" t="s">
        <v>63</v>
      </c>
      <c r="AL29" s="10" t="s">
        <v>63</v>
      </c>
      <c r="AM29" s="10" t="s">
        <v>63</v>
      </c>
      <c r="AN29" s="9" t="b">
        <v>1</v>
      </c>
      <c r="AO29" s="9" t="b">
        <v>0</v>
      </c>
      <c r="AP29" s="14" t="s">
        <v>500</v>
      </c>
      <c r="AQ29" s="9" t="s">
        <v>65</v>
      </c>
      <c r="AR29" s="9" t="s">
        <v>65</v>
      </c>
      <c r="AS29" s="6"/>
      <c r="AT29" s="6"/>
      <c r="AU29" s="6"/>
      <c r="AV29" s="6"/>
      <c r="AW29" s="6"/>
      <c r="AX29" s="6"/>
      <c r="AY29" s="6"/>
      <c r="AZ29" s="6"/>
      <c r="BA29" s="6"/>
    </row>
    <row r="30" ht="22.5" customHeight="1">
      <c r="A30" s="7" t="s">
        <v>501</v>
      </c>
      <c r="B30" s="8" t="s">
        <v>502</v>
      </c>
      <c r="C30" s="8" t="s">
        <v>503</v>
      </c>
      <c r="D30" s="9" t="s">
        <v>504</v>
      </c>
      <c r="E30" s="9" t="s">
        <v>505</v>
      </c>
      <c r="F30" s="9" t="s">
        <v>506</v>
      </c>
      <c r="G30" s="6" t="s">
        <v>507</v>
      </c>
      <c r="H30" s="15" t="b">
        <v>1</v>
      </c>
      <c r="I30" s="8" t="s">
        <v>508</v>
      </c>
      <c r="J30" s="8" t="s">
        <v>509</v>
      </c>
      <c r="K30" s="8" t="s">
        <v>510</v>
      </c>
      <c r="L30" s="8" t="s">
        <v>511</v>
      </c>
      <c r="M30" s="9" t="s">
        <v>512</v>
      </c>
      <c r="N30" s="8" t="s">
        <v>103</v>
      </c>
      <c r="O30" s="8" t="s">
        <v>86</v>
      </c>
      <c r="P30" s="8"/>
      <c r="Q30" s="9" t="s">
        <v>80</v>
      </c>
      <c r="R30" s="8" t="s">
        <v>81</v>
      </c>
      <c r="S30" s="15" t="b">
        <v>0</v>
      </c>
      <c r="T30" s="10" t="b">
        <v>1</v>
      </c>
      <c r="U30" s="10" t="b">
        <v>1</v>
      </c>
      <c r="V30" s="11" t="s">
        <v>513</v>
      </c>
      <c r="W30" s="9" t="s">
        <v>514</v>
      </c>
      <c r="X30" s="9" t="s">
        <v>79</v>
      </c>
      <c r="Y30" s="10" t="b">
        <v>0</v>
      </c>
      <c r="Z30" s="15" t="s">
        <v>63</v>
      </c>
      <c r="AA30" s="6" t="s">
        <v>63</v>
      </c>
      <c r="AB30" s="10" t="s">
        <v>63</v>
      </c>
      <c r="AC30" s="10" t="s">
        <v>63</v>
      </c>
      <c r="AD30" s="10" t="b">
        <v>1</v>
      </c>
      <c r="AE30" s="10" t="b">
        <v>1</v>
      </c>
      <c r="AF30" s="14" t="s">
        <v>515</v>
      </c>
      <c r="AG30" s="6" t="s">
        <v>103</v>
      </c>
      <c r="AH30" s="6" t="s">
        <v>86</v>
      </c>
      <c r="AI30" s="10" t="b">
        <v>1</v>
      </c>
      <c r="AJ30" s="10" t="b">
        <v>1</v>
      </c>
      <c r="AK30" s="14" t="s">
        <v>516</v>
      </c>
      <c r="AL30" s="9" t="s">
        <v>517</v>
      </c>
      <c r="AM30" s="9" t="s">
        <v>79</v>
      </c>
      <c r="AN30" s="9" t="b">
        <v>1</v>
      </c>
      <c r="AO30" s="9" t="b">
        <v>0</v>
      </c>
      <c r="AP30" s="14" t="s">
        <v>518</v>
      </c>
      <c r="AQ30" s="9" t="s">
        <v>65</v>
      </c>
      <c r="AR30" s="9" t="s">
        <v>65</v>
      </c>
      <c r="AS30" s="6"/>
      <c r="AT30" s="6"/>
      <c r="AU30" s="6"/>
      <c r="AV30" s="6"/>
      <c r="AW30" s="6"/>
      <c r="AX30" s="6"/>
      <c r="AY30" s="6"/>
      <c r="AZ30" s="6"/>
      <c r="BA30" s="6"/>
    </row>
    <row r="31" ht="22.5" customHeight="1">
      <c r="A31" s="7" t="s">
        <v>519</v>
      </c>
      <c r="B31" s="8" t="s">
        <v>520</v>
      </c>
      <c r="C31" s="8" t="s">
        <v>521</v>
      </c>
      <c r="D31" s="9" t="s">
        <v>522</v>
      </c>
      <c r="E31" s="9" t="s">
        <v>523</v>
      </c>
      <c r="F31" s="9" t="s">
        <v>524</v>
      </c>
      <c r="G31" s="9" t="s">
        <v>525</v>
      </c>
      <c r="H31" s="31" t="b">
        <v>1</v>
      </c>
      <c r="I31" s="32" t="s">
        <v>526</v>
      </c>
      <c r="J31" s="32" t="s">
        <v>527</v>
      </c>
      <c r="K31" s="28" t="s">
        <v>528</v>
      </c>
      <c r="L31" s="8" t="s">
        <v>527</v>
      </c>
      <c r="M31" s="8" t="s">
        <v>529</v>
      </c>
      <c r="N31" s="8" t="s">
        <v>268</v>
      </c>
      <c r="O31" s="8" t="s">
        <v>170</v>
      </c>
      <c r="P31" s="8"/>
      <c r="Q31" s="9" t="s">
        <v>59</v>
      </c>
      <c r="R31" s="8" t="s">
        <v>59</v>
      </c>
      <c r="S31" s="15" t="b">
        <v>0</v>
      </c>
      <c r="T31" s="10" t="b">
        <v>0</v>
      </c>
      <c r="U31" s="12" t="b">
        <v>0</v>
      </c>
      <c r="V31" s="8" t="s">
        <v>63</v>
      </c>
      <c r="W31" s="8" t="s">
        <v>104</v>
      </c>
      <c r="X31" s="8" t="s">
        <v>63</v>
      </c>
      <c r="Y31" s="12" t="b">
        <v>0</v>
      </c>
      <c r="Z31" s="10" t="s">
        <v>63</v>
      </c>
      <c r="AA31" s="13" t="s">
        <v>63</v>
      </c>
      <c r="AB31" s="10" t="s">
        <v>63</v>
      </c>
      <c r="AC31" s="10" t="s">
        <v>63</v>
      </c>
      <c r="AD31" s="12" t="b">
        <v>0</v>
      </c>
      <c r="AE31" s="10" t="s">
        <v>63</v>
      </c>
      <c r="AF31" s="13" t="s">
        <v>63</v>
      </c>
      <c r="AG31" s="10" t="s">
        <v>63</v>
      </c>
      <c r="AH31" s="10" t="s">
        <v>63</v>
      </c>
      <c r="AI31" s="12" t="b">
        <v>0</v>
      </c>
      <c r="AJ31" s="10" t="s">
        <v>63</v>
      </c>
      <c r="AK31" s="13" t="s">
        <v>63</v>
      </c>
      <c r="AL31" s="10" t="s">
        <v>63</v>
      </c>
      <c r="AM31" s="10" t="s">
        <v>63</v>
      </c>
      <c r="AN31" s="9" t="b">
        <v>1</v>
      </c>
      <c r="AO31" s="9" t="b">
        <v>0</v>
      </c>
      <c r="AP31" s="14" t="s">
        <v>530</v>
      </c>
      <c r="AQ31" s="9" t="s">
        <v>65</v>
      </c>
      <c r="AR31" s="9" t="s">
        <v>65</v>
      </c>
      <c r="AS31" s="6"/>
      <c r="AT31" s="6"/>
      <c r="AU31" s="6"/>
      <c r="AV31" s="6"/>
      <c r="AW31" s="6"/>
      <c r="AX31" s="6"/>
      <c r="AY31" s="6"/>
      <c r="AZ31" s="6"/>
      <c r="BA31" s="6"/>
    </row>
    <row r="32" ht="22.5" customHeight="1">
      <c r="A32" s="7" t="s">
        <v>531</v>
      </c>
      <c r="B32" s="8" t="s">
        <v>532</v>
      </c>
      <c r="C32" s="8" t="s">
        <v>533</v>
      </c>
      <c r="D32" s="9" t="s">
        <v>534</v>
      </c>
      <c r="E32" s="9" t="s">
        <v>535</v>
      </c>
      <c r="F32" s="9" t="s">
        <v>536</v>
      </c>
      <c r="G32" s="6" t="s">
        <v>537</v>
      </c>
      <c r="H32" s="15" t="b">
        <v>1</v>
      </c>
      <c r="I32" s="8" t="s">
        <v>538</v>
      </c>
      <c r="J32" s="8" t="s">
        <v>539</v>
      </c>
      <c r="K32" s="8" t="s">
        <v>540</v>
      </c>
      <c r="L32" s="8" t="s">
        <v>538</v>
      </c>
      <c r="M32" s="25" t="s">
        <v>541</v>
      </c>
      <c r="N32" s="25" t="s">
        <v>186</v>
      </c>
      <c r="O32" s="25" t="s">
        <v>58</v>
      </c>
      <c r="P32" s="8"/>
      <c r="Q32" s="9" t="s">
        <v>80</v>
      </c>
      <c r="R32" s="8" t="s">
        <v>133</v>
      </c>
      <c r="S32" s="15" t="b">
        <v>0</v>
      </c>
      <c r="T32" s="10" t="b">
        <v>1</v>
      </c>
      <c r="U32" s="10" t="b">
        <v>0</v>
      </c>
      <c r="V32" s="11" t="s">
        <v>542</v>
      </c>
      <c r="W32" s="6" t="s">
        <v>65</v>
      </c>
      <c r="X32" s="6" t="s">
        <v>65</v>
      </c>
      <c r="Y32" s="10" t="b">
        <v>1</v>
      </c>
      <c r="Z32" s="10" t="b">
        <v>0</v>
      </c>
      <c r="AA32" s="11" t="s">
        <v>543</v>
      </c>
      <c r="AB32" s="6" t="s">
        <v>65</v>
      </c>
      <c r="AC32" s="6" t="s">
        <v>65</v>
      </c>
      <c r="AD32" s="10" t="b">
        <v>1</v>
      </c>
      <c r="AE32" s="10" t="b">
        <v>0</v>
      </c>
      <c r="AF32" s="11" t="s">
        <v>544</v>
      </c>
      <c r="AG32" s="6" t="s">
        <v>65</v>
      </c>
      <c r="AH32" s="6" t="s">
        <v>65</v>
      </c>
      <c r="AI32" s="10" t="b">
        <v>1</v>
      </c>
      <c r="AJ32" s="10" t="b">
        <v>0</v>
      </c>
      <c r="AK32" s="11" t="s">
        <v>545</v>
      </c>
      <c r="AL32" s="6" t="s">
        <v>65</v>
      </c>
      <c r="AM32" s="30" t="s">
        <v>65</v>
      </c>
      <c r="AN32" s="9" t="b">
        <v>1</v>
      </c>
      <c r="AO32" s="9" t="b">
        <v>0</v>
      </c>
      <c r="AP32" s="14" t="s">
        <v>546</v>
      </c>
      <c r="AQ32" s="9" t="s">
        <v>65</v>
      </c>
      <c r="AR32" s="9" t="s">
        <v>65</v>
      </c>
      <c r="AS32" s="6"/>
      <c r="AT32" s="6"/>
      <c r="AU32" s="6"/>
      <c r="AV32" s="6"/>
      <c r="AW32" s="6"/>
      <c r="AX32" s="6"/>
      <c r="AY32" s="6"/>
      <c r="AZ32" s="6"/>
      <c r="BA32" s="6"/>
    </row>
    <row r="33" ht="22.5" customHeight="1">
      <c r="A33" s="7" t="s">
        <v>547</v>
      </c>
      <c r="B33" s="8" t="s">
        <v>548</v>
      </c>
      <c r="C33" s="8" t="s">
        <v>549</v>
      </c>
      <c r="D33" s="9" t="s">
        <v>550</v>
      </c>
      <c r="E33" s="9" t="s">
        <v>551</v>
      </c>
      <c r="F33" s="9" t="s">
        <v>552</v>
      </c>
      <c r="G33" s="6" t="s">
        <v>553</v>
      </c>
      <c r="H33" s="15" t="b">
        <v>1</v>
      </c>
      <c r="I33" s="8" t="s">
        <v>554</v>
      </c>
      <c r="J33" s="8" t="s">
        <v>555</v>
      </c>
      <c r="K33" s="8" t="s">
        <v>556</v>
      </c>
      <c r="L33" s="8" t="s">
        <v>557</v>
      </c>
      <c r="M33" s="33" t="s">
        <v>558</v>
      </c>
      <c r="N33" s="25" t="s">
        <v>103</v>
      </c>
      <c r="O33" s="25" t="s">
        <v>559</v>
      </c>
      <c r="P33" s="8"/>
      <c r="Q33" s="9" t="s">
        <v>59</v>
      </c>
      <c r="R33" s="8" t="s">
        <v>59</v>
      </c>
      <c r="S33" s="15" t="b">
        <v>0</v>
      </c>
      <c r="T33" s="15" t="b">
        <v>0</v>
      </c>
      <c r="U33" s="12" t="s">
        <v>63</v>
      </c>
      <c r="V33" s="8" t="s">
        <v>63</v>
      </c>
      <c r="W33" s="9" t="s">
        <v>63</v>
      </c>
      <c r="X33" s="8" t="s">
        <v>63</v>
      </c>
      <c r="Y33" s="12" t="b">
        <v>0</v>
      </c>
      <c r="Z33" s="10" t="s">
        <v>63</v>
      </c>
      <c r="AA33" s="13" t="s">
        <v>63</v>
      </c>
      <c r="AB33" s="10" t="s">
        <v>63</v>
      </c>
      <c r="AC33" s="10" t="s">
        <v>63</v>
      </c>
      <c r="AD33" s="12" t="b">
        <v>0</v>
      </c>
      <c r="AE33" s="10" t="s">
        <v>63</v>
      </c>
      <c r="AF33" s="13" t="s">
        <v>63</v>
      </c>
      <c r="AG33" s="10" t="s">
        <v>63</v>
      </c>
      <c r="AH33" s="10" t="s">
        <v>63</v>
      </c>
      <c r="AI33" s="12" t="b">
        <v>0</v>
      </c>
      <c r="AJ33" s="10" t="s">
        <v>63</v>
      </c>
      <c r="AK33" s="13" t="s">
        <v>63</v>
      </c>
      <c r="AL33" s="10" t="s">
        <v>63</v>
      </c>
      <c r="AM33" s="10" t="s">
        <v>63</v>
      </c>
      <c r="AN33" s="9" t="b">
        <v>1</v>
      </c>
      <c r="AO33" s="9" t="b">
        <v>0</v>
      </c>
      <c r="AP33" s="14" t="s">
        <v>560</v>
      </c>
      <c r="AQ33" s="9" t="s">
        <v>65</v>
      </c>
      <c r="AR33" s="9" t="s">
        <v>65</v>
      </c>
      <c r="AS33" s="6"/>
      <c r="AT33" s="6"/>
      <c r="AU33" s="6"/>
      <c r="AV33" s="6"/>
      <c r="AW33" s="6"/>
      <c r="AX33" s="6"/>
      <c r="AY33" s="6"/>
      <c r="AZ33" s="6"/>
      <c r="BA33" s="6"/>
    </row>
    <row r="34" ht="22.5" customHeight="1">
      <c r="A34" s="7" t="s">
        <v>561</v>
      </c>
      <c r="B34" s="8" t="s">
        <v>562</v>
      </c>
      <c r="C34" s="8" t="s">
        <v>563</v>
      </c>
      <c r="D34" s="9" t="s">
        <v>564</v>
      </c>
      <c r="E34" s="9" t="s">
        <v>565</v>
      </c>
      <c r="F34" s="9" t="s">
        <v>566</v>
      </c>
      <c r="G34" s="6" t="s">
        <v>567</v>
      </c>
      <c r="H34" s="15" t="b">
        <v>1</v>
      </c>
      <c r="I34" s="8" t="s">
        <v>568</v>
      </c>
      <c r="J34" s="8" t="s">
        <v>569</v>
      </c>
      <c r="K34" s="8" t="s">
        <v>570</v>
      </c>
      <c r="L34" s="8" t="s">
        <v>571</v>
      </c>
      <c r="M34" s="33" t="s">
        <v>572</v>
      </c>
      <c r="N34" s="25" t="s">
        <v>103</v>
      </c>
      <c r="O34" s="25" t="s">
        <v>86</v>
      </c>
      <c r="P34" s="8"/>
      <c r="Q34" s="9" t="s">
        <v>59</v>
      </c>
      <c r="R34" s="8" t="s">
        <v>59</v>
      </c>
      <c r="S34" s="15" t="b">
        <v>0</v>
      </c>
      <c r="T34" s="10" t="b">
        <v>0</v>
      </c>
      <c r="U34" s="10" t="b">
        <v>0</v>
      </c>
      <c r="V34" s="6" t="s">
        <v>63</v>
      </c>
      <c r="W34" s="6" t="s">
        <v>104</v>
      </c>
      <c r="X34" s="6" t="s">
        <v>63</v>
      </c>
      <c r="Y34" s="12" t="b">
        <v>0</v>
      </c>
      <c r="Z34" s="10" t="s">
        <v>63</v>
      </c>
      <c r="AA34" s="13" t="s">
        <v>63</v>
      </c>
      <c r="AB34" s="10" t="s">
        <v>63</v>
      </c>
      <c r="AC34" s="10" t="s">
        <v>63</v>
      </c>
      <c r="AD34" s="12" t="b">
        <v>0</v>
      </c>
      <c r="AE34" s="10" t="s">
        <v>63</v>
      </c>
      <c r="AF34" s="13" t="s">
        <v>63</v>
      </c>
      <c r="AG34" s="10" t="s">
        <v>63</v>
      </c>
      <c r="AH34" s="10" t="s">
        <v>63</v>
      </c>
      <c r="AI34" s="12" t="b">
        <v>0</v>
      </c>
      <c r="AJ34" s="10" t="s">
        <v>63</v>
      </c>
      <c r="AK34" s="13" t="s">
        <v>63</v>
      </c>
      <c r="AL34" s="10" t="s">
        <v>63</v>
      </c>
      <c r="AM34" s="10" t="s">
        <v>63</v>
      </c>
      <c r="AN34" s="9" t="b">
        <v>1</v>
      </c>
      <c r="AO34" s="9" t="b">
        <v>0</v>
      </c>
      <c r="AP34" s="14" t="s">
        <v>573</v>
      </c>
      <c r="AQ34" s="9" t="s">
        <v>65</v>
      </c>
      <c r="AR34" s="9" t="s">
        <v>65</v>
      </c>
      <c r="AS34" s="6"/>
      <c r="AT34" s="6"/>
      <c r="AU34" s="6"/>
      <c r="AV34" s="6"/>
      <c r="AW34" s="6"/>
      <c r="AX34" s="6"/>
      <c r="AY34" s="6"/>
      <c r="AZ34" s="6"/>
      <c r="BA34" s="6"/>
    </row>
    <row r="35" ht="22.5" customHeight="1">
      <c r="A35" s="7" t="s">
        <v>574</v>
      </c>
      <c r="B35" s="8" t="s">
        <v>575</v>
      </c>
      <c r="C35" s="8" t="s">
        <v>576</v>
      </c>
      <c r="D35" s="9" t="s">
        <v>577</v>
      </c>
      <c r="E35" s="9" t="s">
        <v>578</v>
      </c>
      <c r="F35" s="9" t="s">
        <v>579</v>
      </c>
      <c r="G35" s="6" t="s">
        <v>580</v>
      </c>
      <c r="H35" s="15" t="b">
        <v>1</v>
      </c>
      <c r="I35" s="8" t="s">
        <v>581</v>
      </c>
      <c r="J35" s="8" t="s">
        <v>582</v>
      </c>
      <c r="K35" s="8" t="s">
        <v>583</v>
      </c>
      <c r="L35" s="8" t="s">
        <v>584</v>
      </c>
      <c r="M35" s="25" t="s">
        <v>585</v>
      </c>
      <c r="N35" s="25" t="s">
        <v>586</v>
      </c>
      <c r="O35" s="25" t="s">
        <v>79</v>
      </c>
      <c r="P35" s="8"/>
      <c r="Q35" s="9" t="s">
        <v>59</v>
      </c>
      <c r="R35" s="8" t="s">
        <v>59</v>
      </c>
      <c r="S35" s="15" t="b">
        <v>0</v>
      </c>
      <c r="T35" s="10" t="b">
        <v>0</v>
      </c>
      <c r="U35" s="15" t="b">
        <v>0</v>
      </c>
      <c r="V35" s="8" t="s">
        <v>63</v>
      </c>
      <c r="W35" s="8" t="s">
        <v>104</v>
      </c>
      <c r="X35" s="8" t="s">
        <v>63</v>
      </c>
      <c r="Y35" s="12" t="b">
        <v>0</v>
      </c>
      <c r="Z35" s="10" t="s">
        <v>63</v>
      </c>
      <c r="AA35" s="13" t="s">
        <v>63</v>
      </c>
      <c r="AB35" s="10" t="s">
        <v>63</v>
      </c>
      <c r="AC35" s="10" t="s">
        <v>63</v>
      </c>
      <c r="AD35" s="12" t="b">
        <v>0</v>
      </c>
      <c r="AE35" s="10" t="s">
        <v>63</v>
      </c>
      <c r="AF35" s="13" t="s">
        <v>63</v>
      </c>
      <c r="AG35" s="10" t="s">
        <v>63</v>
      </c>
      <c r="AH35" s="10" t="s">
        <v>63</v>
      </c>
      <c r="AI35" s="12" t="b">
        <v>0</v>
      </c>
      <c r="AJ35" s="10" t="s">
        <v>63</v>
      </c>
      <c r="AK35" s="13" t="s">
        <v>63</v>
      </c>
      <c r="AL35" s="10" t="s">
        <v>63</v>
      </c>
      <c r="AM35" s="10" t="s">
        <v>63</v>
      </c>
      <c r="AN35" s="9" t="b">
        <v>1</v>
      </c>
      <c r="AO35" s="9" t="b">
        <v>1</v>
      </c>
      <c r="AP35" s="14" t="s">
        <v>587</v>
      </c>
      <c r="AQ35" s="9" t="s">
        <v>103</v>
      </c>
      <c r="AR35" s="9" t="s">
        <v>86</v>
      </c>
      <c r="AS35" s="6"/>
      <c r="AT35" s="6"/>
      <c r="AU35" s="6"/>
      <c r="AV35" s="6"/>
      <c r="AW35" s="6"/>
      <c r="AX35" s="6"/>
      <c r="AY35" s="6"/>
      <c r="AZ35" s="6"/>
      <c r="BA35" s="6"/>
    </row>
    <row r="36" ht="22.5" customHeight="1">
      <c r="A36" s="7" t="s">
        <v>588</v>
      </c>
      <c r="B36" s="8" t="s">
        <v>589</v>
      </c>
      <c r="C36" s="8" t="s">
        <v>590</v>
      </c>
      <c r="D36" s="9" t="s">
        <v>591</v>
      </c>
      <c r="E36" s="9" t="s">
        <v>592</v>
      </c>
      <c r="F36" s="9" t="s">
        <v>593</v>
      </c>
      <c r="G36" s="6" t="s">
        <v>594</v>
      </c>
      <c r="H36" s="15" t="b">
        <v>1</v>
      </c>
      <c r="I36" s="8" t="s">
        <v>595</v>
      </c>
      <c r="J36" s="8" t="s">
        <v>596</v>
      </c>
      <c r="K36" s="8" t="s">
        <v>597</v>
      </c>
      <c r="L36" s="8" t="s">
        <v>595</v>
      </c>
      <c r="M36" s="33" t="s">
        <v>598</v>
      </c>
      <c r="N36" s="25" t="s">
        <v>186</v>
      </c>
      <c r="O36" s="25" t="s">
        <v>599</v>
      </c>
      <c r="P36" s="8"/>
      <c r="Q36" s="9" t="s">
        <v>80</v>
      </c>
      <c r="R36" s="8" t="s">
        <v>133</v>
      </c>
      <c r="S36" s="15" t="b">
        <v>0</v>
      </c>
      <c r="T36" s="10" t="b">
        <v>0</v>
      </c>
      <c r="U36" s="10" t="b">
        <v>0</v>
      </c>
      <c r="V36" s="6" t="s">
        <v>63</v>
      </c>
      <c r="W36" s="6" t="s">
        <v>104</v>
      </c>
      <c r="X36" s="6" t="s">
        <v>63</v>
      </c>
      <c r="Y36" s="10" t="b">
        <v>1</v>
      </c>
      <c r="Z36" s="10" t="b">
        <v>1</v>
      </c>
      <c r="AA36" s="11" t="s">
        <v>600</v>
      </c>
      <c r="AB36" s="8" t="s">
        <v>601</v>
      </c>
      <c r="AC36" s="8" t="s">
        <v>189</v>
      </c>
      <c r="AD36" s="10" t="b">
        <v>1</v>
      </c>
      <c r="AE36" s="10" t="b">
        <v>0</v>
      </c>
      <c r="AF36" s="11" t="s">
        <v>602</v>
      </c>
      <c r="AG36" s="6" t="s">
        <v>603</v>
      </c>
      <c r="AH36" s="6" t="s">
        <v>469</v>
      </c>
      <c r="AI36" s="10" t="b">
        <v>1</v>
      </c>
      <c r="AJ36" s="10" t="b">
        <v>1</v>
      </c>
      <c r="AK36" s="11" t="s">
        <v>600</v>
      </c>
      <c r="AL36" s="8" t="s">
        <v>601</v>
      </c>
      <c r="AM36" s="8" t="s">
        <v>189</v>
      </c>
      <c r="AN36" s="9" t="b">
        <v>1</v>
      </c>
      <c r="AO36" s="9" t="b">
        <v>0</v>
      </c>
      <c r="AP36" s="14" t="s">
        <v>604</v>
      </c>
      <c r="AQ36" s="9" t="s">
        <v>65</v>
      </c>
      <c r="AR36" s="9" t="s">
        <v>65</v>
      </c>
      <c r="AS36" s="6"/>
      <c r="AT36" s="6"/>
      <c r="AU36" s="6"/>
      <c r="AV36" s="6"/>
      <c r="AW36" s="6"/>
      <c r="AX36" s="6"/>
      <c r="AY36" s="6"/>
      <c r="AZ36" s="6"/>
      <c r="BA36" s="6"/>
    </row>
    <row r="37" ht="22.5" customHeight="1">
      <c r="A37" s="7" t="s">
        <v>605</v>
      </c>
      <c r="B37" s="8" t="s">
        <v>606</v>
      </c>
      <c r="C37" s="8" t="s">
        <v>607</v>
      </c>
      <c r="D37" s="9" t="s">
        <v>608</v>
      </c>
      <c r="E37" s="9" t="s">
        <v>609</v>
      </c>
      <c r="F37" s="9" t="s">
        <v>610</v>
      </c>
      <c r="G37" s="6" t="s">
        <v>611</v>
      </c>
      <c r="H37" s="15" t="b">
        <v>1</v>
      </c>
      <c r="I37" s="8" t="s">
        <v>612</v>
      </c>
      <c r="J37" s="8" t="s">
        <v>613</v>
      </c>
      <c r="K37" s="8" t="s">
        <v>614</v>
      </c>
      <c r="L37" s="8" t="s">
        <v>612</v>
      </c>
      <c r="M37" s="8" t="s">
        <v>615</v>
      </c>
      <c r="N37" s="8" t="s">
        <v>186</v>
      </c>
      <c r="O37" s="8" t="s">
        <v>58</v>
      </c>
      <c r="P37" s="8"/>
      <c r="Q37" s="9" t="s">
        <v>59</v>
      </c>
      <c r="R37" s="8" t="s">
        <v>59</v>
      </c>
      <c r="S37" s="15" t="b">
        <v>0</v>
      </c>
      <c r="T37" s="15" t="b">
        <v>1</v>
      </c>
      <c r="U37" s="12" t="b">
        <v>1</v>
      </c>
      <c r="V37" s="28" t="s">
        <v>616</v>
      </c>
      <c r="W37" s="8" t="s">
        <v>186</v>
      </c>
      <c r="X37" s="8" t="s">
        <v>58</v>
      </c>
      <c r="Y37" s="12" t="b">
        <v>0</v>
      </c>
      <c r="Z37" s="10" t="s">
        <v>63</v>
      </c>
      <c r="AA37" s="13" t="s">
        <v>63</v>
      </c>
      <c r="AB37" s="10" t="s">
        <v>63</v>
      </c>
      <c r="AC37" s="10" t="s">
        <v>63</v>
      </c>
      <c r="AD37" s="12" t="b">
        <v>0</v>
      </c>
      <c r="AE37" s="10" t="s">
        <v>63</v>
      </c>
      <c r="AF37" s="13" t="s">
        <v>63</v>
      </c>
      <c r="AG37" s="10" t="s">
        <v>63</v>
      </c>
      <c r="AH37" s="10" t="s">
        <v>63</v>
      </c>
      <c r="AI37" s="12" t="b">
        <v>0</v>
      </c>
      <c r="AJ37" s="10" t="s">
        <v>63</v>
      </c>
      <c r="AK37" s="13" t="s">
        <v>63</v>
      </c>
      <c r="AL37" s="10" t="s">
        <v>63</v>
      </c>
      <c r="AM37" s="10" t="s">
        <v>63</v>
      </c>
      <c r="AN37" s="9" t="b">
        <v>1</v>
      </c>
      <c r="AO37" s="9" t="b">
        <v>0</v>
      </c>
      <c r="AP37" s="14" t="s">
        <v>617</v>
      </c>
      <c r="AQ37" s="9" t="s">
        <v>65</v>
      </c>
      <c r="AR37" s="9" t="s">
        <v>65</v>
      </c>
      <c r="AS37" s="6"/>
      <c r="AT37" s="6"/>
      <c r="AU37" s="6"/>
      <c r="AV37" s="6"/>
      <c r="AW37" s="6"/>
      <c r="AX37" s="6"/>
      <c r="AY37" s="6"/>
      <c r="AZ37" s="6"/>
      <c r="BA37" s="6"/>
    </row>
    <row r="38" ht="22.5" customHeight="1">
      <c r="A38" s="7" t="s">
        <v>618</v>
      </c>
      <c r="B38" s="8" t="s">
        <v>619</v>
      </c>
      <c r="C38" s="8" t="s">
        <v>620</v>
      </c>
      <c r="D38" s="9" t="s">
        <v>621</v>
      </c>
      <c r="E38" s="9" t="s">
        <v>622</v>
      </c>
      <c r="F38" s="9" t="s">
        <v>623</v>
      </c>
      <c r="G38" s="6" t="s">
        <v>624</v>
      </c>
      <c r="H38" s="15" t="b">
        <v>0</v>
      </c>
      <c r="I38" s="8" t="s">
        <v>625</v>
      </c>
      <c r="J38" s="8" t="s">
        <v>626</v>
      </c>
      <c r="K38" s="8" t="s">
        <v>627</v>
      </c>
      <c r="L38" s="8" t="s">
        <v>625</v>
      </c>
      <c r="M38" s="8" t="s">
        <v>628</v>
      </c>
      <c r="N38" s="8" t="s">
        <v>186</v>
      </c>
      <c r="O38" s="8" t="s">
        <v>58</v>
      </c>
      <c r="P38" s="8"/>
      <c r="Q38" s="9" t="s">
        <v>80</v>
      </c>
      <c r="R38" s="8" t="s">
        <v>81</v>
      </c>
      <c r="S38" s="15" t="b">
        <v>0</v>
      </c>
      <c r="T38" s="10" t="b">
        <v>1</v>
      </c>
      <c r="U38" s="10" t="b">
        <v>1</v>
      </c>
      <c r="V38" s="11" t="s">
        <v>629</v>
      </c>
      <c r="W38" s="6" t="s">
        <v>186</v>
      </c>
      <c r="X38" s="6" t="s">
        <v>58</v>
      </c>
      <c r="Y38" s="10" t="b">
        <v>1</v>
      </c>
      <c r="Z38" s="12" t="b">
        <v>0</v>
      </c>
      <c r="AA38" s="11" t="s">
        <v>630</v>
      </c>
      <c r="AB38" s="9" t="s">
        <v>631</v>
      </c>
      <c r="AC38" s="9" t="s">
        <v>79</v>
      </c>
      <c r="AD38" s="10" t="b">
        <v>1</v>
      </c>
      <c r="AE38" s="10" t="b">
        <v>0</v>
      </c>
      <c r="AF38" s="11" t="s">
        <v>632</v>
      </c>
      <c r="AG38" s="9" t="s">
        <v>633</v>
      </c>
      <c r="AH38" s="9" t="s">
        <v>170</v>
      </c>
      <c r="AI38" s="10" t="b">
        <v>1</v>
      </c>
      <c r="AJ38" s="9" t="b">
        <v>0</v>
      </c>
      <c r="AK38" s="11" t="s">
        <v>630</v>
      </c>
      <c r="AL38" s="9" t="s">
        <v>631</v>
      </c>
      <c r="AM38" s="9" t="s">
        <v>79</v>
      </c>
      <c r="AN38" s="9" t="b">
        <v>1</v>
      </c>
      <c r="AO38" s="9" t="b">
        <v>0</v>
      </c>
      <c r="AP38" s="14" t="s">
        <v>634</v>
      </c>
      <c r="AQ38" s="9" t="s">
        <v>103</v>
      </c>
      <c r="AR38" s="9" t="s">
        <v>86</v>
      </c>
      <c r="AS38" s="6"/>
      <c r="AT38" s="6"/>
      <c r="AU38" s="6"/>
      <c r="AV38" s="6"/>
      <c r="AW38" s="6"/>
      <c r="AX38" s="6"/>
      <c r="AY38" s="6"/>
      <c r="AZ38" s="6"/>
      <c r="BA38" s="6"/>
    </row>
    <row r="39" ht="22.5" customHeight="1">
      <c r="A39" s="7" t="s">
        <v>635</v>
      </c>
      <c r="B39" s="8" t="s">
        <v>636</v>
      </c>
      <c r="C39" s="8" t="s">
        <v>637</v>
      </c>
      <c r="D39" s="9" t="s">
        <v>638</v>
      </c>
      <c r="E39" s="9" t="s">
        <v>639</v>
      </c>
      <c r="F39" s="9" t="s">
        <v>640</v>
      </c>
      <c r="G39" s="6" t="s">
        <v>641</v>
      </c>
      <c r="H39" s="15" t="b">
        <v>1</v>
      </c>
      <c r="I39" s="28" t="s">
        <v>642</v>
      </c>
      <c r="J39" s="28" t="s">
        <v>643</v>
      </c>
      <c r="K39" s="28" t="s">
        <v>644</v>
      </c>
      <c r="L39" s="28" t="s">
        <v>645</v>
      </c>
      <c r="M39" s="9" t="s">
        <v>646</v>
      </c>
      <c r="N39" s="8" t="s">
        <v>103</v>
      </c>
      <c r="O39" s="8" t="s">
        <v>86</v>
      </c>
      <c r="P39" s="8"/>
      <c r="Q39" s="9" t="s">
        <v>59</v>
      </c>
      <c r="R39" s="8" t="s">
        <v>59</v>
      </c>
      <c r="S39" s="15" t="b">
        <v>0</v>
      </c>
      <c r="T39" s="10" t="b">
        <v>0</v>
      </c>
      <c r="U39" s="15" t="b">
        <v>0</v>
      </c>
      <c r="V39" s="8" t="s">
        <v>63</v>
      </c>
      <c r="W39" s="8" t="s">
        <v>104</v>
      </c>
      <c r="X39" s="8" t="s">
        <v>63</v>
      </c>
      <c r="Y39" s="12" t="b">
        <v>0</v>
      </c>
      <c r="Z39" s="10" t="s">
        <v>63</v>
      </c>
      <c r="AA39" s="13" t="s">
        <v>63</v>
      </c>
      <c r="AB39" s="10" t="s">
        <v>63</v>
      </c>
      <c r="AC39" s="10" t="s">
        <v>63</v>
      </c>
      <c r="AD39" s="12" t="b">
        <v>0</v>
      </c>
      <c r="AE39" s="10" t="s">
        <v>63</v>
      </c>
      <c r="AF39" s="13" t="s">
        <v>63</v>
      </c>
      <c r="AG39" s="10" t="s">
        <v>63</v>
      </c>
      <c r="AH39" s="10" t="s">
        <v>63</v>
      </c>
      <c r="AI39" s="12" t="b">
        <v>0</v>
      </c>
      <c r="AJ39" s="10" t="s">
        <v>63</v>
      </c>
      <c r="AK39" s="13" t="s">
        <v>63</v>
      </c>
      <c r="AL39" s="10" t="s">
        <v>63</v>
      </c>
      <c r="AM39" s="10" t="s">
        <v>63</v>
      </c>
      <c r="AN39" s="9" t="b">
        <v>1</v>
      </c>
      <c r="AO39" s="9" t="b">
        <v>0</v>
      </c>
      <c r="AP39" s="14" t="s">
        <v>647</v>
      </c>
      <c r="AQ39" s="9" t="s">
        <v>65</v>
      </c>
      <c r="AR39" s="9" t="s">
        <v>65</v>
      </c>
      <c r="AS39" s="6"/>
      <c r="AT39" s="6"/>
      <c r="AU39" s="6"/>
      <c r="AV39" s="6"/>
      <c r="AW39" s="6"/>
      <c r="AX39" s="6"/>
      <c r="AY39" s="6"/>
      <c r="AZ39" s="6"/>
      <c r="BA39" s="6"/>
    </row>
    <row r="40" ht="22.5" customHeight="1">
      <c r="A40" s="7" t="s">
        <v>648</v>
      </c>
      <c r="B40" s="8" t="s">
        <v>649</v>
      </c>
      <c r="C40" s="8" t="s">
        <v>650</v>
      </c>
      <c r="D40" s="9" t="s">
        <v>651</v>
      </c>
      <c r="E40" s="9" t="s">
        <v>652</v>
      </c>
      <c r="F40" s="9" t="s">
        <v>653</v>
      </c>
      <c r="G40" s="6" t="s">
        <v>654</v>
      </c>
      <c r="H40" s="15" t="b">
        <v>0</v>
      </c>
      <c r="I40" s="8" t="s">
        <v>655</v>
      </c>
      <c r="J40" s="8" t="s">
        <v>656</v>
      </c>
      <c r="K40" s="8" t="s">
        <v>657</v>
      </c>
      <c r="L40" s="8" t="s">
        <v>658</v>
      </c>
      <c r="M40" s="8" t="s">
        <v>659</v>
      </c>
      <c r="N40" s="8" t="s">
        <v>268</v>
      </c>
      <c r="O40" s="8" t="s">
        <v>170</v>
      </c>
      <c r="P40" s="8"/>
      <c r="Q40" s="9" t="s">
        <v>59</v>
      </c>
      <c r="R40" s="8" t="s">
        <v>59</v>
      </c>
      <c r="S40" s="15" t="b">
        <v>0</v>
      </c>
      <c r="T40" s="15" t="b">
        <v>1</v>
      </c>
      <c r="U40" s="15" t="b">
        <v>0</v>
      </c>
      <c r="V40" s="28" t="s">
        <v>660</v>
      </c>
      <c r="W40" s="8" t="s">
        <v>661</v>
      </c>
      <c r="X40" s="8" t="s">
        <v>79</v>
      </c>
      <c r="Y40" s="12" t="b">
        <v>0</v>
      </c>
      <c r="Z40" s="10" t="s">
        <v>63</v>
      </c>
      <c r="AA40" s="13" t="s">
        <v>63</v>
      </c>
      <c r="AB40" s="10" t="s">
        <v>63</v>
      </c>
      <c r="AC40" s="10" t="s">
        <v>63</v>
      </c>
      <c r="AD40" s="12" t="b">
        <v>0</v>
      </c>
      <c r="AE40" s="10" t="s">
        <v>63</v>
      </c>
      <c r="AF40" s="13" t="s">
        <v>63</v>
      </c>
      <c r="AG40" s="10" t="s">
        <v>63</v>
      </c>
      <c r="AH40" s="10" t="s">
        <v>63</v>
      </c>
      <c r="AI40" s="12" t="b">
        <v>0</v>
      </c>
      <c r="AJ40" s="10" t="s">
        <v>63</v>
      </c>
      <c r="AK40" s="13" t="s">
        <v>63</v>
      </c>
      <c r="AL40" s="10" t="s">
        <v>63</v>
      </c>
      <c r="AM40" s="10" t="s">
        <v>63</v>
      </c>
      <c r="AN40" s="9" t="b">
        <v>1</v>
      </c>
      <c r="AO40" s="9" t="b">
        <v>0</v>
      </c>
      <c r="AP40" s="14" t="s">
        <v>662</v>
      </c>
      <c r="AQ40" s="9" t="s">
        <v>65</v>
      </c>
      <c r="AR40" s="9" t="s">
        <v>65</v>
      </c>
      <c r="AS40" s="6"/>
      <c r="AT40" s="6"/>
      <c r="AU40" s="6"/>
      <c r="AV40" s="6"/>
      <c r="AW40" s="6"/>
      <c r="AX40" s="6"/>
      <c r="AY40" s="6"/>
      <c r="AZ40" s="6"/>
      <c r="BA40" s="6"/>
    </row>
    <row r="41" ht="22.5" customHeight="1">
      <c r="A41" s="7" t="s">
        <v>663</v>
      </c>
      <c r="B41" s="8" t="s">
        <v>664</v>
      </c>
      <c r="C41" s="8" t="s">
        <v>665</v>
      </c>
      <c r="D41" s="9" t="s">
        <v>666</v>
      </c>
      <c r="E41" s="9" t="s">
        <v>667</v>
      </c>
      <c r="F41" s="9" t="s">
        <v>668</v>
      </c>
      <c r="G41" s="6" t="s">
        <v>669</v>
      </c>
      <c r="H41" s="15" t="b">
        <v>1</v>
      </c>
      <c r="I41" s="8" t="s">
        <v>670</v>
      </c>
      <c r="J41" s="8" t="s">
        <v>671</v>
      </c>
      <c r="K41" s="8" t="s">
        <v>672</v>
      </c>
      <c r="L41" s="8" t="s">
        <v>671</v>
      </c>
      <c r="M41" s="8" t="s">
        <v>673</v>
      </c>
      <c r="N41" s="8" t="s">
        <v>268</v>
      </c>
      <c r="O41" s="8" t="s">
        <v>170</v>
      </c>
      <c r="P41" s="8"/>
      <c r="Q41" s="9" t="s">
        <v>80</v>
      </c>
      <c r="R41" s="8" t="s">
        <v>133</v>
      </c>
      <c r="S41" s="15" t="b">
        <v>0</v>
      </c>
      <c r="T41" s="15" t="b">
        <v>1</v>
      </c>
      <c r="U41" s="15" t="b">
        <v>0</v>
      </c>
      <c r="V41" s="14" t="s">
        <v>674</v>
      </c>
      <c r="W41" s="9" t="s">
        <v>675</v>
      </c>
      <c r="X41" s="9" t="s">
        <v>62</v>
      </c>
      <c r="Y41" s="10" t="b">
        <v>1</v>
      </c>
      <c r="Z41" s="15" t="b">
        <v>0</v>
      </c>
      <c r="AA41" s="14" t="s">
        <v>676</v>
      </c>
      <c r="AB41" s="9" t="s">
        <v>677</v>
      </c>
      <c r="AC41" s="9" t="s">
        <v>62</v>
      </c>
      <c r="AD41" s="10" t="b">
        <v>1</v>
      </c>
      <c r="AE41" s="15" t="b">
        <v>0</v>
      </c>
      <c r="AF41" s="14" t="s">
        <v>678</v>
      </c>
      <c r="AG41" s="8" t="s">
        <v>186</v>
      </c>
      <c r="AH41" s="8" t="s">
        <v>58</v>
      </c>
      <c r="AI41" s="10" t="b">
        <v>1</v>
      </c>
      <c r="AJ41" s="15" t="b">
        <v>0</v>
      </c>
      <c r="AK41" s="14" t="s">
        <v>676</v>
      </c>
      <c r="AL41" s="9" t="s">
        <v>677</v>
      </c>
      <c r="AM41" s="9" t="s">
        <v>62</v>
      </c>
      <c r="AN41" s="9" t="b">
        <v>1</v>
      </c>
      <c r="AO41" s="9" t="b">
        <v>0</v>
      </c>
      <c r="AP41" s="14" t="s">
        <v>679</v>
      </c>
      <c r="AQ41" s="9" t="s">
        <v>65</v>
      </c>
      <c r="AR41" s="9" t="s">
        <v>65</v>
      </c>
      <c r="AS41" s="6"/>
      <c r="AT41" s="6"/>
      <c r="AU41" s="6"/>
      <c r="AV41" s="6"/>
      <c r="AW41" s="6"/>
      <c r="AX41" s="6"/>
      <c r="AY41" s="6"/>
      <c r="AZ41" s="6"/>
      <c r="BA41" s="6"/>
    </row>
    <row r="42" ht="22.5" customHeight="1">
      <c r="A42" s="7" t="s">
        <v>680</v>
      </c>
      <c r="B42" s="8" t="s">
        <v>681</v>
      </c>
      <c r="C42" s="8" t="s">
        <v>682</v>
      </c>
      <c r="D42" s="9" t="s">
        <v>683</v>
      </c>
      <c r="E42" s="9" t="s">
        <v>684</v>
      </c>
      <c r="F42" s="9" t="s">
        <v>685</v>
      </c>
      <c r="G42" s="6" t="s">
        <v>686</v>
      </c>
      <c r="H42" s="12" t="b">
        <v>0</v>
      </c>
      <c r="I42" s="26" t="s">
        <v>687</v>
      </c>
      <c r="J42" s="26" t="s">
        <v>688</v>
      </c>
      <c r="K42" s="26" t="s">
        <v>689</v>
      </c>
      <c r="L42" s="8" t="s">
        <v>690</v>
      </c>
      <c r="M42" s="9" t="s">
        <v>691</v>
      </c>
      <c r="N42" s="8" t="s">
        <v>57</v>
      </c>
      <c r="O42" s="8" t="s">
        <v>692</v>
      </c>
      <c r="P42" s="8"/>
      <c r="Q42" s="9" t="s">
        <v>80</v>
      </c>
      <c r="R42" s="8" t="s">
        <v>81</v>
      </c>
      <c r="S42" s="15" t="b">
        <v>1</v>
      </c>
      <c r="T42" s="10" t="b">
        <v>1</v>
      </c>
      <c r="U42" s="10" t="b">
        <v>1</v>
      </c>
      <c r="V42" s="11" t="s">
        <v>693</v>
      </c>
      <c r="W42" s="9" t="s">
        <v>694</v>
      </c>
      <c r="X42" s="9" t="s">
        <v>62</v>
      </c>
      <c r="Y42" s="10" t="b">
        <v>1</v>
      </c>
      <c r="Z42" s="10" t="b">
        <v>1</v>
      </c>
      <c r="AA42" s="14" t="s">
        <v>695</v>
      </c>
      <c r="AB42" s="9" t="s">
        <v>696</v>
      </c>
      <c r="AC42" s="9" t="s">
        <v>62</v>
      </c>
      <c r="AD42" s="10" t="b">
        <v>1</v>
      </c>
      <c r="AE42" s="10" t="b">
        <v>1</v>
      </c>
      <c r="AF42" s="11" t="s">
        <v>697</v>
      </c>
      <c r="AG42" s="6" t="s">
        <v>186</v>
      </c>
      <c r="AH42" s="6" t="s">
        <v>58</v>
      </c>
      <c r="AI42" s="10" t="b">
        <v>1</v>
      </c>
      <c r="AJ42" s="10" t="b">
        <v>1</v>
      </c>
      <c r="AK42" s="14" t="s">
        <v>695</v>
      </c>
      <c r="AL42" s="9" t="s">
        <v>696</v>
      </c>
      <c r="AM42" s="9" t="s">
        <v>62</v>
      </c>
      <c r="AN42" s="9" t="b">
        <v>1</v>
      </c>
      <c r="AO42" s="9" t="b">
        <v>0</v>
      </c>
      <c r="AP42" s="14" t="s">
        <v>698</v>
      </c>
      <c r="AQ42" s="9" t="s">
        <v>65</v>
      </c>
      <c r="AR42" s="9" t="s">
        <v>65</v>
      </c>
      <c r="AS42" s="6"/>
      <c r="AT42" s="6"/>
      <c r="AU42" s="6"/>
      <c r="AV42" s="6"/>
      <c r="AW42" s="6"/>
      <c r="AX42" s="6"/>
      <c r="AY42" s="6"/>
      <c r="AZ42" s="6"/>
      <c r="BA42" s="6"/>
    </row>
    <row r="43" ht="22.5" customHeight="1">
      <c r="A43" s="7" t="s">
        <v>699</v>
      </c>
      <c r="B43" s="8" t="s">
        <v>700</v>
      </c>
      <c r="C43" s="8" t="s">
        <v>701</v>
      </c>
      <c r="D43" s="9" t="s">
        <v>702</v>
      </c>
      <c r="E43" s="9" t="s">
        <v>703</v>
      </c>
      <c r="F43" s="9" t="s">
        <v>704</v>
      </c>
      <c r="G43" s="6" t="s">
        <v>705</v>
      </c>
      <c r="H43" s="25" t="b">
        <v>1</v>
      </c>
      <c r="I43" s="25" t="s">
        <v>706</v>
      </c>
      <c r="J43" s="25" t="s">
        <v>707</v>
      </c>
      <c r="K43" s="34" t="s">
        <v>708</v>
      </c>
      <c r="L43" s="8" t="s">
        <v>707</v>
      </c>
      <c r="M43" s="35" t="s">
        <v>117</v>
      </c>
      <c r="N43" s="8" t="s">
        <v>268</v>
      </c>
      <c r="O43" s="8" t="s">
        <v>170</v>
      </c>
      <c r="P43" s="8"/>
      <c r="Q43" s="9" t="s">
        <v>59</v>
      </c>
      <c r="R43" s="8" t="s">
        <v>59</v>
      </c>
      <c r="S43" s="15" t="b">
        <v>0</v>
      </c>
      <c r="T43" s="10" t="b">
        <v>0</v>
      </c>
      <c r="U43" s="15" t="b">
        <v>0</v>
      </c>
      <c r="V43" s="8" t="s">
        <v>63</v>
      </c>
      <c r="W43" s="8" t="s">
        <v>104</v>
      </c>
      <c r="X43" s="8" t="s">
        <v>63</v>
      </c>
      <c r="Y43" s="12" t="b">
        <v>0</v>
      </c>
      <c r="Z43" s="10" t="s">
        <v>63</v>
      </c>
      <c r="AA43" s="13" t="s">
        <v>63</v>
      </c>
      <c r="AB43" s="10" t="s">
        <v>63</v>
      </c>
      <c r="AC43" s="10" t="s">
        <v>63</v>
      </c>
      <c r="AD43" s="12" t="b">
        <v>0</v>
      </c>
      <c r="AE43" s="10" t="s">
        <v>63</v>
      </c>
      <c r="AF43" s="13" t="s">
        <v>63</v>
      </c>
      <c r="AG43" s="10" t="s">
        <v>63</v>
      </c>
      <c r="AH43" s="10" t="s">
        <v>63</v>
      </c>
      <c r="AI43" s="12" t="b">
        <v>0</v>
      </c>
      <c r="AJ43" s="10" t="s">
        <v>63</v>
      </c>
      <c r="AK43" s="13" t="s">
        <v>63</v>
      </c>
      <c r="AL43" s="10" t="s">
        <v>63</v>
      </c>
      <c r="AM43" s="10" t="s">
        <v>63</v>
      </c>
      <c r="AN43" s="9" t="b">
        <v>1</v>
      </c>
      <c r="AO43" s="9" t="b">
        <v>0</v>
      </c>
      <c r="AP43" s="14" t="s">
        <v>709</v>
      </c>
      <c r="AQ43" s="9" t="s">
        <v>65</v>
      </c>
      <c r="AR43" s="9" t="s">
        <v>65</v>
      </c>
      <c r="AS43" s="6"/>
      <c r="AT43" s="6"/>
      <c r="AU43" s="6"/>
      <c r="AV43" s="6"/>
      <c r="AW43" s="6"/>
      <c r="AX43" s="6"/>
      <c r="AY43" s="6"/>
      <c r="AZ43" s="6"/>
      <c r="BA43" s="6"/>
    </row>
    <row r="44" ht="22.5" customHeight="1">
      <c r="A44" s="7" t="s">
        <v>710</v>
      </c>
      <c r="B44" s="8" t="s">
        <v>711</v>
      </c>
      <c r="C44" s="8" t="s">
        <v>712</v>
      </c>
      <c r="D44" s="9" t="s">
        <v>713</v>
      </c>
      <c r="E44" s="9" t="s">
        <v>714</v>
      </c>
      <c r="F44" s="9" t="s">
        <v>715</v>
      </c>
      <c r="G44" s="6" t="s">
        <v>716</v>
      </c>
      <c r="H44" s="25" t="b">
        <v>1</v>
      </c>
      <c r="I44" s="25" t="s">
        <v>717</v>
      </c>
      <c r="J44" s="25" t="s">
        <v>718</v>
      </c>
      <c r="K44" s="8" t="s">
        <v>719</v>
      </c>
      <c r="L44" s="8" t="s">
        <v>720</v>
      </c>
      <c r="M44" s="8" t="s">
        <v>721</v>
      </c>
      <c r="N44" s="8" t="s">
        <v>722</v>
      </c>
      <c r="O44" s="8" t="s">
        <v>58</v>
      </c>
      <c r="P44" s="8"/>
      <c r="Q44" s="9" t="s">
        <v>80</v>
      </c>
      <c r="R44" s="8" t="s">
        <v>133</v>
      </c>
      <c r="S44" s="15" t="b">
        <v>0</v>
      </c>
      <c r="T44" s="10" t="b">
        <v>1</v>
      </c>
      <c r="U44" s="12" t="b">
        <v>0</v>
      </c>
      <c r="V44" s="11" t="s">
        <v>723</v>
      </c>
      <c r="W44" s="6" t="s">
        <v>65</v>
      </c>
      <c r="X44" s="6" t="s">
        <v>65</v>
      </c>
      <c r="Y44" s="10" t="b">
        <v>1</v>
      </c>
      <c r="Z44" s="12" t="b">
        <v>0</v>
      </c>
      <c r="AA44" s="11" t="s">
        <v>724</v>
      </c>
      <c r="AB44" s="9" t="s">
        <v>65</v>
      </c>
      <c r="AC44" s="9" t="s">
        <v>65</v>
      </c>
      <c r="AD44" s="10" t="b">
        <v>1</v>
      </c>
      <c r="AE44" s="12" t="b">
        <v>0</v>
      </c>
      <c r="AF44" s="36" t="s">
        <v>725</v>
      </c>
      <c r="AG44" s="6" t="s">
        <v>268</v>
      </c>
      <c r="AH44" s="6" t="s">
        <v>170</v>
      </c>
      <c r="AI44" s="10" t="b">
        <v>1</v>
      </c>
      <c r="AJ44" s="12" t="b">
        <v>0</v>
      </c>
      <c r="AK44" s="11" t="s">
        <v>724</v>
      </c>
      <c r="AL44" s="9" t="s">
        <v>65</v>
      </c>
      <c r="AM44" s="9" t="s">
        <v>65</v>
      </c>
      <c r="AN44" s="9" t="b">
        <v>1</v>
      </c>
      <c r="AO44" s="9" t="b">
        <v>0</v>
      </c>
      <c r="AP44" s="14" t="s">
        <v>726</v>
      </c>
      <c r="AQ44" s="9" t="s">
        <v>103</v>
      </c>
      <c r="AR44" s="9" t="s">
        <v>86</v>
      </c>
      <c r="AS44" s="6"/>
      <c r="AT44" s="6"/>
      <c r="AU44" s="6"/>
      <c r="AV44" s="6"/>
      <c r="AW44" s="6"/>
      <c r="AX44" s="6"/>
      <c r="AY44" s="6"/>
      <c r="AZ44" s="6"/>
      <c r="BA44" s="6"/>
    </row>
    <row r="45" ht="22.5" customHeight="1">
      <c r="A45" s="7" t="s">
        <v>727</v>
      </c>
      <c r="B45" s="8" t="s">
        <v>728</v>
      </c>
      <c r="C45" s="8" t="s">
        <v>729</v>
      </c>
      <c r="D45" s="9" t="s">
        <v>730</v>
      </c>
      <c r="E45" s="9" t="s">
        <v>731</v>
      </c>
      <c r="F45" s="9" t="s">
        <v>732</v>
      </c>
      <c r="G45" s="6" t="s">
        <v>733</v>
      </c>
      <c r="H45" s="25" t="b">
        <v>1</v>
      </c>
      <c r="I45" s="25" t="s">
        <v>734</v>
      </c>
      <c r="J45" s="25" t="s">
        <v>735</v>
      </c>
      <c r="K45" s="28" t="s">
        <v>736</v>
      </c>
      <c r="L45" s="8" t="s">
        <v>735</v>
      </c>
      <c r="M45" s="8" t="s">
        <v>117</v>
      </c>
      <c r="N45" s="8" t="s">
        <v>268</v>
      </c>
      <c r="O45" s="8" t="s">
        <v>170</v>
      </c>
      <c r="P45" s="8"/>
      <c r="Q45" s="9" t="s">
        <v>80</v>
      </c>
      <c r="R45" s="8" t="s">
        <v>118</v>
      </c>
      <c r="S45" s="15" t="b">
        <v>0</v>
      </c>
      <c r="T45" s="15" t="b">
        <v>1</v>
      </c>
      <c r="U45" s="12" t="b">
        <v>0</v>
      </c>
      <c r="V45" s="28" t="s">
        <v>737</v>
      </c>
      <c r="W45" s="8" t="s">
        <v>65</v>
      </c>
      <c r="X45" s="8" t="s">
        <v>65</v>
      </c>
      <c r="Y45" s="10" t="b">
        <v>0</v>
      </c>
      <c r="Z45" s="15" t="s">
        <v>63</v>
      </c>
      <c r="AA45" s="8" t="s">
        <v>63</v>
      </c>
      <c r="AB45" s="10" t="s">
        <v>63</v>
      </c>
      <c r="AC45" s="15" t="s">
        <v>63</v>
      </c>
      <c r="AD45" s="10" t="b">
        <v>0</v>
      </c>
      <c r="AE45" s="15" t="s">
        <v>63</v>
      </c>
      <c r="AF45" s="8" t="s">
        <v>63</v>
      </c>
      <c r="AG45" s="8" t="s">
        <v>63</v>
      </c>
      <c r="AH45" s="8" t="s">
        <v>63</v>
      </c>
      <c r="AI45" s="10" t="b">
        <v>0</v>
      </c>
      <c r="AJ45" s="10" t="s">
        <v>63</v>
      </c>
      <c r="AK45" s="8" t="s">
        <v>63</v>
      </c>
      <c r="AL45" s="8" t="s">
        <v>63</v>
      </c>
      <c r="AM45" s="8" t="s">
        <v>63</v>
      </c>
      <c r="AN45" s="9" t="b">
        <v>1</v>
      </c>
      <c r="AO45" s="9" t="b">
        <v>0</v>
      </c>
      <c r="AP45" s="14" t="s">
        <v>738</v>
      </c>
      <c r="AQ45" s="9" t="s">
        <v>65</v>
      </c>
      <c r="AR45" s="9" t="s">
        <v>65</v>
      </c>
      <c r="AS45" s="6"/>
      <c r="AT45" s="6"/>
      <c r="AU45" s="6"/>
      <c r="AV45" s="6"/>
      <c r="AW45" s="6"/>
      <c r="AX45" s="6"/>
      <c r="AY45" s="6"/>
      <c r="AZ45" s="6"/>
      <c r="BA45" s="6"/>
    </row>
    <row r="46" ht="22.5" customHeight="1">
      <c r="A46" s="7" t="s">
        <v>739</v>
      </c>
      <c r="B46" s="8" t="s">
        <v>740</v>
      </c>
      <c r="C46" s="8" t="s">
        <v>741</v>
      </c>
      <c r="D46" s="9" t="s">
        <v>742</v>
      </c>
      <c r="E46" s="9" t="s">
        <v>743</v>
      </c>
      <c r="F46" s="9" t="s">
        <v>744</v>
      </c>
      <c r="G46" s="6" t="s">
        <v>745</v>
      </c>
      <c r="H46" s="25" t="b">
        <v>1</v>
      </c>
      <c r="I46" s="8" t="s">
        <v>746</v>
      </c>
      <c r="J46" s="8" t="s">
        <v>747</v>
      </c>
      <c r="K46" s="9" t="s">
        <v>748</v>
      </c>
      <c r="L46" s="8" t="s">
        <v>749</v>
      </c>
      <c r="M46" s="9" t="s">
        <v>512</v>
      </c>
      <c r="N46" s="25" t="s">
        <v>103</v>
      </c>
      <c r="O46" s="25" t="s">
        <v>86</v>
      </c>
      <c r="P46" s="8"/>
      <c r="Q46" s="9" t="s">
        <v>80</v>
      </c>
      <c r="R46" s="8" t="s">
        <v>81</v>
      </c>
      <c r="S46" s="15" t="b">
        <v>0</v>
      </c>
      <c r="T46" s="10" t="b">
        <v>1</v>
      </c>
      <c r="U46" s="10" t="b">
        <v>1</v>
      </c>
      <c r="V46" s="11" t="s">
        <v>750</v>
      </c>
      <c r="W46" s="9" t="s">
        <v>751</v>
      </c>
      <c r="X46" s="9" t="s">
        <v>79</v>
      </c>
      <c r="Y46" s="10" t="b">
        <v>1</v>
      </c>
      <c r="Z46" s="10" t="b">
        <v>1</v>
      </c>
      <c r="AA46" s="11" t="s">
        <v>752</v>
      </c>
      <c r="AB46" s="9" t="s">
        <v>753</v>
      </c>
      <c r="AC46" s="9" t="s">
        <v>79</v>
      </c>
      <c r="AD46" s="10" t="b">
        <v>1</v>
      </c>
      <c r="AE46" s="10" t="b">
        <v>1</v>
      </c>
      <c r="AF46" s="11" t="s">
        <v>754</v>
      </c>
      <c r="AG46" s="6" t="s">
        <v>103</v>
      </c>
      <c r="AH46" s="6" t="s">
        <v>86</v>
      </c>
      <c r="AI46" s="10" t="b">
        <v>1</v>
      </c>
      <c r="AJ46" s="10" t="b">
        <v>1</v>
      </c>
      <c r="AK46" s="11" t="s">
        <v>752</v>
      </c>
      <c r="AL46" s="9" t="s">
        <v>753</v>
      </c>
      <c r="AM46" s="9" t="s">
        <v>79</v>
      </c>
      <c r="AN46" s="9" t="b">
        <v>1</v>
      </c>
      <c r="AO46" s="9" t="b">
        <v>0</v>
      </c>
      <c r="AP46" s="14" t="s">
        <v>755</v>
      </c>
      <c r="AQ46" s="9" t="s">
        <v>65</v>
      </c>
      <c r="AR46" s="9" t="s">
        <v>65</v>
      </c>
      <c r="AS46" s="6"/>
      <c r="AT46" s="6"/>
      <c r="AU46" s="6"/>
      <c r="AV46" s="6"/>
      <c r="AW46" s="6"/>
      <c r="AX46" s="6"/>
      <c r="AY46" s="6"/>
      <c r="AZ46" s="6"/>
      <c r="BA46" s="6"/>
    </row>
    <row r="47" ht="22.5" customHeight="1">
      <c r="A47" s="7" t="s">
        <v>756</v>
      </c>
      <c r="B47" s="8" t="s">
        <v>757</v>
      </c>
      <c r="C47" s="8" t="s">
        <v>758</v>
      </c>
      <c r="D47" s="9" t="s">
        <v>759</v>
      </c>
      <c r="E47" s="9" t="s">
        <v>760</v>
      </c>
      <c r="F47" s="9" t="s">
        <v>761</v>
      </c>
      <c r="G47" s="6" t="s">
        <v>762</v>
      </c>
      <c r="H47" s="25" t="b">
        <v>0</v>
      </c>
      <c r="I47" s="8" t="s">
        <v>763</v>
      </c>
      <c r="J47" s="8" t="s">
        <v>764</v>
      </c>
      <c r="K47" s="8" t="s">
        <v>765</v>
      </c>
      <c r="L47" s="8" t="s">
        <v>763</v>
      </c>
      <c r="M47" s="8" t="s">
        <v>766</v>
      </c>
      <c r="N47" s="25" t="s">
        <v>57</v>
      </c>
      <c r="O47" s="25" t="s">
        <v>58</v>
      </c>
      <c r="P47" s="8"/>
      <c r="Q47" s="9" t="s">
        <v>80</v>
      </c>
      <c r="R47" s="8" t="s">
        <v>133</v>
      </c>
      <c r="S47" s="15" t="b">
        <v>0</v>
      </c>
      <c r="T47" s="15" t="b">
        <v>1</v>
      </c>
      <c r="U47" s="15" t="b">
        <v>0</v>
      </c>
      <c r="V47" s="28" t="s">
        <v>767</v>
      </c>
      <c r="W47" s="8" t="s">
        <v>65</v>
      </c>
      <c r="X47" s="8" t="s">
        <v>65</v>
      </c>
      <c r="Y47" s="10" t="b">
        <v>1</v>
      </c>
      <c r="Z47" s="12" t="b">
        <v>0</v>
      </c>
      <c r="AA47" s="28" t="s">
        <v>768</v>
      </c>
      <c r="AB47" s="9" t="s">
        <v>769</v>
      </c>
      <c r="AC47" s="9" t="s">
        <v>79</v>
      </c>
      <c r="AD47" s="10" t="b">
        <v>1</v>
      </c>
      <c r="AE47" s="12" t="b">
        <v>0</v>
      </c>
      <c r="AF47" s="28" t="s">
        <v>770</v>
      </c>
      <c r="AG47" s="8" t="s">
        <v>103</v>
      </c>
      <c r="AH47" s="8" t="s">
        <v>86</v>
      </c>
      <c r="AI47" s="10" t="b">
        <v>1</v>
      </c>
      <c r="AJ47" s="12" t="b">
        <v>0</v>
      </c>
      <c r="AK47" s="28" t="s">
        <v>768</v>
      </c>
      <c r="AL47" s="9" t="s">
        <v>769</v>
      </c>
      <c r="AM47" s="9" t="s">
        <v>79</v>
      </c>
      <c r="AN47" s="9" t="b">
        <v>1</v>
      </c>
      <c r="AO47" s="9" t="b">
        <v>0</v>
      </c>
      <c r="AP47" s="14" t="s">
        <v>770</v>
      </c>
      <c r="AQ47" s="9" t="s">
        <v>103</v>
      </c>
      <c r="AR47" s="9" t="s">
        <v>86</v>
      </c>
      <c r="AS47" s="6"/>
      <c r="AT47" s="6"/>
      <c r="AU47" s="6"/>
      <c r="AV47" s="6"/>
      <c r="AW47" s="6"/>
      <c r="AX47" s="6"/>
      <c r="AY47" s="6"/>
      <c r="AZ47" s="6"/>
      <c r="BA47" s="6"/>
    </row>
    <row r="48" ht="22.5" customHeight="1">
      <c r="A48" s="7" t="s">
        <v>771</v>
      </c>
      <c r="B48" s="8" t="s">
        <v>772</v>
      </c>
      <c r="C48" s="8" t="s">
        <v>773</v>
      </c>
      <c r="D48" s="9" t="s">
        <v>774</v>
      </c>
      <c r="E48" s="9" t="s">
        <v>775</v>
      </c>
      <c r="F48" s="9" t="s">
        <v>776</v>
      </c>
      <c r="G48" s="6" t="s">
        <v>777</v>
      </c>
      <c r="H48" s="15" t="b">
        <v>1</v>
      </c>
      <c r="I48" s="8" t="s">
        <v>778</v>
      </c>
      <c r="J48" s="8" t="s">
        <v>779</v>
      </c>
      <c r="K48" s="8" t="s">
        <v>780</v>
      </c>
      <c r="L48" s="8" t="s">
        <v>778</v>
      </c>
      <c r="M48" s="8" t="s">
        <v>781</v>
      </c>
      <c r="N48" s="25" t="s">
        <v>57</v>
      </c>
      <c r="O48" s="25" t="s">
        <v>58</v>
      </c>
      <c r="P48" s="8"/>
      <c r="Q48" s="9" t="s">
        <v>59</v>
      </c>
      <c r="R48" s="8" t="s">
        <v>59</v>
      </c>
      <c r="S48" s="15" t="b">
        <v>0</v>
      </c>
      <c r="T48" s="10" t="b">
        <v>1</v>
      </c>
      <c r="U48" s="12" t="b">
        <v>0</v>
      </c>
      <c r="V48" s="11" t="s">
        <v>782</v>
      </c>
      <c r="W48" s="6" t="s">
        <v>783</v>
      </c>
      <c r="X48" s="6" t="s">
        <v>62</v>
      </c>
      <c r="Y48" s="12" t="b">
        <v>0</v>
      </c>
      <c r="Z48" s="10" t="s">
        <v>63</v>
      </c>
      <c r="AA48" s="13" t="s">
        <v>63</v>
      </c>
      <c r="AB48" s="10" t="s">
        <v>63</v>
      </c>
      <c r="AC48" s="10" t="s">
        <v>63</v>
      </c>
      <c r="AD48" s="12" t="b">
        <v>0</v>
      </c>
      <c r="AE48" s="10" t="s">
        <v>63</v>
      </c>
      <c r="AF48" s="13" t="s">
        <v>63</v>
      </c>
      <c r="AG48" s="10" t="s">
        <v>63</v>
      </c>
      <c r="AH48" s="10" t="s">
        <v>63</v>
      </c>
      <c r="AI48" s="12" t="b">
        <v>0</v>
      </c>
      <c r="AJ48" s="10" t="s">
        <v>63</v>
      </c>
      <c r="AK48" s="13" t="s">
        <v>63</v>
      </c>
      <c r="AL48" s="10" t="s">
        <v>63</v>
      </c>
      <c r="AM48" s="10" t="s">
        <v>63</v>
      </c>
      <c r="AN48" s="9" t="b">
        <v>1</v>
      </c>
      <c r="AO48" s="9" t="b">
        <v>0</v>
      </c>
      <c r="AP48" s="14" t="s">
        <v>784</v>
      </c>
      <c r="AQ48" s="9" t="s">
        <v>65</v>
      </c>
      <c r="AR48" s="9" t="s">
        <v>65</v>
      </c>
      <c r="AS48" s="6"/>
      <c r="AT48" s="6"/>
      <c r="AU48" s="6"/>
      <c r="AV48" s="6"/>
      <c r="AW48" s="6"/>
      <c r="AX48" s="6"/>
      <c r="AY48" s="6"/>
      <c r="AZ48" s="6"/>
      <c r="BA48" s="6"/>
    </row>
    <row r="49" ht="22.5" customHeight="1">
      <c r="A49" s="7" t="s">
        <v>785</v>
      </c>
      <c r="B49" s="8" t="s">
        <v>786</v>
      </c>
      <c r="C49" s="8" t="s">
        <v>787</v>
      </c>
      <c r="D49" s="9" t="s">
        <v>788</v>
      </c>
      <c r="E49" s="9" t="s">
        <v>789</v>
      </c>
      <c r="F49" s="9" t="s">
        <v>790</v>
      </c>
      <c r="G49" s="6" t="s">
        <v>791</v>
      </c>
      <c r="H49" s="15" t="b">
        <v>1</v>
      </c>
      <c r="I49" s="8" t="s">
        <v>792</v>
      </c>
      <c r="J49" s="8" t="s">
        <v>793</v>
      </c>
      <c r="K49" s="8" t="s">
        <v>794</v>
      </c>
      <c r="L49" s="8" t="s">
        <v>795</v>
      </c>
      <c r="M49" s="8" t="s">
        <v>796</v>
      </c>
      <c r="N49" s="25" t="s">
        <v>797</v>
      </c>
      <c r="O49" s="25" t="s">
        <v>79</v>
      </c>
      <c r="P49" s="8"/>
      <c r="Q49" s="9" t="s">
        <v>80</v>
      </c>
      <c r="R49" s="8" t="s">
        <v>133</v>
      </c>
      <c r="S49" s="15" t="b">
        <v>0</v>
      </c>
      <c r="T49" s="15" t="b">
        <v>1</v>
      </c>
      <c r="U49" s="12" t="b">
        <v>0</v>
      </c>
      <c r="V49" s="28" t="s">
        <v>798</v>
      </c>
      <c r="W49" s="8" t="s">
        <v>65</v>
      </c>
      <c r="X49" s="8" t="s">
        <v>65</v>
      </c>
      <c r="Y49" s="10" t="b">
        <v>1</v>
      </c>
      <c r="Z49" s="10" t="b">
        <v>1</v>
      </c>
      <c r="AA49" s="28" t="s">
        <v>799</v>
      </c>
      <c r="AB49" s="9" t="s">
        <v>800</v>
      </c>
      <c r="AC49" s="9" t="s">
        <v>79</v>
      </c>
      <c r="AD49" s="10" t="b">
        <v>1</v>
      </c>
      <c r="AE49" s="9" t="b">
        <v>0</v>
      </c>
      <c r="AF49" s="28" t="s">
        <v>801</v>
      </c>
      <c r="AG49" s="8" t="s">
        <v>65</v>
      </c>
      <c r="AH49" s="8" t="s">
        <v>65</v>
      </c>
      <c r="AI49" s="10" t="b">
        <v>1</v>
      </c>
      <c r="AJ49" s="10" t="b">
        <v>1</v>
      </c>
      <c r="AK49" s="28" t="s">
        <v>799</v>
      </c>
      <c r="AL49" s="9" t="s">
        <v>800</v>
      </c>
      <c r="AM49" s="9" t="s">
        <v>79</v>
      </c>
      <c r="AN49" s="9" t="b">
        <v>1</v>
      </c>
      <c r="AO49" s="9" t="b">
        <v>0</v>
      </c>
      <c r="AP49" s="14" t="s">
        <v>802</v>
      </c>
      <c r="AQ49" s="9" t="s">
        <v>65</v>
      </c>
      <c r="AR49" s="9" t="s">
        <v>65</v>
      </c>
      <c r="AS49" s="6"/>
      <c r="AT49" s="6"/>
      <c r="AU49" s="6"/>
      <c r="AV49" s="6"/>
      <c r="AW49" s="6"/>
      <c r="AX49" s="6"/>
      <c r="AY49" s="6"/>
      <c r="AZ49" s="6"/>
      <c r="BA49" s="6"/>
    </row>
    <row r="50" ht="22.5" customHeight="1">
      <c r="A50" s="7" t="s">
        <v>803</v>
      </c>
      <c r="B50" s="8" t="s">
        <v>804</v>
      </c>
      <c r="C50" s="8" t="s">
        <v>805</v>
      </c>
      <c r="D50" s="9" t="s">
        <v>806</v>
      </c>
      <c r="E50" s="9" t="s">
        <v>807</v>
      </c>
      <c r="F50" s="9" t="s">
        <v>808</v>
      </c>
      <c r="G50" s="6" t="s">
        <v>809</v>
      </c>
      <c r="H50" s="10" t="b">
        <v>1</v>
      </c>
      <c r="I50" s="28" t="s">
        <v>810</v>
      </c>
      <c r="J50" s="28" t="s">
        <v>811</v>
      </c>
      <c r="K50" s="8" t="s">
        <v>812</v>
      </c>
      <c r="L50" s="28" t="s">
        <v>810</v>
      </c>
      <c r="M50" s="35" t="s">
        <v>813</v>
      </c>
      <c r="N50" s="25" t="s">
        <v>186</v>
      </c>
      <c r="O50" s="25" t="s">
        <v>599</v>
      </c>
      <c r="P50" s="15"/>
      <c r="Q50" s="9" t="s">
        <v>80</v>
      </c>
      <c r="R50" s="8" t="s">
        <v>133</v>
      </c>
      <c r="S50" s="15" t="b">
        <v>0</v>
      </c>
      <c r="T50" s="10" t="b">
        <v>1</v>
      </c>
      <c r="U50" s="10" t="b">
        <v>0</v>
      </c>
      <c r="V50" s="11" t="s">
        <v>814</v>
      </c>
      <c r="W50" s="9" t="s">
        <v>188</v>
      </c>
      <c r="X50" s="9" t="s">
        <v>189</v>
      </c>
      <c r="Y50" s="10" t="b">
        <v>1</v>
      </c>
      <c r="Z50" s="10" t="b">
        <v>0</v>
      </c>
      <c r="AA50" s="11" t="s">
        <v>815</v>
      </c>
      <c r="AB50" s="6" t="s">
        <v>65</v>
      </c>
      <c r="AC50" s="6" t="s">
        <v>65</v>
      </c>
      <c r="AD50" s="10" t="b">
        <v>1</v>
      </c>
      <c r="AE50" s="10" t="b">
        <v>0</v>
      </c>
      <c r="AF50" s="11" t="s">
        <v>816</v>
      </c>
      <c r="AG50" s="6" t="s">
        <v>65</v>
      </c>
      <c r="AH50" s="6" t="s">
        <v>65</v>
      </c>
      <c r="AI50" s="10" t="b">
        <v>1</v>
      </c>
      <c r="AJ50" s="10" t="b">
        <v>0</v>
      </c>
      <c r="AK50" s="11" t="s">
        <v>817</v>
      </c>
      <c r="AL50" s="9" t="s">
        <v>818</v>
      </c>
      <c r="AM50" s="9" t="s">
        <v>79</v>
      </c>
      <c r="AN50" s="9" t="b">
        <v>1</v>
      </c>
      <c r="AO50" s="9" t="b">
        <v>0</v>
      </c>
      <c r="AP50" s="14" t="s">
        <v>819</v>
      </c>
      <c r="AQ50" s="9" t="s">
        <v>65</v>
      </c>
      <c r="AR50" s="9" t="s">
        <v>65</v>
      </c>
      <c r="AS50" s="6"/>
      <c r="AT50" s="6"/>
      <c r="AU50" s="6"/>
      <c r="AV50" s="6"/>
      <c r="AW50" s="6"/>
      <c r="AX50" s="6"/>
      <c r="AY50" s="6"/>
      <c r="AZ50" s="6"/>
      <c r="BA50" s="6"/>
    </row>
    <row r="51" ht="22.5" customHeight="1">
      <c r="A51" s="7" t="s">
        <v>820</v>
      </c>
      <c r="B51" s="8" t="s">
        <v>821</v>
      </c>
      <c r="C51" s="8" t="s">
        <v>822</v>
      </c>
      <c r="D51" s="9" t="s">
        <v>823</v>
      </c>
      <c r="E51" s="9" t="s">
        <v>824</v>
      </c>
      <c r="F51" s="9" t="s">
        <v>825</v>
      </c>
      <c r="G51" s="6" t="s">
        <v>826</v>
      </c>
      <c r="H51" s="10" t="b">
        <v>1</v>
      </c>
      <c r="I51" s="11" t="s">
        <v>827</v>
      </c>
      <c r="J51" s="11" t="s">
        <v>828</v>
      </c>
      <c r="K51" s="11" t="s">
        <v>829</v>
      </c>
      <c r="L51" s="11" t="s">
        <v>827</v>
      </c>
      <c r="M51" s="6" t="s">
        <v>830</v>
      </c>
      <c r="N51" s="37" t="s">
        <v>186</v>
      </c>
      <c r="O51" s="37" t="s">
        <v>58</v>
      </c>
      <c r="P51" s="6"/>
      <c r="Q51" s="9" t="s">
        <v>80</v>
      </c>
      <c r="R51" s="6" t="s">
        <v>118</v>
      </c>
      <c r="S51" s="10" t="b">
        <v>0</v>
      </c>
      <c r="T51" s="15" t="b">
        <v>1</v>
      </c>
      <c r="U51" s="10" t="b">
        <v>0</v>
      </c>
      <c r="V51" s="28" t="s">
        <v>831</v>
      </c>
      <c r="W51" s="8" t="s">
        <v>832</v>
      </c>
      <c r="X51" s="8" t="s">
        <v>469</v>
      </c>
      <c r="Y51" s="10" t="b">
        <v>0</v>
      </c>
      <c r="Z51" s="15" t="s">
        <v>63</v>
      </c>
      <c r="AA51" s="8" t="s">
        <v>63</v>
      </c>
      <c r="AB51" s="10" t="s">
        <v>63</v>
      </c>
      <c r="AC51" s="10" t="s">
        <v>63</v>
      </c>
      <c r="AD51" s="10" t="b">
        <v>0</v>
      </c>
      <c r="AE51" s="15" t="s">
        <v>63</v>
      </c>
      <c r="AF51" s="8" t="s">
        <v>63</v>
      </c>
      <c r="AG51" s="8" t="s">
        <v>63</v>
      </c>
      <c r="AH51" s="8" t="s">
        <v>63</v>
      </c>
      <c r="AI51" s="10" t="b">
        <v>0</v>
      </c>
      <c r="AJ51" s="10" t="s">
        <v>63</v>
      </c>
      <c r="AK51" s="8" t="s">
        <v>63</v>
      </c>
      <c r="AL51" s="8" t="s">
        <v>63</v>
      </c>
      <c r="AM51" s="8" t="s">
        <v>63</v>
      </c>
      <c r="AN51" s="9" t="b">
        <v>0</v>
      </c>
      <c r="AO51" s="12" t="s">
        <v>63</v>
      </c>
      <c r="AP51" s="12" t="s">
        <v>63</v>
      </c>
      <c r="AQ51" s="12" t="s">
        <v>63</v>
      </c>
      <c r="AR51" s="12" t="s">
        <v>63</v>
      </c>
      <c r="AS51" s="6"/>
      <c r="AT51" s="6"/>
      <c r="AU51" s="6"/>
      <c r="AV51" s="6"/>
      <c r="AW51" s="6"/>
      <c r="AX51" s="6"/>
      <c r="AY51" s="6"/>
      <c r="AZ51" s="6"/>
      <c r="BA51" s="6"/>
    </row>
    <row r="52" ht="22.5" customHeight="1">
      <c r="A52" s="7" t="s">
        <v>833</v>
      </c>
      <c r="B52" s="8" t="s">
        <v>834</v>
      </c>
      <c r="C52" s="8" t="s">
        <v>835</v>
      </c>
      <c r="D52" s="9" t="s">
        <v>836</v>
      </c>
      <c r="E52" s="9" t="s">
        <v>837</v>
      </c>
      <c r="F52" s="9" t="s">
        <v>838</v>
      </c>
      <c r="G52" s="6" t="s">
        <v>839</v>
      </c>
      <c r="H52" s="10" t="b">
        <v>1</v>
      </c>
      <c r="I52" s="6" t="s">
        <v>840</v>
      </c>
      <c r="J52" s="6" t="s">
        <v>841</v>
      </c>
      <c r="K52" s="6" t="s">
        <v>842</v>
      </c>
      <c r="L52" s="6" t="s">
        <v>843</v>
      </c>
      <c r="M52" s="6" t="s">
        <v>844</v>
      </c>
      <c r="N52" s="37" t="s">
        <v>186</v>
      </c>
      <c r="O52" s="37" t="s">
        <v>58</v>
      </c>
      <c r="P52" s="6"/>
      <c r="Q52" s="9" t="s">
        <v>80</v>
      </c>
      <c r="R52" s="6" t="s">
        <v>133</v>
      </c>
      <c r="S52" s="10" t="b">
        <v>0</v>
      </c>
      <c r="T52" s="15" t="b">
        <v>1</v>
      </c>
      <c r="U52" s="10" t="b">
        <v>0</v>
      </c>
      <c r="V52" s="28" t="s">
        <v>845</v>
      </c>
      <c r="W52" s="8" t="s">
        <v>65</v>
      </c>
      <c r="X52" s="8" t="s">
        <v>65</v>
      </c>
      <c r="Y52" s="10" t="b">
        <v>1</v>
      </c>
      <c r="Z52" s="12" t="b">
        <v>0</v>
      </c>
      <c r="AA52" s="28" t="s">
        <v>846</v>
      </c>
      <c r="AB52" s="8" t="s">
        <v>65</v>
      </c>
      <c r="AC52" s="8" t="s">
        <v>65</v>
      </c>
      <c r="AD52" s="10" t="b">
        <v>1</v>
      </c>
      <c r="AE52" s="9" t="b">
        <v>0</v>
      </c>
      <c r="AF52" s="28" t="s">
        <v>847</v>
      </c>
      <c r="AG52" s="8" t="s">
        <v>65</v>
      </c>
      <c r="AH52" s="8" t="s">
        <v>65</v>
      </c>
      <c r="AI52" s="10" t="b">
        <v>1</v>
      </c>
      <c r="AJ52" s="10" t="b">
        <v>0</v>
      </c>
      <c r="AK52" s="28" t="s">
        <v>846</v>
      </c>
      <c r="AL52" s="8" t="s">
        <v>65</v>
      </c>
      <c r="AM52" s="24" t="s">
        <v>65</v>
      </c>
      <c r="AN52" s="9" t="b">
        <v>1</v>
      </c>
      <c r="AO52" s="9" t="b">
        <v>0</v>
      </c>
      <c r="AP52" s="14" t="s">
        <v>848</v>
      </c>
      <c r="AQ52" s="9" t="s">
        <v>65</v>
      </c>
      <c r="AR52" s="9" t="s">
        <v>65</v>
      </c>
      <c r="AS52" s="6"/>
      <c r="AT52" s="6"/>
      <c r="AU52" s="6"/>
      <c r="AV52" s="6"/>
      <c r="AW52" s="6"/>
      <c r="AX52" s="6"/>
      <c r="AY52" s="6"/>
      <c r="AZ52" s="6"/>
      <c r="BA52" s="6"/>
    </row>
    <row r="53" ht="22.5" customHeight="1">
      <c r="A53" s="7" t="s">
        <v>849</v>
      </c>
      <c r="B53" s="8" t="s">
        <v>850</v>
      </c>
      <c r="C53" s="8" t="s">
        <v>851</v>
      </c>
      <c r="D53" s="9" t="s">
        <v>852</v>
      </c>
      <c r="E53" s="9" t="s">
        <v>853</v>
      </c>
      <c r="F53" s="9" t="s">
        <v>854</v>
      </c>
      <c r="G53" s="6" t="s">
        <v>180</v>
      </c>
      <c r="H53" s="10" t="b">
        <v>1</v>
      </c>
      <c r="I53" s="8" t="s">
        <v>855</v>
      </c>
      <c r="J53" s="6" t="s">
        <v>856</v>
      </c>
      <c r="K53" s="6" t="s">
        <v>857</v>
      </c>
      <c r="L53" s="8" t="s">
        <v>855</v>
      </c>
      <c r="M53" s="8" t="s">
        <v>858</v>
      </c>
      <c r="N53" s="37" t="s">
        <v>186</v>
      </c>
      <c r="O53" s="37" t="s">
        <v>58</v>
      </c>
      <c r="P53" s="6"/>
      <c r="Q53" s="9" t="s">
        <v>59</v>
      </c>
      <c r="R53" s="6" t="s">
        <v>59</v>
      </c>
      <c r="S53" s="10" t="b">
        <v>0</v>
      </c>
      <c r="T53" s="10" t="b">
        <v>1</v>
      </c>
      <c r="U53" s="15" t="b">
        <v>1</v>
      </c>
      <c r="V53" s="11" t="s">
        <v>859</v>
      </c>
      <c r="W53" s="9" t="s">
        <v>860</v>
      </c>
      <c r="X53" s="9" t="s">
        <v>62</v>
      </c>
      <c r="Y53" s="12" t="b">
        <v>0</v>
      </c>
      <c r="Z53" s="10" t="s">
        <v>63</v>
      </c>
      <c r="AA53" s="13" t="s">
        <v>63</v>
      </c>
      <c r="AB53" s="10" t="s">
        <v>63</v>
      </c>
      <c r="AC53" s="10" t="s">
        <v>63</v>
      </c>
      <c r="AD53" s="12" t="b">
        <v>0</v>
      </c>
      <c r="AE53" s="10" t="s">
        <v>63</v>
      </c>
      <c r="AF53" s="13" t="s">
        <v>63</v>
      </c>
      <c r="AG53" s="10" t="s">
        <v>63</v>
      </c>
      <c r="AH53" s="10" t="s">
        <v>63</v>
      </c>
      <c r="AI53" s="12" t="b">
        <v>0</v>
      </c>
      <c r="AJ53" s="10" t="s">
        <v>63</v>
      </c>
      <c r="AK53" s="13" t="s">
        <v>63</v>
      </c>
      <c r="AL53" s="10" t="s">
        <v>63</v>
      </c>
      <c r="AM53" s="10" t="s">
        <v>63</v>
      </c>
      <c r="AN53" s="9" t="b">
        <v>1</v>
      </c>
      <c r="AO53" s="9" t="b">
        <v>0</v>
      </c>
      <c r="AP53" s="14" t="s">
        <v>861</v>
      </c>
      <c r="AQ53" s="9" t="s">
        <v>65</v>
      </c>
      <c r="AR53" s="9" t="s">
        <v>65</v>
      </c>
      <c r="AS53" s="6"/>
      <c r="AT53" s="6"/>
      <c r="AU53" s="6"/>
      <c r="AV53" s="6"/>
      <c r="AW53" s="6"/>
      <c r="AX53" s="6"/>
      <c r="AY53" s="6"/>
      <c r="AZ53" s="6"/>
      <c r="BA53" s="6"/>
    </row>
    <row r="54" ht="22.5" customHeight="1">
      <c r="A54" s="7" t="s">
        <v>862</v>
      </c>
      <c r="B54" s="8" t="s">
        <v>863</v>
      </c>
      <c r="C54" s="8" t="s">
        <v>864</v>
      </c>
      <c r="D54" s="9" t="s">
        <v>865</v>
      </c>
      <c r="E54" s="9" t="s">
        <v>866</v>
      </c>
      <c r="F54" s="9" t="s">
        <v>867</v>
      </c>
      <c r="G54" s="6" t="s">
        <v>868</v>
      </c>
      <c r="H54" s="10" t="b">
        <v>1</v>
      </c>
      <c r="I54" s="6" t="s">
        <v>869</v>
      </c>
      <c r="J54" s="6" t="s">
        <v>870</v>
      </c>
      <c r="K54" s="6" t="s">
        <v>871</v>
      </c>
      <c r="L54" s="6" t="s">
        <v>872</v>
      </c>
      <c r="M54" s="38" t="s">
        <v>873</v>
      </c>
      <c r="N54" s="37" t="s">
        <v>874</v>
      </c>
      <c r="O54" s="37" t="s">
        <v>875</v>
      </c>
      <c r="P54" s="6"/>
      <c r="Q54" s="9" t="s">
        <v>80</v>
      </c>
      <c r="R54" s="6" t="s">
        <v>133</v>
      </c>
      <c r="S54" s="10" t="b">
        <v>0</v>
      </c>
      <c r="T54" s="10" t="b">
        <v>0</v>
      </c>
      <c r="U54" s="10" t="b">
        <v>0</v>
      </c>
      <c r="V54" s="8" t="s">
        <v>63</v>
      </c>
      <c r="W54" s="8" t="s">
        <v>104</v>
      </c>
      <c r="X54" s="8" t="s">
        <v>63</v>
      </c>
      <c r="Y54" s="10" t="b">
        <v>1</v>
      </c>
      <c r="Z54" s="10" t="b">
        <v>1</v>
      </c>
      <c r="AA54" s="28" t="s">
        <v>876</v>
      </c>
      <c r="AB54" s="9" t="s">
        <v>877</v>
      </c>
      <c r="AC54" s="9" t="s">
        <v>79</v>
      </c>
      <c r="AD54" s="10" t="b">
        <v>1</v>
      </c>
      <c r="AE54" s="10" t="b">
        <v>1</v>
      </c>
      <c r="AF54" s="28" t="s">
        <v>878</v>
      </c>
      <c r="AG54" s="9" t="s">
        <v>877</v>
      </c>
      <c r="AH54" s="9" t="s">
        <v>79</v>
      </c>
      <c r="AI54" s="10" t="b">
        <v>1</v>
      </c>
      <c r="AJ54" s="10" t="b">
        <v>1</v>
      </c>
      <c r="AK54" s="28" t="s">
        <v>876</v>
      </c>
      <c r="AL54" s="9" t="s">
        <v>877</v>
      </c>
      <c r="AM54" s="9" t="s">
        <v>79</v>
      </c>
      <c r="AN54" s="9" t="b">
        <v>1</v>
      </c>
      <c r="AO54" s="9" t="b">
        <v>1</v>
      </c>
      <c r="AP54" s="14" t="s">
        <v>879</v>
      </c>
      <c r="AQ54" s="9" t="s">
        <v>103</v>
      </c>
      <c r="AR54" s="9" t="s">
        <v>86</v>
      </c>
      <c r="AS54" s="6"/>
      <c r="AT54" s="6"/>
      <c r="AU54" s="6"/>
      <c r="AV54" s="6"/>
      <c r="AW54" s="6"/>
      <c r="AX54" s="6"/>
      <c r="AY54" s="6"/>
      <c r="AZ54" s="6"/>
      <c r="BA54" s="6"/>
    </row>
    <row r="55" ht="22.5" customHeight="1">
      <c r="A55" s="7" t="s">
        <v>880</v>
      </c>
      <c r="B55" s="8" t="s">
        <v>881</v>
      </c>
      <c r="C55" s="8" t="s">
        <v>882</v>
      </c>
      <c r="D55" s="9" t="s">
        <v>883</v>
      </c>
      <c r="E55" s="9" t="s">
        <v>884</v>
      </c>
      <c r="F55" s="9" t="s">
        <v>885</v>
      </c>
      <c r="G55" s="6" t="s">
        <v>886</v>
      </c>
      <c r="H55" s="10" t="b">
        <v>1</v>
      </c>
      <c r="I55" s="11" t="s">
        <v>887</v>
      </c>
      <c r="J55" s="11" t="s">
        <v>888</v>
      </c>
      <c r="K55" s="11" t="s">
        <v>889</v>
      </c>
      <c r="L55" s="11" t="s">
        <v>890</v>
      </c>
      <c r="M55" s="8" t="s">
        <v>891</v>
      </c>
      <c r="N55" s="37" t="s">
        <v>892</v>
      </c>
      <c r="O55" s="37" t="s">
        <v>62</v>
      </c>
      <c r="P55" s="6"/>
      <c r="Q55" s="9" t="s">
        <v>59</v>
      </c>
      <c r="R55" s="6" t="s">
        <v>59</v>
      </c>
      <c r="S55" s="10" t="b">
        <v>0</v>
      </c>
      <c r="T55" s="10" t="b">
        <v>0</v>
      </c>
      <c r="U55" s="12" t="s">
        <v>63</v>
      </c>
      <c r="V55" s="6" t="s">
        <v>63</v>
      </c>
      <c r="W55" s="6" t="s">
        <v>63</v>
      </c>
      <c r="X55" s="6" t="s">
        <v>63</v>
      </c>
      <c r="Y55" s="12" t="b">
        <v>0</v>
      </c>
      <c r="Z55" s="10" t="s">
        <v>63</v>
      </c>
      <c r="AA55" s="13" t="s">
        <v>63</v>
      </c>
      <c r="AB55" s="10" t="s">
        <v>63</v>
      </c>
      <c r="AC55" s="10" t="s">
        <v>63</v>
      </c>
      <c r="AD55" s="12" t="b">
        <v>0</v>
      </c>
      <c r="AE55" s="10" t="s">
        <v>63</v>
      </c>
      <c r="AF55" s="13" t="s">
        <v>63</v>
      </c>
      <c r="AG55" s="10" t="s">
        <v>63</v>
      </c>
      <c r="AH55" s="10" t="s">
        <v>63</v>
      </c>
      <c r="AI55" s="12" t="b">
        <v>0</v>
      </c>
      <c r="AJ55" s="10" t="s">
        <v>63</v>
      </c>
      <c r="AK55" s="13" t="s">
        <v>63</v>
      </c>
      <c r="AL55" s="10" t="s">
        <v>63</v>
      </c>
      <c r="AM55" s="10" t="s">
        <v>63</v>
      </c>
      <c r="AN55" s="9" t="b">
        <v>1</v>
      </c>
      <c r="AO55" s="9" t="b">
        <v>0</v>
      </c>
      <c r="AP55" s="14" t="s">
        <v>893</v>
      </c>
      <c r="AQ55" s="9" t="s">
        <v>65</v>
      </c>
      <c r="AR55" s="9" t="s">
        <v>65</v>
      </c>
      <c r="AS55" s="6"/>
      <c r="AT55" s="6"/>
      <c r="AU55" s="6"/>
      <c r="AV55" s="6"/>
      <c r="AW55" s="6"/>
      <c r="AX55" s="6"/>
      <c r="AY55" s="6"/>
      <c r="AZ55" s="6"/>
      <c r="BA55" s="6"/>
    </row>
    <row r="56" ht="22.5" customHeight="1">
      <c r="A56" s="7" t="s">
        <v>894</v>
      </c>
      <c r="B56" s="8" t="s">
        <v>895</v>
      </c>
      <c r="C56" s="8" t="s">
        <v>896</v>
      </c>
      <c r="D56" s="9" t="s">
        <v>897</v>
      </c>
      <c r="E56" s="9" t="s">
        <v>898</v>
      </c>
      <c r="F56" s="9" t="s">
        <v>899</v>
      </c>
      <c r="G56" s="6" t="s">
        <v>900</v>
      </c>
      <c r="H56" s="37" t="b">
        <v>0</v>
      </c>
      <c r="I56" s="11" t="s">
        <v>901</v>
      </c>
      <c r="J56" s="11" t="s">
        <v>902</v>
      </c>
      <c r="K56" s="11" t="s">
        <v>903</v>
      </c>
      <c r="L56" s="11" t="s">
        <v>904</v>
      </c>
      <c r="M56" s="8" t="s">
        <v>380</v>
      </c>
      <c r="N56" s="6" t="s">
        <v>905</v>
      </c>
      <c r="O56" s="6" t="s">
        <v>79</v>
      </c>
      <c r="P56" s="6"/>
      <c r="Q56" s="9" t="s">
        <v>80</v>
      </c>
      <c r="R56" s="6" t="s">
        <v>133</v>
      </c>
      <c r="S56" s="10" t="b">
        <v>0</v>
      </c>
      <c r="T56" s="15" t="b">
        <v>1</v>
      </c>
      <c r="U56" s="15" t="b">
        <v>0</v>
      </c>
      <c r="V56" s="28" t="s">
        <v>906</v>
      </c>
      <c r="W56" s="8" t="s">
        <v>65</v>
      </c>
      <c r="X56" s="8" t="s">
        <v>65</v>
      </c>
      <c r="Y56" s="10" t="b">
        <v>1</v>
      </c>
      <c r="Z56" s="12" t="b">
        <v>0</v>
      </c>
      <c r="AA56" s="28" t="s">
        <v>907</v>
      </c>
      <c r="AB56" s="9" t="s">
        <v>769</v>
      </c>
      <c r="AC56" s="9" t="s">
        <v>79</v>
      </c>
      <c r="AD56" s="10" t="b">
        <v>1</v>
      </c>
      <c r="AE56" s="15" t="b">
        <v>0</v>
      </c>
      <c r="AF56" s="28" t="s">
        <v>908</v>
      </c>
      <c r="AG56" s="8" t="s">
        <v>65</v>
      </c>
      <c r="AH56" s="8" t="s">
        <v>65</v>
      </c>
      <c r="AI56" s="10" t="b">
        <v>1</v>
      </c>
      <c r="AJ56" s="9" t="b">
        <v>0</v>
      </c>
      <c r="AK56" s="28" t="s">
        <v>907</v>
      </c>
      <c r="AL56" s="9" t="s">
        <v>769</v>
      </c>
      <c r="AM56" s="9" t="s">
        <v>79</v>
      </c>
      <c r="AN56" s="9" t="b">
        <v>1</v>
      </c>
      <c r="AO56" s="9" t="b">
        <v>0</v>
      </c>
      <c r="AP56" s="14" t="s">
        <v>909</v>
      </c>
      <c r="AQ56" s="9" t="s">
        <v>103</v>
      </c>
      <c r="AR56" s="9" t="s">
        <v>86</v>
      </c>
      <c r="AS56" s="6"/>
      <c r="AT56" s="6"/>
      <c r="AU56" s="6"/>
      <c r="AV56" s="6"/>
      <c r="AW56" s="6"/>
      <c r="AX56" s="6"/>
      <c r="AY56" s="6"/>
      <c r="AZ56" s="6"/>
      <c r="BA56" s="6"/>
    </row>
    <row r="57" ht="22.5" customHeight="1">
      <c r="A57" s="7" t="s">
        <v>910</v>
      </c>
      <c r="B57" s="8" t="s">
        <v>911</v>
      </c>
      <c r="C57" s="8" t="s">
        <v>912</v>
      </c>
      <c r="D57" s="9" t="s">
        <v>913</v>
      </c>
      <c r="E57" s="9" t="s">
        <v>914</v>
      </c>
      <c r="F57" s="9" t="s">
        <v>915</v>
      </c>
      <c r="G57" s="6" t="s">
        <v>916</v>
      </c>
      <c r="H57" s="25" t="b">
        <v>0</v>
      </c>
      <c r="I57" s="37" t="s">
        <v>917</v>
      </c>
      <c r="J57" s="37" t="s">
        <v>918</v>
      </c>
      <c r="K57" s="6" t="s">
        <v>919</v>
      </c>
      <c r="L57" s="6" t="s">
        <v>917</v>
      </c>
      <c r="M57" s="8" t="s">
        <v>920</v>
      </c>
      <c r="N57" s="6" t="s">
        <v>57</v>
      </c>
      <c r="O57" s="6" t="s">
        <v>58</v>
      </c>
      <c r="P57" s="6"/>
      <c r="Q57" s="9" t="s">
        <v>80</v>
      </c>
      <c r="R57" s="8" t="s">
        <v>81</v>
      </c>
      <c r="S57" s="10" t="b">
        <v>0</v>
      </c>
      <c r="T57" s="15" t="b">
        <v>1</v>
      </c>
      <c r="U57" s="15" t="b">
        <v>0</v>
      </c>
      <c r="V57" s="28" t="s">
        <v>921</v>
      </c>
      <c r="W57" s="8" t="s">
        <v>922</v>
      </c>
      <c r="X57" s="8" t="s">
        <v>79</v>
      </c>
      <c r="Y57" s="10" t="b">
        <v>1</v>
      </c>
      <c r="Z57" s="15" t="b">
        <v>0</v>
      </c>
      <c r="AA57" s="28" t="s">
        <v>923</v>
      </c>
      <c r="AB57" s="8" t="s">
        <v>103</v>
      </c>
      <c r="AC57" s="8" t="s">
        <v>86</v>
      </c>
      <c r="AD57" s="10" t="b">
        <v>1</v>
      </c>
      <c r="AE57" s="15" t="b">
        <v>0</v>
      </c>
      <c r="AF57" s="28" t="s">
        <v>923</v>
      </c>
      <c r="AG57" s="8" t="s">
        <v>103</v>
      </c>
      <c r="AH57" s="8" t="s">
        <v>86</v>
      </c>
      <c r="AI57" s="10" t="b">
        <v>1</v>
      </c>
      <c r="AJ57" s="15" t="b">
        <v>0</v>
      </c>
      <c r="AK57" s="28" t="s">
        <v>923</v>
      </c>
      <c r="AL57" s="8" t="s">
        <v>103</v>
      </c>
      <c r="AM57" s="8" t="s">
        <v>86</v>
      </c>
      <c r="AN57" s="9" t="b">
        <v>1</v>
      </c>
      <c r="AO57" s="9" t="b">
        <v>0</v>
      </c>
      <c r="AP57" s="14" t="s">
        <v>924</v>
      </c>
      <c r="AQ57" s="9" t="s">
        <v>65</v>
      </c>
      <c r="AR57" s="9" t="s">
        <v>65</v>
      </c>
      <c r="AS57" s="6"/>
      <c r="AT57" s="6"/>
      <c r="AU57" s="6"/>
      <c r="AV57" s="6"/>
      <c r="AW57" s="6"/>
      <c r="AX57" s="6"/>
      <c r="AY57" s="6"/>
      <c r="AZ57" s="6"/>
      <c r="BA57" s="6"/>
    </row>
    <row r="58" ht="22.5" customHeight="1">
      <c r="A58" s="7" t="s">
        <v>925</v>
      </c>
      <c r="B58" s="8" t="s">
        <v>926</v>
      </c>
      <c r="C58" s="8" t="s">
        <v>927</v>
      </c>
      <c r="D58" s="9" t="s">
        <v>928</v>
      </c>
      <c r="E58" s="9" t="s">
        <v>929</v>
      </c>
      <c r="F58" s="9" t="s">
        <v>930</v>
      </c>
      <c r="G58" s="6" t="s">
        <v>931</v>
      </c>
      <c r="H58" s="37" t="b">
        <v>1</v>
      </c>
      <c r="I58" s="25" t="s">
        <v>932</v>
      </c>
      <c r="J58" s="25" t="s">
        <v>933</v>
      </c>
      <c r="K58" s="11" t="s">
        <v>934</v>
      </c>
      <c r="L58" s="6" t="s">
        <v>932</v>
      </c>
      <c r="M58" s="6" t="s">
        <v>935</v>
      </c>
      <c r="N58" s="6" t="s">
        <v>57</v>
      </c>
      <c r="O58" s="6" t="s">
        <v>58</v>
      </c>
      <c r="P58" s="6"/>
      <c r="Q58" s="9" t="s">
        <v>80</v>
      </c>
      <c r="R58" s="6" t="s">
        <v>118</v>
      </c>
      <c r="S58" s="10" t="b">
        <v>0</v>
      </c>
      <c r="T58" s="10" t="b">
        <v>0</v>
      </c>
      <c r="U58" s="10" t="b">
        <v>0</v>
      </c>
      <c r="V58" s="6" t="s">
        <v>63</v>
      </c>
      <c r="W58" s="6" t="s">
        <v>104</v>
      </c>
      <c r="X58" s="6" t="s">
        <v>63</v>
      </c>
      <c r="Y58" s="10" t="b">
        <v>0</v>
      </c>
      <c r="Z58" s="15" t="s">
        <v>63</v>
      </c>
      <c r="AA58" s="6" t="s">
        <v>63</v>
      </c>
      <c r="AB58" s="10" t="s">
        <v>63</v>
      </c>
      <c r="AC58" s="10" t="s">
        <v>63</v>
      </c>
      <c r="AD58" s="10" t="b">
        <v>0</v>
      </c>
      <c r="AE58" s="15" t="s">
        <v>63</v>
      </c>
      <c r="AF58" s="6" t="s">
        <v>63</v>
      </c>
      <c r="AG58" s="6" t="s">
        <v>63</v>
      </c>
      <c r="AH58" s="6" t="s">
        <v>63</v>
      </c>
      <c r="AI58" s="10" t="b">
        <v>0</v>
      </c>
      <c r="AJ58" s="10" t="s">
        <v>63</v>
      </c>
      <c r="AK58" s="6" t="s">
        <v>63</v>
      </c>
      <c r="AL58" s="6" t="s">
        <v>63</v>
      </c>
      <c r="AM58" s="6" t="s">
        <v>63</v>
      </c>
      <c r="AN58" s="9" t="b">
        <v>0</v>
      </c>
      <c r="AO58" s="12" t="s">
        <v>63</v>
      </c>
      <c r="AP58" s="12" t="s">
        <v>63</v>
      </c>
      <c r="AQ58" s="12" t="s">
        <v>63</v>
      </c>
      <c r="AR58" s="12" t="s">
        <v>63</v>
      </c>
      <c r="AS58" s="6"/>
      <c r="AT58" s="6"/>
      <c r="AU58" s="6"/>
      <c r="AV58" s="6"/>
      <c r="AW58" s="6"/>
      <c r="AX58" s="6"/>
      <c r="AY58" s="6"/>
      <c r="AZ58" s="6"/>
      <c r="BA58" s="6"/>
    </row>
    <row r="59" ht="22.5" customHeight="1">
      <c r="A59" s="7" t="s">
        <v>936</v>
      </c>
      <c r="B59" s="8" t="s">
        <v>937</v>
      </c>
      <c r="C59" s="8" t="s">
        <v>938</v>
      </c>
      <c r="D59" s="9" t="s">
        <v>939</v>
      </c>
      <c r="E59" s="9" t="s">
        <v>940</v>
      </c>
      <c r="F59" s="9" t="s">
        <v>941</v>
      </c>
      <c r="G59" s="6" t="s">
        <v>942</v>
      </c>
      <c r="H59" s="37" t="b">
        <v>1</v>
      </c>
      <c r="I59" s="37" t="s">
        <v>943</v>
      </c>
      <c r="J59" s="37" t="s">
        <v>944</v>
      </c>
      <c r="K59" s="6" t="s">
        <v>945</v>
      </c>
      <c r="L59" s="6" t="s">
        <v>943</v>
      </c>
      <c r="M59" s="9" t="s">
        <v>946</v>
      </c>
      <c r="N59" s="6" t="s">
        <v>57</v>
      </c>
      <c r="O59" s="39" t="s">
        <v>58</v>
      </c>
      <c r="P59" s="6"/>
      <c r="Q59" s="9" t="s">
        <v>80</v>
      </c>
      <c r="R59" s="6" t="s">
        <v>133</v>
      </c>
      <c r="S59" s="10" t="b">
        <v>0</v>
      </c>
      <c r="T59" s="10" t="b">
        <v>1</v>
      </c>
      <c r="U59" s="10" t="b">
        <v>0</v>
      </c>
      <c r="V59" s="14" t="s">
        <v>947</v>
      </c>
      <c r="W59" s="9" t="s">
        <v>948</v>
      </c>
      <c r="X59" s="6" t="s">
        <v>189</v>
      </c>
      <c r="Y59" s="15" t="b">
        <v>1</v>
      </c>
      <c r="Z59" s="10" t="b">
        <v>0</v>
      </c>
      <c r="AA59" s="11" t="s">
        <v>949</v>
      </c>
      <c r="AB59" s="9" t="s">
        <v>950</v>
      </c>
      <c r="AC59" s="9" t="s">
        <v>469</v>
      </c>
      <c r="AD59" s="15" t="b">
        <v>1</v>
      </c>
      <c r="AE59" s="9" t="b">
        <v>0</v>
      </c>
      <c r="AF59" s="11" t="s">
        <v>951</v>
      </c>
      <c r="AG59" s="9" t="s">
        <v>952</v>
      </c>
      <c r="AH59" s="9" t="s">
        <v>79</v>
      </c>
      <c r="AI59" s="15" t="b">
        <v>1</v>
      </c>
      <c r="AJ59" s="10" t="b">
        <v>0</v>
      </c>
      <c r="AK59" s="11" t="s">
        <v>949</v>
      </c>
      <c r="AL59" s="9" t="s">
        <v>950</v>
      </c>
      <c r="AM59" s="9" t="s">
        <v>469</v>
      </c>
      <c r="AN59" s="9" t="b">
        <v>1</v>
      </c>
      <c r="AO59" s="9" t="b">
        <v>0</v>
      </c>
      <c r="AP59" s="14" t="s">
        <v>953</v>
      </c>
      <c r="AQ59" s="9" t="s">
        <v>65</v>
      </c>
      <c r="AR59" s="9" t="s">
        <v>65</v>
      </c>
      <c r="AS59" s="6"/>
      <c r="AT59" s="6"/>
      <c r="AU59" s="6"/>
      <c r="AV59" s="6"/>
      <c r="AW59" s="6"/>
      <c r="AX59" s="6"/>
      <c r="AY59" s="6"/>
      <c r="AZ59" s="6"/>
      <c r="BA59" s="6"/>
    </row>
    <row r="60" ht="22.5" customHeight="1">
      <c r="A60" s="7" t="s">
        <v>954</v>
      </c>
      <c r="B60" s="8" t="s">
        <v>955</v>
      </c>
      <c r="C60" s="8" t="s">
        <v>956</v>
      </c>
      <c r="D60" s="9" t="s">
        <v>957</v>
      </c>
      <c r="E60" s="9" t="s">
        <v>958</v>
      </c>
      <c r="F60" s="9" t="s">
        <v>959</v>
      </c>
      <c r="G60" s="6" t="s">
        <v>960</v>
      </c>
      <c r="H60" s="10" t="b">
        <v>1</v>
      </c>
      <c r="I60" s="6" t="s">
        <v>961</v>
      </c>
      <c r="J60" s="37" t="s">
        <v>962</v>
      </c>
      <c r="K60" s="37" t="s">
        <v>963</v>
      </c>
      <c r="L60" s="37" t="s">
        <v>964</v>
      </c>
      <c r="M60" s="25" t="s">
        <v>364</v>
      </c>
      <c r="N60" s="37" t="s">
        <v>268</v>
      </c>
      <c r="O60" s="37" t="s">
        <v>170</v>
      </c>
      <c r="P60" s="6"/>
      <c r="Q60" s="9" t="s">
        <v>80</v>
      </c>
      <c r="R60" s="9" t="s">
        <v>312</v>
      </c>
      <c r="S60" s="10" t="b">
        <v>0</v>
      </c>
      <c r="T60" s="15" t="b">
        <v>1</v>
      </c>
      <c r="U60" s="15" t="b">
        <v>0</v>
      </c>
      <c r="V60" s="28" t="s">
        <v>965</v>
      </c>
      <c r="W60" s="8" t="s">
        <v>65</v>
      </c>
      <c r="X60" s="8" t="s">
        <v>65</v>
      </c>
      <c r="Y60" s="10" t="b">
        <v>1</v>
      </c>
      <c r="Z60" s="10" t="b">
        <v>1</v>
      </c>
      <c r="AA60" s="28" t="s">
        <v>966</v>
      </c>
      <c r="AB60" s="9" t="s">
        <v>967</v>
      </c>
      <c r="AC60" s="9" t="s">
        <v>469</v>
      </c>
      <c r="AD60" s="15" t="b">
        <v>1</v>
      </c>
      <c r="AE60" s="12" t="b">
        <v>0</v>
      </c>
      <c r="AF60" s="28" t="s">
        <v>968</v>
      </c>
      <c r="AG60" s="8" t="s">
        <v>65</v>
      </c>
      <c r="AH60" s="8" t="s">
        <v>65</v>
      </c>
      <c r="AI60" s="15" t="b">
        <v>1</v>
      </c>
      <c r="AJ60" s="10" t="b">
        <v>1</v>
      </c>
      <c r="AK60" s="28" t="s">
        <v>966</v>
      </c>
      <c r="AL60" s="9" t="s">
        <v>967</v>
      </c>
      <c r="AM60" s="9" t="s">
        <v>469</v>
      </c>
      <c r="AN60" s="9" t="b">
        <v>1</v>
      </c>
      <c r="AO60" s="9" t="b">
        <v>0</v>
      </c>
      <c r="AP60" s="14" t="s">
        <v>969</v>
      </c>
      <c r="AQ60" s="9" t="s">
        <v>65</v>
      </c>
      <c r="AR60" s="9" t="s">
        <v>65</v>
      </c>
      <c r="AS60" s="6"/>
      <c r="AT60" s="6"/>
      <c r="AU60" s="6"/>
      <c r="AV60" s="6"/>
      <c r="AW60" s="6"/>
      <c r="AX60" s="6"/>
      <c r="AY60" s="6"/>
      <c r="AZ60" s="6"/>
      <c r="BA60" s="6"/>
    </row>
    <row r="61" ht="22.5" customHeight="1">
      <c r="A61" s="7" t="s">
        <v>970</v>
      </c>
      <c r="B61" s="8" t="s">
        <v>971</v>
      </c>
      <c r="C61" s="8" t="s">
        <v>972</v>
      </c>
      <c r="D61" s="9" t="s">
        <v>973</v>
      </c>
      <c r="E61" s="9" t="s">
        <v>974</v>
      </c>
      <c r="F61" s="9" t="s">
        <v>975</v>
      </c>
      <c r="G61" s="6" t="s">
        <v>180</v>
      </c>
      <c r="H61" s="10" t="b">
        <v>0</v>
      </c>
      <c r="I61" s="6" t="s">
        <v>976</v>
      </c>
      <c r="J61" s="37" t="s">
        <v>977</v>
      </c>
      <c r="K61" s="37" t="s">
        <v>978</v>
      </c>
      <c r="L61" s="25" t="s">
        <v>979</v>
      </c>
      <c r="M61" s="37" t="s">
        <v>980</v>
      </c>
      <c r="N61" s="37" t="s">
        <v>103</v>
      </c>
      <c r="O61" s="37" t="s">
        <v>86</v>
      </c>
      <c r="P61" s="6"/>
      <c r="Q61" s="9" t="s">
        <v>59</v>
      </c>
      <c r="R61" s="6" t="s">
        <v>59</v>
      </c>
      <c r="S61" s="10" t="b">
        <v>0</v>
      </c>
      <c r="T61" s="10" t="b">
        <v>1</v>
      </c>
      <c r="U61" s="10" t="b">
        <v>0</v>
      </c>
      <c r="V61" s="11" t="s">
        <v>981</v>
      </c>
      <c r="W61" s="6" t="s">
        <v>188</v>
      </c>
      <c r="X61" s="6" t="s">
        <v>189</v>
      </c>
      <c r="Y61" s="12" t="b">
        <v>0</v>
      </c>
      <c r="Z61" s="10" t="s">
        <v>63</v>
      </c>
      <c r="AA61" s="13" t="s">
        <v>63</v>
      </c>
      <c r="AB61" s="10" t="s">
        <v>63</v>
      </c>
      <c r="AC61" s="10" t="s">
        <v>63</v>
      </c>
      <c r="AD61" s="12" t="b">
        <v>0</v>
      </c>
      <c r="AE61" s="10" t="s">
        <v>63</v>
      </c>
      <c r="AF61" s="13" t="s">
        <v>63</v>
      </c>
      <c r="AG61" s="10" t="s">
        <v>63</v>
      </c>
      <c r="AH61" s="10" t="s">
        <v>63</v>
      </c>
      <c r="AI61" s="12" t="b">
        <v>0</v>
      </c>
      <c r="AJ61" s="10" t="s">
        <v>63</v>
      </c>
      <c r="AK61" s="13" t="s">
        <v>63</v>
      </c>
      <c r="AL61" s="10" t="s">
        <v>63</v>
      </c>
      <c r="AM61" s="10" t="s">
        <v>63</v>
      </c>
      <c r="AN61" s="9" t="b">
        <v>1</v>
      </c>
      <c r="AO61" s="9" t="b">
        <v>1</v>
      </c>
      <c r="AP61" s="14" t="s">
        <v>982</v>
      </c>
      <c r="AQ61" s="9" t="s">
        <v>103</v>
      </c>
      <c r="AR61" s="9" t="s">
        <v>86</v>
      </c>
      <c r="AS61" s="6"/>
      <c r="AT61" s="6"/>
      <c r="AU61" s="6"/>
      <c r="AV61" s="6"/>
      <c r="AW61" s="6"/>
      <c r="AX61" s="6"/>
      <c r="AY61" s="6"/>
      <c r="AZ61" s="6"/>
      <c r="BA61" s="6"/>
    </row>
    <row r="62" ht="22.5" customHeight="1">
      <c r="A62" s="7" t="s">
        <v>983</v>
      </c>
      <c r="B62" s="8" t="s">
        <v>984</v>
      </c>
      <c r="C62" s="8" t="s">
        <v>985</v>
      </c>
      <c r="D62" s="9" t="s">
        <v>986</v>
      </c>
      <c r="E62" s="9" t="s">
        <v>987</v>
      </c>
      <c r="F62" s="9" t="s">
        <v>988</v>
      </c>
      <c r="G62" s="6" t="s">
        <v>989</v>
      </c>
      <c r="H62" s="10" t="b">
        <v>1</v>
      </c>
      <c r="I62" s="6" t="s">
        <v>990</v>
      </c>
      <c r="J62" s="37" t="s">
        <v>991</v>
      </c>
      <c r="K62" s="40" t="s">
        <v>992</v>
      </c>
      <c r="L62" s="37" t="s">
        <v>990</v>
      </c>
      <c r="M62" s="25" t="s">
        <v>117</v>
      </c>
      <c r="N62" s="37" t="s">
        <v>186</v>
      </c>
      <c r="O62" s="37" t="s">
        <v>58</v>
      </c>
      <c r="P62" s="6"/>
      <c r="Q62" s="9" t="s">
        <v>80</v>
      </c>
      <c r="R62" s="6" t="s">
        <v>118</v>
      </c>
      <c r="S62" s="10" t="b">
        <v>0</v>
      </c>
      <c r="T62" s="15" t="b">
        <v>1</v>
      </c>
      <c r="U62" s="15" t="b">
        <v>0</v>
      </c>
      <c r="V62" s="28" t="s">
        <v>993</v>
      </c>
      <c r="W62" s="8" t="s">
        <v>994</v>
      </c>
      <c r="X62" s="8" t="s">
        <v>62</v>
      </c>
      <c r="Y62" s="10" t="b">
        <v>0</v>
      </c>
      <c r="Z62" s="15" t="s">
        <v>63</v>
      </c>
      <c r="AA62" s="8" t="s">
        <v>63</v>
      </c>
      <c r="AB62" s="10" t="s">
        <v>63</v>
      </c>
      <c r="AC62" s="10" t="s">
        <v>63</v>
      </c>
      <c r="AD62" s="10" t="b">
        <v>0</v>
      </c>
      <c r="AE62" s="15" t="s">
        <v>63</v>
      </c>
      <c r="AF62" s="8" t="s">
        <v>63</v>
      </c>
      <c r="AG62" s="8" t="s">
        <v>63</v>
      </c>
      <c r="AH62" s="8" t="s">
        <v>63</v>
      </c>
      <c r="AI62" s="10" t="b">
        <v>0</v>
      </c>
      <c r="AJ62" s="10" t="s">
        <v>63</v>
      </c>
      <c r="AK62" s="8" t="s">
        <v>63</v>
      </c>
      <c r="AL62" s="8" t="s">
        <v>63</v>
      </c>
      <c r="AM62" s="8" t="s">
        <v>63</v>
      </c>
      <c r="AN62" s="9" t="b">
        <v>1</v>
      </c>
      <c r="AO62" s="9" t="b">
        <v>0</v>
      </c>
      <c r="AP62" s="14" t="s">
        <v>995</v>
      </c>
      <c r="AQ62" s="9" t="s">
        <v>65</v>
      </c>
      <c r="AR62" s="9" t="s">
        <v>65</v>
      </c>
      <c r="AS62" s="6"/>
      <c r="AT62" s="6"/>
      <c r="AU62" s="6"/>
      <c r="AV62" s="6"/>
      <c r="AW62" s="6"/>
      <c r="AX62" s="6"/>
      <c r="AY62" s="6"/>
      <c r="AZ62" s="6"/>
      <c r="BA62" s="6"/>
    </row>
    <row r="63" ht="22.5" customHeight="1">
      <c r="A63" s="7" t="s">
        <v>996</v>
      </c>
      <c r="B63" s="8" t="s">
        <v>997</v>
      </c>
      <c r="C63" s="26" t="s">
        <v>998</v>
      </c>
      <c r="D63" s="9" t="s">
        <v>999</v>
      </c>
      <c r="E63" s="9" t="s">
        <v>1000</v>
      </c>
      <c r="F63" s="9" t="s">
        <v>1001</v>
      </c>
      <c r="G63" s="6" t="s">
        <v>1002</v>
      </c>
      <c r="H63" s="10" t="b">
        <v>1</v>
      </c>
      <c r="I63" s="8" t="s">
        <v>1003</v>
      </c>
      <c r="J63" s="37" t="s">
        <v>1004</v>
      </c>
      <c r="K63" s="37" t="s">
        <v>1005</v>
      </c>
      <c r="L63" s="37" t="s">
        <v>1003</v>
      </c>
      <c r="M63" s="33" t="s">
        <v>1006</v>
      </c>
      <c r="N63" s="37" t="s">
        <v>186</v>
      </c>
      <c r="O63" s="37" t="s">
        <v>1007</v>
      </c>
      <c r="P63" s="8"/>
      <c r="Q63" s="9" t="s">
        <v>80</v>
      </c>
      <c r="R63" s="8" t="s">
        <v>1008</v>
      </c>
      <c r="S63" s="10" t="b">
        <v>0</v>
      </c>
      <c r="T63" s="15" t="b">
        <v>1</v>
      </c>
      <c r="U63" s="12" t="b">
        <v>1</v>
      </c>
      <c r="V63" s="28" t="s">
        <v>1009</v>
      </c>
      <c r="W63" s="8" t="s">
        <v>186</v>
      </c>
      <c r="X63" s="8" t="s">
        <v>58</v>
      </c>
      <c r="Y63" s="10" t="b">
        <v>1</v>
      </c>
      <c r="Z63" s="10" t="b">
        <v>1</v>
      </c>
      <c r="AA63" s="14" t="s">
        <v>1010</v>
      </c>
      <c r="AB63" s="41" t="s">
        <v>186</v>
      </c>
      <c r="AC63" s="41" t="s">
        <v>58</v>
      </c>
      <c r="AD63" s="10" t="b">
        <v>1</v>
      </c>
      <c r="AE63" s="15" t="b">
        <v>0</v>
      </c>
      <c r="AF63" s="28" t="s">
        <v>1011</v>
      </c>
      <c r="AG63" s="8" t="s">
        <v>65</v>
      </c>
      <c r="AH63" s="8" t="s">
        <v>65</v>
      </c>
      <c r="AI63" s="10" t="b">
        <v>1</v>
      </c>
      <c r="AJ63" s="10" t="b">
        <v>1</v>
      </c>
      <c r="AK63" s="14" t="s">
        <v>1010</v>
      </c>
      <c r="AL63" s="41" t="s">
        <v>186</v>
      </c>
      <c r="AM63" s="41" t="s">
        <v>58</v>
      </c>
      <c r="AN63" s="9" t="b">
        <v>1</v>
      </c>
      <c r="AO63" s="9" t="b">
        <v>0</v>
      </c>
      <c r="AP63" s="14" t="s">
        <v>1012</v>
      </c>
      <c r="AQ63" s="9" t="s">
        <v>65</v>
      </c>
      <c r="AR63" s="9" t="s">
        <v>65</v>
      </c>
      <c r="AS63" s="6"/>
      <c r="AT63" s="6"/>
      <c r="AU63" s="6"/>
      <c r="AV63" s="6"/>
      <c r="AW63" s="6"/>
      <c r="AX63" s="6"/>
      <c r="AY63" s="6"/>
      <c r="AZ63" s="6"/>
      <c r="BA63" s="6"/>
    </row>
    <row r="64" ht="22.5" customHeight="1">
      <c r="A64" s="7" t="s">
        <v>1013</v>
      </c>
      <c r="B64" s="35" t="s">
        <v>1014</v>
      </c>
      <c r="C64" s="32" t="s">
        <v>1015</v>
      </c>
      <c r="D64" s="9" t="s">
        <v>1016</v>
      </c>
      <c r="E64" s="9" t="s">
        <v>1017</v>
      </c>
      <c r="F64" s="9" t="s">
        <v>1018</v>
      </c>
      <c r="G64" s="6" t="s">
        <v>1019</v>
      </c>
      <c r="H64" s="10" t="b">
        <v>1</v>
      </c>
      <c r="I64" s="6" t="s">
        <v>1020</v>
      </c>
      <c r="J64" s="37" t="s">
        <v>1021</v>
      </c>
      <c r="K64" s="37" t="s">
        <v>1022</v>
      </c>
      <c r="L64" s="37" t="s">
        <v>1021</v>
      </c>
      <c r="M64" s="25" t="s">
        <v>1023</v>
      </c>
      <c r="N64" s="37" t="s">
        <v>268</v>
      </c>
      <c r="O64" s="37" t="s">
        <v>170</v>
      </c>
      <c r="P64" s="6"/>
      <c r="Q64" s="9" t="s">
        <v>80</v>
      </c>
      <c r="R64" s="8" t="s">
        <v>133</v>
      </c>
      <c r="S64" s="10" t="b">
        <v>0</v>
      </c>
      <c r="T64" s="15" t="b">
        <v>1</v>
      </c>
      <c r="U64" s="15" t="b">
        <v>0</v>
      </c>
      <c r="V64" s="28" t="s">
        <v>1024</v>
      </c>
      <c r="W64" s="8" t="s">
        <v>65</v>
      </c>
      <c r="X64" s="8" t="s">
        <v>65</v>
      </c>
      <c r="Y64" s="10" t="b">
        <v>1</v>
      </c>
      <c r="Z64" s="10" t="b">
        <v>0</v>
      </c>
      <c r="AA64" s="28" t="s">
        <v>1025</v>
      </c>
      <c r="AB64" s="8" t="s">
        <v>65</v>
      </c>
      <c r="AC64" s="8" t="s">
        <v>65</v>
      </c>
      <c r="AD64" s="10" t="b">
        <v>1</v>
      </c>
      <c r="AE64" s="15" t="b">
        <v>0</v>
      </c>
      <c r="AF64" s="28" t="s">
        <v>1026</v>
      </c>
      <c r="AG64" s="8" t="s">
        <v>65</v>
      </c>
      <c r="AH64" s="8" t="s">
        <v>65</v>
      </c>
      <c r="AI64" s="10" t="b">
        <v>1</v>
      </c>
      <c r="AJ64" s="15" t="b">
        <v>0</v>
      </c>
      <c r="AK64" s="28" t="s">
        <v>1025</v>
      </c>
      <c r="AL64" s="8" t="s">
        <v>65</v>
      </c>
      <c r="AM64" s="24" t="s">
        <v>65</v>
      </c>
      <c r="AN64" s="9" t="b">
        <v>1</v>
      </c>
      <c r="AO64" s="9" t="b">
        <v>0</v>
      </c>
      <c r="AP64" s="14" t="s">
        <v>1027</v>
      </c>
      <c r="AQ64" s="9" t="s">
        <v>65</v>
      </c>
      <c r="AR64" s="9" t="s">
        <v>65</v>
      </c>
      <c r="AS64" s="6"/>
      <c r="AT64" s="6"/>
      <c r="AU64" s="6"/>
      <c r="AV64" s="6"/>
      <c r="AW64" s="6"/>
      <c r="AX64" s="6"/>
      <c r="AY64" s="6"/>
      <c r="AZ64" s="6"/>
      <c r="BA64" s="6"/>
    </row>
    <row r="65" ht="22.5" customHeight="1">
      <c r="A65" s="7" t="s">
        <v>1028</v>
      </c>
      <c r="B65" s="8" t="s">
        <v>1029</v>
      </c>
      <c r="C65" s="8" t="s">
        <v>1030</v>
      </c>
      <c r="D65" s="9" t="s">
        <v>1031</v>
      </c>
      <c r="E65" s="9" t="s">
        <v>1032</v>
      </c>
      <c r="F65" s="9" t="s">
        <v>1033</v>
      </c>
      <c r="G65" s="6" t="s">
        <v>1034</v>
      </c>
      <c r="H65" s="10" t="b">
        <v>1</v>
      </c>
      <c r="I65" s="42" t="s">
        <v>1035</v>
      </c>
      <c r="J65" s="37" t="s">
        <v>1036</v>
      </c>
      <c r="K65" s="40" t="s">
        <v>1037</v>
      </c>
      <c r="L65" s="37" t="s">
        <v>1035</v>
      </c>
      <c r="M65" s="37" t="s">
        <v>1038</v>
      </c>
      <c r="N65" s="37" t="s">
        <v>186</v>
      </c>
      <c r="O65" s="37" t="s">
        <v>58</v>
      </c>
      <c r="P65" s="6"/>
      <c r="Q65" s="9" t="s">
        <v>59</v>
      </c>
      <c r="R65" s="8" t="s">
        <v>59</v>
      </c>
      <c r="S65" s="10" t="b">
        <v>0</v>
      </c>
      <c r="T65" s="10" t="b">
        <v>0</v>
      </c>
      <c r="U65" s="10" t="b">
        <v>0</v>
      </c>
      <c r="V65" s="6" t="s">
        <v>63</v>
      </c>
      <c r="W65" s="6" t="s">
        <v>104</v>
      </c>
      <c r="X65" s="6" t="s">
        <v>63</v>
      </c>
      <c r="Y65" s="12" t="b">
        <v>0</v>
      </c>
      <c r="Z65" s="10" t="s">
        <v>63</v>
      </c>
      <c r="AA65" s="13" t="s">
        <v>63</v>
      </c>
      <c r="AB65" s="10" t="s">
        <v>63</v>
      </c>
      <c r="AC65" s="10" t="s">
        <v>63</v>
      </c>
      <c r="AD65" s="12" t="b">
        <v>0</v>
      </c>
      <c r="AE65" s="10" t="s">
        <v>63</v>
      </c>
      <c r="AF65" s="13" t="s">
        <v>63</v>
      </c>
      <c r="AG65" s="10" t="s">
        <v>63</v>
      </c>
      <c r="AH65" s="10" t="s">
        <v>63</v>
      </c>
      <c r="AI65" s="12" t="b">
        <v>0</v>
      </c>
      <c r="AJ65" s="10" t="s">
        <v>63</v>
      </c>
      <c r="AK65" s="13" t="s">
        <v>63</v>
      </c>
      <c r="AL65" s="10" t="s">
        <v>63</v>
      </c>
      <c r="AM65" s="10" t="s">
        <v>63</v>
      </c>
      <c r="AN65" s="9" t="b">
        <v>0</v>
      </c>
      <c r="AO65" s="12" t="s">
        <v>63</v>
      </c>
      <c r="AP65" s="12" t="s">
        <v>63</v>
      </c>
      <c r="AQ65" s="12" t="s">
        <v>63</v>
      </c>
      <c r="AR65" s="12" t="s">
        <v>63</v>
      </c>
      <c r="AS65" s="6"/>
      <c r="AT65" s="6"/>
      <c r="AU65" s="6"/>
      <c r="AV65" s="6"/>
      <c r="AW65" s="6"/>
      <c r="AX65" s="6"/>
      <c r="AY65" s="6"/>
      <c r="AZ65" s="6"/>
      <c r="BA65" s="6"/>
    </row>
    <row r="66" ht="22.5" customHeight="1">
      <c r="A66" s="7" t="s">
        <v>1039</v>
      </c>
      <c r="B66" s="8" t="s">
        <v>1040</v>
      </c>
      <c r="C66" s="8" t="s">
        <v>1041</v>
      </c>
      <c r="D66" s="9" t="s">
        <v>1042</v>
      </c>
      <c r="E66" s="9" t="s">
        <v>1043</v>
      </c>
      <c r="F66" s="9" t="s">
        <v>1044</v>
      </c>
      <c r="G66" s="6" t="s">
        <v>1045</v>
      </c>
      <c r="H66" s="43" t="b">
        <v>1</v>
      </c>
      <c r="I66" s="20" t="s">
        <v>1046</v>
      </c>
      <c r="J66" s="37" t="s">
        <v>1047</v>
      </c>
      <c r="K66" s="40" t="s">
        <v>1048</v>
      </c>
      <c r="L66" s="37" t="s">
        <v>1049</v>
      </c>
      <c r="M66" s="37" t="s">
        <v>117</v>
      </c>
      <c r="N66" s="37" t="s">
        <v>268</v>
      </c>
      <c r="O66" s="37" t="s">
        <v>170</v>
      </c>
      <c r="P66" s="6"/>
      <c r="Q66" s="9" t="s">
        <v>80</v>
      </c>
      <c r="R66" s="6" t="s">
        <v>118</v>
      </c>
      <c r="S66" s="10" t="b">
        <v>0</v>
      </c>
      <c r="T66" s="10" t="b">
        <v>0</v>
      </c>
      <c r="U66" s="12" t="b">
        <v>0</v>
      </c>
      <c r="V66" s="8" t="s">
        <v>63</v>
      </c>
      <c r="W66" s="8" t="s">
        <v>104</v>
      </c>
      <c r="X66" s="8" t="s">
        <v>63</v>
      </c>
      <c r="Y66" s="10" t="b">
        <v>0</v>
      </c>
      <c r="Z66" s="15" t="s">
        <v>63</v>
      </c>
      <c r="AA66" s="8" t="s">
        <v>63</v>
      </c>
      <c r="AB66" s="10" t="s">
        <v>63</v>
      </c>
      <c r="AC66" s="10" t="s">
        <v>63</v>
      </c>
      <c r="AD66" s="10" t="b">
        <v>0</v>
      </c>
      <c r="AE66" s="15" t="s">
        <v>63</v>
      </c>
      <c r="AF66" s="8" t="s">
        <v>63</v>
      </c>
      <c r="AG66" s="15" t="s">
        <v>63</v>
      </c>
      <c r="AH66" s="15" t="s">
        <v>63</v>
      </c>
      <c r="AI66" s="10" t="b">
        <v>0</v>
      </c>
      <c r="AJ66" s="10" t="s">
        <v>63</v>
      </c>
      <c r="AK66" s="8" t="s">
        <v>63</v>
      </c>
      <c r="AL66" s="15" t="s">
        <v>63</v>
      </c>
      <c r="AM66" s="15" t="s">
        <v>63</v>
      </c>
      <c r="AN66" s="9" t="b">
        <v>1</v>
      </c>
      <c r="AO66" s="9" t="b">
        <v>0</v>
      </c>
      <c r="AP66" s="14" t="s">
        <v>1050</v>
      </c>
      <c r="AQ66" s="9" t="s">
        <v>65</v>
      </c>
      <c r="AR66" s="9" t="s">
        <v>65</v>
      </c>
      <c r="AS66" s="6"/>
      <c r="AT66" s="6"/>
      <c r="AU66" s="6"/>
      <c r="AV66" s="6"/>
      <c r="AW66" s="6"/>
      <c r="AX66" s="6"/>
      <c r="AY66" s="6"/>
      <c r="AZ66" s="6"/>
      <c r="BA66" s="6"/>
    </row>
    <row r="67" ht="22.5" customHeight="1">
      <c r="A67" s="7" t="s">
        <v>1051</v>
      </c>
      <c r="B67" s="8" t="s">
        <v>1052</v>
      </c>
      <c r="C67" s="8" t="s">
        <v>1053</v>
      </c>
      <c r="D67" s="9" t="s">
        <v>1054</v>
      </c>
      <c r="E67" s="9" t="s">
        <v>1055</v>
      </c>
      <c r="F67" s="9" t="s">
        <v>1056</v>
      </c>
      <c r="G67" s="44" t="s">
        <v>1057</v>
      </c>
      <c r="H67" s="10" t="b">
        <v>1</v>
      </c>
      <c r="I67" s="11" t="s">
        <v>1058</v>
      </c>
      <c r="J67" s="40" t="s">
        <v>1059</v>
      </c>
      <c r="K67" s="40" t="s">
        <v>1060</v>
      </c>
      <c r="L67" s="40" t="s">
        <v>1058</v>
      </c>
      <c r="M67" s="25" t="s">
        <v>1061</v>
      </c>
      <c r="N67" s="37" t="s">
        <v>186</v>
      </c>
      <c r="O67" s="37" t="s">
        <v>58</v>
      </c>
      <c r="P67" s="6"/>
      <c r="Q67" s="9" t="s">
        <v>59</v>
      </c>
      <c r="R67" s="9" t="s">
        <v>59</v>
      </c>
      <c r="S67" s="10" t="b">
        <v>0</v>
      </c>
      <c r="T67" s="10" t="b">
        <v>0</v>
      </c>
      <c r="U67" s="10" t="b">
        <v>0</v>
      </c>
      <c r="V67" s="6" t="s">
        <v>63</v>
      </c>
      <c r="W67" s="6" t="s">
        <v>104</v>
      </c>
      <c r="X67" s="6" t="s">
        <v>63</v>
      </c>
      <c r="Y67" s="12" t="b">
        <v>0</v>
      </c>
      <c r="Z67" s="10" t="s">
        <v>63</v>
      </c>
      <c r="AA67" s="13" t="s">
        <v>63</v>
      </c>
      <c r="AB67" s="12" t="s">
        <v>63</v>
      </c>
      <c r="AC67" s="12" t="s">
        <v>63</v>
      </c>
      <c r="AD67" s="12" t="b">
        <v>0</v>
      </c>
      <c r="AE67" s="12" t="s">
        <v>63</v>
      </c>
      <c r="AF67" s="6" t="s">
        <v>63</v>
      </c>
      <c r="AG67" s="10" t="s">
        <v>63</v>
      </c>
      <c r="AH67" s="10" t="s">
        <v>63</v>
      </c>
      <c r="AI67" s="12" t="b">
        <v>0</v>
      </c>
      <c r="AJ67" s="10" t="s">
        <v>63</v>
      </c>
      <c r="AK67" s="6" t="s">
        <v>63</v>
      </c>
      <c r="AL67" s="10" t="s">
        <v>63</v>
      </c>
      <c r="AM67" s="10" t="s">
        <v>63</v>
      </c>
      <c r="AN67" s="9" t="b">
        <v>1</v>
      </c>
      <c r="AO67" s="9" t="b">
        <v>0</v>
      </c>
      <c r="AP67" s="14" t="s">
        <v>1062</v>
      </c>
      <c r="AQ67" s="9" t="s">
        <v>65</v>
      </c>
      <c r="AR67" s="9" t="s">
        <v>65</v>
      </c>
      <c r="AS67" s="6"/>
      <c r="AT67" s="6"/>
      <c r="AU67" s="6"/>
      <c r="AV67" s="6"/>
      <c r="AW67" s="6"/>
      <c r="AX67" s="6"/>
      <c r="AY67" s="6"/>
      <c r="AZ67" s="6"/>
      <c r="BA67" s="6"/>
    </row>
    <row r="68" ht="22.5" customHeight="1">
      <c r="A68" s="7" t="s">
        <v>1063</v>
      </c>
      <c r="B68" s="8" t="s">
        <v>1064</v>
      </c>
      <c r="C68" s="8" t="s">
        <v>1065</v>
      </c>
      <c r="D68" s="9" t="s">
        <v>1066</v>
      </c>
      <c r="E68" s="9" t="s">
        <v>1067</v>
      </c>
      <c r="F68" s="9" t="s">
        <v>1068</v>
      </c>
      <c r="G68" s="6" t="s">
        <v>1069</v>
      </c>
      <c r="H68" s="10" t="b">
        <v>1</v>
      </c>
      <c r="I68" s="11" t="s">
        <v>1070</v>
      </c>
      <c r="J68" s="40" t="s">
        <v>1071</v>
      </c>
      <c r="K68" s="37" t="s">
        <v>1072</v>
      </c>
      <c r="L68" s="40" t="s">
        <v>1073</v>
      </c>
      <c r="M68" s="25" t="s">
        <v>1074</v>
      </c>
      <c r="N68" s="33" t="s">
        <v>1075</v>
      </c>
      <c r="O68" s="37" t="s">
        <v>79</v>
      </c>
      <c r="P68" s="6"/>
      <c r="Q68" s="9" t="s">
        <v>80</v>
      </c>
      <c r="R68" s="8" t="s">
        <v>312</v>
      </c>
      <c r="S68" s="10" t="b">
        <v>0</v>
      </c>
      <c r="T68" s="15" t="b">
        <v>1</v>
      </c>
      <c r="U68" s="10" t="b">
        <v>0</v>
      </c>
      <c r="V68" s="28" t="s">
        <v>1076</v>
      </c>
      <c r="W68" s="8" t="s">
        <v>186</v>
      </c>
      <c r="X68" s="8" t="s">
        <v>58</v>
      </c>
      <c r="Y68" s="10" t="b">
        <v>1</v>
      </c>
      <c r="Z68" s="10" t="b">
        <v>1</v>
      </c>
      <c r="AA68" s="28" t="s">
        <v>1077</v>
      </c>
      <c r="AB68" s="9" t="s">
        <v>1078</v>
      </c>
      <c r="AC68" s="9" t="s">
        <v>62</v>
      </c>
      <c r="AD68" s="10" t="b">
        <v>1</v>
      </c>
      <c r="AE68" s="10" t="b">
        <v>0</v>
      </c>
      <c r="AF68" s="28" t="s">
        <v>1079</v>
      </c>
      <c r="AG68" s="8" t="s">
        <v>65</v>
      </c>
      <c r="AH68" s="8" t="s">
        <v>65</v>
      </c>
      <c r="AI68" s="10" t="b">
        <v>1</v>
      </c>
      <c r="AJ68" s="10" t="b">
        <v>1</v>
      </c>
      <c r="AK68" s="28" t="s">
        <v>1077</v>
      </c>
      <c r="AL68" s="9" t="s">
        <v>1078</v>
      </c>
      <c r="AM68" s="9" t="s">
        <v>62</v>
      </c>
      <c r="AN68" s="9" t="b">
        <v>1</v>
      </c>
      <c r="AO68" s="9" t="b">
        <v>0</v>
      </c>
      <c r="AP68" s="14" t="s">
        <v>1080</v>
      </c>
      <c r="AQ68" s="9" t="s">
        <v>65</v>
      </c>
      <c r="AR68" s="9" t="s">
        <v>65</v>
      </c>
      <c r="AS68" s="6"/>
      <c r="AT68" s="6"/>
      <c r="AU68" s="6"/>
      <c r="AV68" s="6"/>
      <c r="AW68" s="6"/>
      <c r="AX68" s="6"/>
      <c r="AY68" s="6"/>
      <c r="AZ68" s="6"/>
      <c r="BA68" s="6"/>
    </row>
    <row r="69" ht="22.5" customHeight="1">
      <c r="A69" s="7" t="s">
        <v>1081</v>
      </c>
      <c r="B69" s="8" t="s">
        <v>1082</v>
      </c>
      <c r="C69" s="8" t="s">
        <v>1083</v>
      </c>
      <c r="D69" s="9" t="s">
        <v>1084</v>
      </c>
      <c r="E69" s="9" t="s">
        <v>1085</v>
      </c>
      <c r="F69" s="9" t="s">
        <v>1086</v>
      </c>
      <c r="G69" s="6" t="s">
        <v>1087</v>
      </c>
      <c r="H69" s="10" t="b">
        <v>1</v>
      </c>
      <c r="I69" s="6" t="s">
        <v>1088</v>
      </c>
      <c r="J69" s="37" t="s">
        <v>1089</v>
      </c>
      <c r="K69" s="37" t="s">
        <v>1090</v>
      </c>
      <c r="L69" s="37" t="s">
        <v>1091</v>
      </c>
      <c r="M69" s="25" t="s">
        <v>1092</v>
      </c>
      <c r="N69" s="37" t="s">
        <v>1093</v>
      </c>
      <c r="O69" s="37" t="s">
        <v>1094</v>
      </c>
      <c r="P69" s="6"/>
      <c r="Q69" s="9" t="s">
        <v>80</v>
      </c>
      <c r="R69" s="8" t="s">
        <v>133</v>
      </c>
      <c r="S69" s="15" t="b">
        <v>0</v>
      </c>
      <c r="T69" s="10" t="b">
        <v>0</v>
      </c>
      <c r="U69" s="10" t="b">
        <v>0</v>
      </c>
      <c r="V69" s="6" t="s">
        <v>63</v>
      </c>
      <c r="W69" s="6" t="s">
        <v>104</v>
      </c>
      <c r="X69" s="6" t="s">
        <v>63</v>
      </c>
      <c r="Y69" s="10" t="b">
        <v>1</v>
      </c>
      <c r="Z69" s="10" t="b">
        <v>0</v>
      </c>
      <c r="AA69" s="11" t="s">
        <v>1095</v>
      </c>
      <c r="AB69" s="6" t="s">
        <v>65</v>
      </c>
      <c r="AC69" s="6" t="s">
        <v>65</v>
      </c>
      <c r="AD69" s="10" t="b">
        <v>1</v>
      </c>
      <c r="AE69" s="10" t="b">
        <v>0</v>
      </c>
      <c r="AF69" s="11" t="s">
        <v>1096</v>
      </c>
      <c r="AG69" s="6" t="s">
        <v>65</v>
      </c>
      <c r="AH69" s="6" t="s">
        <v>65</v>
      </c>
      <c r="AI69" s="10" t="b">
        <v>1</v>
      </c>
      <c r="AJ69" s="10" t="b">
        <v>0</v>
      </c>
      <c r="AK69" s="11" t="s">
        <v>1095</v>
      </c>
      <c r="AL69" s="6" t="s">
        <v>65</v>
      </c>
      <c r="AM69" s="30" t="s">
        <v>65</v>
      </c>
      <c r="AN69" s="9" t="b">
        <v>1</v>
      </c>
      <c r="AO69" s="9" t="b">
        <v>0</v>
      </c>
      <c r="AP69" s="14" t="s">
        <v>1097</v>
      </c>
      <c r="AQ69" s="9" t="s">
        <v>65</v>
      </c>
      <c r="AR69" s="9" t="s">
        <v>65</v>
      </c>
      <c r="AS69" s="6"/>
      <c r="AT69" s="6"/>
      <c r="AU69" s="6"/>
      <c r="AV69" s="6"/>
      <c r="AW69" s="6"/>
      <c r="AX69" s="6"/>
      <c r="AY69" s="6"/>
      <c r="AZ69" s="6"/>
      <c r="BA69" s="6"/>
    </row>
    <row r="70" ht="22.5" customHeight="1">
      <c r="A70" s="7" t="s">
        <v>1098</v>
      </c>
      <c r="B70" s="8" t="s">
        <v>1099</v>
      </c>
      <c r="C70" s="8" t="s">
        <v>1100</v>
      </c>
      <c r="D70" s="9" t="s">
        <v>1101</v>
      </c>
      <c r="E70" s="9" t="s">
        <v>1102</v>
      </c>
      <c r="F70" s="9" t="s">
        <v>1103</v>
      </c>
      <c r="G70" s="6" t="s">
        <v>1104</v>
      </c>
      <c r="H70" s="10" t="b">
        <v>1</v>
      </c>
      <c r="I70" s="6" t="s">
        <v>1105</v>
      </c>
      <c r="J70" s="37" t="s">
        <v>1106</v>
      </c>
      <c r="K70" s="37" t="s">
        <v>1107</v>
      </c>
      <c r="L70" s="37" t="s">
        <v>1106</v>
      </c>
      <c r="M70" s="33" t="s">
        <v>512</v>
      </c>
      <c r="N70" s="37" t="s">
        <v>169</v>
      </c>
      <c r="O70" s="25" t="s">
        <v>1108</v>
      </c>
      <c r="P70" s="6"/>
      <c r="Q70" s="9" t="s">
        <v>80</v>
      </c>
      <c r="R70" s="8" t="s">
        <v>81</v>
      </c>
      <c r="S70" s="10" t="b">
        <v>1</v>
      </c>
      <c r="T70" s="15" t="b">
        <v>1</v>
      </c>
      <c r="U70" s="15" t="b">
        <v>1</v>
      </c>
      <c r="V70" s="28" t="s">
        <v>1109</v>
      </c>
      <c r="W70" s="8" t="s">
        <v>268</v>
      </c>
      <c r="X70" s="8" t="s">
        <v>170</v>
      </c>
      <c r="Y70" s="10" t="b">
        <v>1</v>
      </c>
      <c r="Z70" s="12" t="b">
        <v>1</v>
      </c>
      <c r="AA70" s="28" t="s">
        <v>1110</v>
      </c>
      <c r="AB70" s="8" t="s">
        <v>268</v>
      </c>
      <c r="AC70" s="8" t="s">
        <v>170</v>
      </c>
      <c r="AD70" s="10" t="b">
        <v>1</v>
      </c>
      <c r="AE70" s="12" t="b">
        <v>1</v>
      </c>
      <c r="AF70" s="28" t="s">
        <v>1110</v>
      </c>
      <c r="AG70" s="8" t="s">
        <v>268</v>
      </c>
      <c r="AH70" s="8" t="s">
        <v>170</v>
      </c>
      <c r="AI70" s="10" t="b">
        <v>1</v>
      </c>
      <c r="AJ70" s="12" t="b">
        <v>1</v>
      </c>
      <c r="AK70" s="28" t="s">
        <v>1110</v>
      </c>
      <c r="AL70" s="8" t="s">
        <v>268</v>
      </c>
      <c r="AM70" s="8" t="s">
        <v>170</v>
      </c>
      <c r="AN70" s="9" t="b">
        <v>1</v>
      </c>
      <c r="AO70" s="9" t="b">
        <v>1</v>
      </c>
      <c r="AP70" s="14" t="s">
        <v>1110</v>
      </c>
      <c r="AQ70" s="9" t="s">
        <v>268</v>
      </c>
      <c r="AR70" s="9" t="s">
        <v>170</v>
      </c>
      <c r="AS70" s="6"/>
      <c r="AT70" s="6"/>
      <c r="AU70" s="6"/>
      <c r="AV70" s="6"/>
      <c r="AW70" s="6"/>
      <c r="AX70" s="6"/>
      <c r="AY70" s="6"/>
      <c r="AZ70" s="6"/>
      <c r="BA70" s="6"/>
    </row>
    <row r="71" ht="22.5" customHeight="1">
      <c r="A71" s="7" t="s">
        <v>1111</v>
      </c>
      <c r="B71" s="8" t="s">
        <v>1112</v>
      </c>
      <c r="C71" s="8" t="s">
        <v>1113</v>
      </c>
      <c r="D71" s="9" t="s">
        <v>1114</v>
      </c>
      <c r="E71" s="9" t="s">
        <v>1115</v>
      </c>
      <c r="F71" s="9" t="s">
        <v>1116</v>
      </c>
      <c r="G71" s="6" t="s">
        <v>1117</v>
      </c>
      <c r="H71" s="25" t="b">
        <v>1</v>
      </c>
      <c r="I71" s="14" t="s">
        <v>1118</v>
      </c>
      <c r="J71" s="40" t="s">
        <v>1119</v>
      </c>
      <c r="K71" s="29" t="s">
        <v>1120</v>
      </c>
      <c r="L71" s="25" t="s">
        <v>1121</v>
      </c>
      <c r="M71" s="37" t="s">
        <v>1122</v>
      </c>
      <c r="N71" s="25" t="s">
        <v>1123</v>
      </c>
      <c r="O71" s="25" t="s">
        <v>1124</v>
      </c>
      <c r="P71" s="6"/>
      <c r="Q71" s="9" t="s">
        <v>80</v>
      </c>
      <c r="R71" s="6" t="s">
        <v>133</v>
      </c>
      <c r="S71" s="10" t="b">
        <v>1</v>
      </c>
      <c r="T71" s="10" t="b">
        <v>0</v>
      </c>
      <c r="U71" s="10" t="b">
        <v>0</v>
      </c>
      <c r="V71" s="6" t="s">
        <v>63</v>
      </c>
      <c r="W71" s="6" t="s">
        <v>104</v>
      </c>
      <c r="X71" s="6" t="s">
        <v>63</v>
      </c>
      <c r="Y71" s="10" t="b">
        <v>1</v>
      </c>
      <c r="Z71" s="10" t="b">
        <v>0</v>
      </c>
      <c r="AA71" s="11" t="s">
        <v>1125</v>
      </c>
      <c r="AB71" s="9" t="s">
        <v>65</v>
      </c>
      <c r="AC71" s="9" t="s">
        <v>65</v>
      </c>
      <c r="AD71" s="10" t="b">
        <v>1</v>
      </c>
      <c r="AE71" s="10" t="b">
        <v>0</v>
      </c>
      <c r="AF71" s="11" t="s">
        <v>1126</v>
      </c>
      <c r="AG71" s="6" t="s">
        <v>65</v>
      </c>
      <c r="AH71" s="6" t="s">
        <v>65</v>
      </c>
      <c r="AI71" s="10" t="b">
        <v>1</v>
      </c>
      <c r="AJ71" s="10" t="b">
        <v>1</v>
      </c>
      <c r="AK71" s="11" t="s">
        <v>1127</v>
      </c>
      <c r="AL71" s="6" t="s">
        <v>1128</v>
      </c>
      <c r="AM71" s="6" t="s">
        <v>469</v>
      </c>
      <c r="AN71" s="9" t="b">
        <v>1</v>
      </c>
      <c r="AO71" s="9" t="b">
        <v>0</v>
      </c>
      <c r="AP71" s="14" t="s">
        <v>1129</v>
      </c>
      <c r="AQ71" s="9" t="s">
        <v>65</v>
      </c>
      <c r="AR71" s="9" t="s">
        <v>65</v>
      </c>
      <c r="AS71" s="6"/>
      <c r="AT71" s="6"/>
      <c r="AU71" s="6"/>
      <c r="AV71" s="6"/>
      <c r="AW71" s="6"/>
      <c r="AX71" s="6"/>
      <c r="AY71" s="6"/>
      <c r="AZ71" s="6"/>
      <c r="BA71" s="6"/>
    </row>
    <row r="72" ht="22.5" customHeight="1">
      <c r="A72" s="7" t="s">
        <v>1130</v>
      </c>
      <c r="B72" s="8" t="s">
        <v>1131</v>
      </c>
      <c r="C72" s="8" t="s">
        <v>1132</v>
      </c>
      <c r="D72" s="9" t="s">
        <v>1133</v>
      </c>
      <c r="E72" s="9" t="s">
        <v>1134</v>
      </c>
      <c r="F72" s="9" t="s">
        <v>1135</v>
      </c>
      <c r="G72" s="6" t="s">
        <v>245</v>
      </c>
      <c r="H72" s="12" t="b">
        <v>1</v>
      </c>
      <c r="I72" s="6" t="s">
        <v>1136</v>
      </c>
      <c r="J72" s="37" t="s">
        <v>1137</v>
      </c>
      <c r="K72" s="37" t="s">
        <v>1138</v>
      </c>
      <c r="L72" s="29" t="s">
        <v>1139</v>
      </c>
      <c r="M72" s="25" t="s">
        <v>1140</v>
      </c>
      <c r="N72" s="37" t="s">
        <v>268</v>
      </c>
      <c r="O72" s="37" t="s">
        <v>170</v>
      </c>
      <c r="P72" s="6"/>
      <c r="Q72" s="9" t="s">
        <v>59</v>
      </c>
      <c r="R72" s="8" t="s">
        <v>59</v>
      </c>
      <c r="S72" s="10" t="b">
        <v>1</v>
      </c>
      <c r="T72" s="15" t="b">
        <v>1</v>
      </c>
      <c r="U72" s="15" t="b">
        <v>0</v>
      </c>
      <c r="V72" s="28" t="s">
        <v>1141</v>
      </c>
      <c r="W72" s="8" t="s">
        <v>186</v>
      </c>
      <c r="X72" s="8" t="s">
        <v>58</v>
      </c>
      <c r="Y72" s="12" t="b">
        <v>0</v>
      </c>
      <c r="Z72" s="10" t="s">
        <v>63</v>
      </c>
      <c r="AA72" s="13" t="s">
        <v>63</v>
      </c>
      <c r="AB72" s="10" t="s">
        <v>63</v>
      </c>
      <c r="AC72" s="10" t="s">
        <v>63</v>
      </c>
      <c r="AD72" s="12" t="b">
        <v>0</v>
      </c>
      <c r="AE72" s="10" t="s">
        <v>63</v>
      </c>
      <c r="AF72" s="13" t="s">
        <v>63</v>
      </c>
      <c r="AG72" s="10" t="s">
        <v>63</v>
      </c>
      <c r="AH72" s="10" t="s">
        <v>63</v>
      </c>
      <c r="AI72" s="12" t="b">
        <v>0</v>
      </c>
      <c r="AJ72" s="10" t="s">
        <v>63</v>
      </c>
      <c r="AK72" s="13" t="s">
        <v>63</v>
      </c>
      <c r="AL72" s="10" t="s">
        <v>63</v>
      </c>
      <c r="AM72" s="10" t="s">
        <v>63</v>
      </c>
      <c r="AN72" s="9" t="b">
        <v>1</v>
      </c>
      <c r="AO72" s="9" t="b">
        <v>0</v>
      </c>
      <c r="AP72" s="14" t="s">
        <v>1142</v>
      </c>
      <c r="AQ72" s="9" t="s">
        <v>65</v>
      </c>
      <c r="AR72" s="9" t="s">
        <v>65</v>
      </c>
      <c r="AS72" s="6"/>
      <c r="AT72" s="6"/>
      <c r="AU72" s="6"/>
      <c r="AV72" s="6"/>
      <c r="AW72" s="6"/>
      <c r="AX72" s="6"/>
      <c r="AY72" s="6"/>
      <c r="AZ72" s="6"/>
      <c r="BA72" s="6"/>
    </row>
    <row r="73" ht="22.5" customHeight="1">
      <c r="A73" s="7" t="s">
        <v>1143</v>
      </c>
      <c r="B73" s="8" t="s">
        <v>1144</v>
      </c>
      <c r="C73" s="8" t="s">
        <v>1145</v>
      </c>
      <c r="D73" s="9" t="s">
        <v>1146</v>
      </c>
      <c r="E73" s="9" t="s">
        <v>1147</v>
      </c>
      <c r="F73" s="9" t="s">
        <v>1148</v>
      </c>
      <c r="G73" s="6" t="s">
        <v>1149</v>
      </c>
      <c r="H73" s="10" t="b">
        <v>1</v>
      </c>
      <c r="I73" s="6" t="s">
        <v>1150</v>
      </c>
      <c r="J73" s="37" t="s">
        <v>1151</v>
      </c>
      <c r="K73" s="29" t="s">
        <v>1152</v>
      </c>
      <c r="L73" s="37" t="s">
        <v>1153</v>
      </c>
      <c r="M73" s="37" t="s">
        <v>1154</v>
      </c>
      <c r="N73" s="37" t="s">
        <v>186</v>
      </c>
      <c r="O73" s="37" t="s">
        <v>58</v>
      </c>
      <c r="P73" s="6"/>
      <c r="Q73" s="9" t="s">
        <v>80</v>
      </c>
      <c r="R73" s="6" t="s">
        <v>133</v>
      </c>
      <c r="S73" s="10" t="b">
        <v>0</v>
      </c>
      <c r="T73" s="15" t="b">
        <v>1</v>
      </c>
      <c r="U73" s="15" t="b">
        <v>0</v>
      </c>
      <c r="V73" s="28" t="s">
        <v>1155</v>
      </c>
      <c r="W73" s="8" t="s">
        <v>65</v>
      </c>
      <c r="X73" s="8" t="s">
        <v>65</v>
      </c>
      <c r="Y73" s="10" t="b">
        <v>1</v>
      </c>
      <c r="Z73" s="12" t="b">
        <v>1</v>
      </c>
      <c r="AA73" s="28" t="s">
        <v>1156</v>
      </c>
      <c r="AB73" s="9" t="s">
        <v>860</v>
      </c>
      <c r="AC73" s="9" t="s">
        <v>62</v>
      </c>
      <c r="AD73" s="10" t="b">
        <v>1</v>
      </c>
      <c r="AE73" s="15" t="b">
        <v>0</v>
      </c>
      <c r="AF73" s="28" t="s">
        <v>1157</v>
      </c>
      <c r="AG73" s="8" t="s">
        <v>65</v>
      </c>
      <c r="AH73" s="8" t="s">
        <v>65</v>
      </c>
      <c r="AI73" s="10" t="b">
        <v>1</v>
      </c>
      <c r="AJ73" s="10" t="b">
        <v>1</v>
      </c>
      <c r="AK73" s="28" t="s">
        <v>1156</v>
      </c>
      <c r="AL73" s="9" t="s">
        <v>860</v>
      </c>
      <c r="AM73" s="9" t="s">
        <v>62</v>
      </c>
      <c r="AN73" s="9" t="b">
        <v>1</v>
      </c>
      <c r="AO73" s="9" t="b">
        <v>0</v>
      </c>
      <c r="AP73" s="14" t="s">
        <v>1158</v>
      </c>
      <c r="AQ73" s="9" t="s">
        <v>65</v>
      </c>
      <c r="AR73" s="9" t="s">
        <v>65</v>
      </c>
      <c r="AS73" s="6"/>
      <c r="AT73" s="6"/>
      <c r="AU73" s="6"/>
      <c r="AV73" s="6"/>
      <c r="AW73" s="6"/>
      <c r="AX73" s="6"/>
      <c r="AY73" s="6"/>
      <c r="AZ73" s="6"/>
      <c r="BA73" s="6"/>
    </row>
    <row r="74" ht="22.5" customHeight="1">
      <c r="A74" s="7" t="s">
        <v>1159</v>
      </c>
      <c r="B74" s="8" t="s">
        <v>1160</v>
      </c>
      <c r="C74" s="8" t="s">
        <v>1161</v>
      </c>
      <c r="D74" s="9" t="s">
        <v>1162</v>
      </c>
      <c r="E74" s="9" t="s">
        <v>1163</v>
      </c>
      <c r="F74" s="9" t="s">
        <v>1164</v>
      </c>
      <c r="G74" s="6" t="s">
        <v>1165</v>
      </c>
      <c r="H74" s="10" t="b">
        <v>1</v>
      </c>
      <c r="I74" s="11" t="s">
        <v>1166</v>
      </c>
      <c r="J74" s="40" t="s">
        <v>1167</v>
      </c>
      <c r="K74" s="40" t="s">
        <v>1168</v>
      </c>
      <c r="L74" s="40" t="s">
        <v>1169</v>
      </c>
      <c r="M74" s="33" t="s">
        <v>512</v>
      </c>
      <c r="N74" s="25" t="s">
        <v>1170</v>
      </c>
      <c r="O74" s="37" t="s">
        <v>79</v>
      </c>
      <c r="Q74" s="9" t="s">
        <v>80</v>
      </c>
      <c r="R74" s="6" t="s">
        <v>81</v>
      </c>
      <c r="S74" s="10" t="b">
        <v>0</v>
      </c>
      <c r="T74" s="15" t="b">
        <v>1</v>
      </c>
      <c r="U74" s="15" t="b">
        <v>1</v>
      </c>
      <c r="V74" s="28" t="s">
        <v>1171</v>
      </c>
      <c r="W74" s="6" t="s">
        <v>1172</v>
      </c>
      <c r="X74" s="6" t="s">
        <v>79</v>
      </c>
      <c r="Y74" s="10" t="b">
        <v>1</v>
      </c>
      <c r="Z74" s="12" t="b">
        <v>1</v>
      </c>
      <c r="AA74" s="14" t="s">
        <v>1173</v>
      </c>
      <c r="AB74" s="9" t="s">
        <v>753</v>
      </c>
      <c r="AC74" s="9" t="s">
        <v>79</v>
      </c>
      <c r="AD74" s="10" t="b">
        <v>1</v>
      </c>
      <c r="AE74" s="10" t="b">
        <v>1</v>
      </c>
      <c r="AF74" s="28" t="s">
        <v>1174</v>
      </c>
      <c r="AG74" s="9" t="s">
        <v>1175</v>
      </c>
      <c r="AH74" s="9" t="s">
        <v>79</v>
      </c>
      <c r="AI74" s="10" t="b">
        <v>1</v>
      </c>
      <c r="AJ74" s="10" t="b">
        <v>1</v>
      </c>
      <c r="AK74" s="14" t="s">
        <v>1173</v>
      </c>
      <c r="AL74" s="9" t="s">
        <v>753</v>
      </c>
      <c r="AM74" s="9" t="s">
        <v>79</v>
      </c>
      <c r="AN74" s="9" t="b">
        <v>1</v>
      </c>
      <c r="AO74" s="9" t="b">
        <v>0</v>
      </c>
      <c r="AP74" s="14" t="s">
        <v>1176</v>
      </c>
      <c r="AQ74" s="9" t="s">
        <v>65</v>
      </c>
      <c r="AR74" s="9" t="s">
        <v>65</v>
      </c>
      <c r="AS74" s="6"/>
      <c r="AT74" s="6"/>
      <c r="AU74" s="6"/>
      <c r="AV74" s="6"/>
      <c r="AW74" s="6"/>
      <c r="AX74" s="6"/>
      <c r="AY74" s="6"/>
      <c r="AZ74" s="6"/>
      <c r="BA74" s="6"/>
    </row>
    <row r="75" ht="22.5" customHeight="1">
      <c r="A75" s="7" t="s">
        <v>1177</v>
      </c>
      <c r="B75" s="8" t="s">
        <v>1178</v>
      </c>
      <c r="C75" s="8" t="s">
        <v>1179</v>
      </c>
      <c r="D75" s="9" t="s">
        <v>1180</v>
      </c>
      <c r="E75" s="9" t="s">
        <v>1181</v>
      </c>
      <c r="F75" s="9" t="s">
        <v>1182</v>
      </c>
      <c r="G75" s="6" t="s">
        <v>1183</v>
      </c>
      <c r="H75" s="10" t="b">
        <v>1</v>
      </c>
      <c r="I75" s="8" t="s">
        <v>1184</v>
      </c>
      <c r="J75" s="25" t="s">
        <v>1185</v>
      </c>
      <c r="K75" s="37" t="s">
        <v>1186</v>
      </c>
      <c r="L75" s="25" t="s">
        <v>1187</v>
      </c>
      <c r="M75" s="25" t="s">
        <v>1188</v>
      </c>
      <c r="N75" s="25" t="s">
        <v>186</v>
      </c>
      <c r="O75" s="25" t="s">
        <v>58</v>
      </c>
      <c r="Q75" s="9" t="s">
        <v>80</v>
      </c>
      <c r="R75" s="8" t="s">
        <v>133</v>
      </c>
      <c r="S75" s="10" t="b">
        <v>0</v>
      </c>
      <c r="T75" s="10" t="b">
        <v>1</v>
      </c>
      <c r="U75" s="12" t="b">
        <v>0</v>
      </c>
      <c r="V75" s="11" t="s">
        <v>1189</v>
      </c>
      <c r="W75" s="6" t="s">
        <v>65</v>
      </c>
      <c r="X75" s="6" t="s">
        <v>65</v>
      </c>
      <c r="Y75" s="10" t="b">
        <v>1</v>
      </c>
      <c r="Z75" s="12" t="b">
        <v>0</v>
      </c>
      <c r="AA75" s="11" t="s">
        <v>1190</v>
      </c>
      <c r="AB75" s="6" t="s">
        <v>65</v>
      </c>
      <c r="AC75" s="6" t="s">
        <v>65</v>
      </c>
      <c r="AD75" s="10" t="b">
        <v>1</v>
      </c>
      <c r="AE75" s="12" t="b">
        <v>0</v>
      </c>
      <c r="AF75" s="11" t="s">
        <v>1191</v>
      </c>
      <c r="AG75" s="6" t="s">
        <v>65</v>
      </c>
      <c r="AH75" s="6" t="s">
        <v>65</v>
      </c>
      <c r="AI75" s="10" t="b">
        <v>1</v>
      </c>
      <c r="AJ75" s="12" t="b">
        <v>0</v>
      </c>
      <c r="AK75" s="11" t="s">
        <v>1190</v>
      </c>
      <c r="AL75" s="6" t="s">
        <v>65</v>
      </c>
      <c r="AM75" s="30" t="s">
        <v>65</v>
      </c>
      <c r="AN75" s="9" t="b">
        <v>1</v>
      </c>
      <c r="AO75" s="9" t="b">
        <v>0</v>
      </c>
      <c r="AP75" s="14" t="s">
        <v>1192</v>
      </c>
      <c r="AQ75" s="9" t="s">
        <v>65</v>
      </c>
      <c r="AR75" s="9" t="s">
        <v>65</v>
      </c>
      <c r="AS75" s="6"/>
      <c r="AT75" s="6"/>
      <c r="AU75" s="6"/>
      <c r="AV75" s="6"/>
      <c r="AW75" s="6"/>
      <c r="AX75" s="6"/>
      <c r="AY75" s="6"/>
      <c r="AZ75" s="6"/>
      <c r="BA75" s="6"/>
    </row>
    <row r="76" ht="22.5" customHeight="1">
      <c r="A76" s="7" t="s">
        <v>1193</v>
      </c>
      <c r="B76" s="8" t="s">
        <v>1194</v>
      </c>
      <c r="C76" s="8" t="s">
        <v>1195</v>
      </c>
      <c r="D76" s="9" t="s">
        <v>1196</v>
      </c>
      <c r="E76" s="9" t="s">
        <v>1197</v>
      </c>
      <c r="F76" s="9" t="s">
        <v>1198</v>
      </c>
      <c r="G76" s="6" t="s">
        <v>1199</v>
      </c>
      <c r="H76" s="10" t="b">
        <v>1</v>
      </c>
      <c r="I76" s="11" t="s">
        <v>1200</v>
      </c>
      <c r="J76" s="11" t="s">
        <v>1201</v>
      </c>
      <c r="K76" s="11" t="s">
        <v>1202</v>
      </c>
      <c r="L76" s="40" t="s">
        <v>1200</v>
      </c>
      <c r="M76" s="25" t="s">
        <v>408</v>
      </c>
      <c r="N76" s="37" t="s">
        <v>186</v>
      </c>
      <c r="O76" s="37" t="s">
        <v>58</v>
      </c>
      <c r="Q76" s="9" t="s">
        <v>80</v>
      </c>
      <c r="R76" s="8" t="s">
        <v>118</v>
      </c>
      <c r="S76" s="10" t="b">
        <v>0</v>
      </c>
      <c r="T76" s="15" t="b">
        <v>1</v>
      </c>
      <c r="U76" s="12" t="b">
        <v>0</v>
      </c>
      <c r="V76" s="28" t="s">
        <v>1203</v>
      </c>
      <c r="W76" s="8" t="s">
        <v>65</v>
      </c>
      <c r="X76" s="8" t="s">
        <v>65</v>
      </c>
      <c r="Y76" s="10" t="b">
        <v>0</v>
      </c>
      <c r="Z76" s="15" t="s">
        <v>63</v>
      </c>
      <c r="AA76" s="8" t="s">
        <v>63</v>
      </c>
      <c r="AB76" s="10" t="s">
        <v>63</v>
      </c>
      <c r="AC76" s="10" t="s">
        <v>63</v>
      </c>
      <c r="AD76" s="10" t="b">
        <v>0</v>
      </c>
      <c r="AE76" s="15" t="s">
        <v>63</v>
      </c>
      <c r="AF76" s="8" t="s">
        <v>63</v>
      </c>
      <c r="AG76" s="8" t="s">
        <v>63</v>
      </c>
      <c r="AH76" s="8" t="s">
        <v>63</v>
      </c>
      <c r="AI76" s="10" t="b">
        <v>0</v>
      </c>
      <c r="AJ76" s="10" t="s">
        <v>63</v>
      </c>
      <c r="AK76" s="8" t="s">
        <v>63</v>
      </c>
      <c r="AL76" s="8" t="s">
        <v>63</v>
      </c>
      <c r="AM76" s="8" t="s">
        <v>63</v>
      </c>
      <c r="AN76" s="9" t="b">
        <v>0</v>
      </c>
      <c r="AO76" s="12" t="s">
        <v>63</v>
      </c>
      <c r="AP76" s="12" t="s">
        <v>63</v>
      </c>
      <c r="AQ76" s="12" t="s">
        <v>63</v>
      </c>
      <c r="AR76" s="12" t="s">
        <v>63</v>
      </c>
      <c r="AS76" s="6"/>
      <c r="AT76" s="6"/>
      <c r="AU76" s="6"/>
      <c r="AV76" s="6"/>
      <c r="AW76" s="6"/>
      <c r="AX76" s="6"/>
      <c r="AY76" s="6"/>
      <c r="AZ76" s="6"/>
      <c r="BA76" s="6"/>
    </row>
    <row r="77" ht="22.5" customHeight="1">
      <c r="A77" s="7" t="s">
        <v>1204</v>
      </c>
      <c r="B77" s="8" t="s">
        <v>1205</v>
      </c>
      <c r="C77" s="8" t="s">
        <v>1206</v>
      </c>
      <c r="D77" s="9" t="s">
        <v>1207</v>
      </c>
      <c r="E77" s="9" t="s">
        <v>1208</v>
      </c>
      <c r="F77" s="9" t="s">
        <v>1209</v>
      </c>
      <c r="G77" s="6" t="s">
        <v>1210</v>
      </c>
      <c r="H77" s="10" t="b">
        <v>0</v>
      </c>
      <c r="I77" s="6" t="s">
        <v>1211</v>
      </c>
      <c r="J77" s="6" t="s">
        <v>1212</v>
      </c>
      <c r="K77" s="6" t="s">
        <v>1213</v>
      </c>
      <c r="L77" s="37" t="s">
        <v>1214</v>
      </c>
      <c r="M77" s="25" t="s">
        <v>1215</v>
      </c>
      <c r="N77" s="37" t="s">
        <v>103</v>
      </c>
      <c r="O77" s="37" t="s">
        <v>86</v>
      </c>
      <c r="Q77" s="9" t="s">
        <v>80</v>
      </c>
      <c r="R77" s="6" t="s">
        <v>81</v>
      </c>
      <c r="S77" s="10" t="b">
        <v>0</v>
      </c>
      <c r="T77" s="10" t="b">
        <v>1</v>
      </c>
      <c r="U77" s="10" t="b">
        <v>0</v>
      </c>
      <c r="V77" s="11" t="s">
        <v>1216</v>
      </c>
      <c r="W77" s="6" t="s">
        <v>1217</v>
      </c>
      <c r="X77" s="6" t="s">
        <v>189</v>
      </c>
      <c r="Y77" s="10" t="b">
        <v>1</v>
      </c>
      <c r="Z77" s="10" t="b">
        <v>1</v>
      </c>
      <c r="AA77" s="28" t="s">
        <v>1218</v>
      </c>
      <c r="AB77" s="6" t="s">
        <v>103</v>
      </c>
      <c r="AC77" s="6" t="s">
        <v>86</v>
      </c>
      <c r="AD77" s="10" t="b">
        <v>1</v>
      </c>
      <c r="AE77" s="10" t="b">
        <v>0</v>
      </c>
      <c r="AF77" s="28" t="s">
        <v>1219</v>
      </c>
      <c r="AG77" s="6" t="s">
        <v>268</v>
      </c>
      <c r="AH77" s="6" t="s">
        <v>170</v>
      </c>
      <c r="AI77" s="10" t="b">
        <v>1</v>
      </c>
      <c r="AJ77" s="10" t="b">
        <v>1</v>
      </c>
      <c r="AK77" s="28" t="s">
        <v>1218</v>
      </c>
      <c r="AL77" s="6" t="s">
        <v>103</v>
      </c>
      <c r="AM77" s="6" t="s">
        <v>86</v>
      </c>
      <c r="AN77" s="9" t="b">
        <v>1</v>
      </c>
      <c r="AO77" s="9" t="b">
        <v>1</v>
      </c>
      <c r="AP77" s="14" t="s">
        <v>1220</v>
      </c>
      <c r="AQ77" s="9" t="s">
        <v>103</v>
      </c>
      <c r="AR77" s="9" t="s">
        <v>86</v>
      </c>
      <c r="AS77" s="6"/>
      <c r="AT77" s="6"/>
      <c r="AU77" s="6"/>
      <c r="AV77" s="6"/>
      <c r="AW77" s="6"/>
      <c r="AX77" s="6"/>
      <c r="AY77" s="6"/>
      <c r="AZ77" s="6"/>
      <c r="BA77" s="6"/>
    </row>
    <row r="78" ht="22.5" customHeight="1">
      <c r="A78" s="7" t="s">
        <v>1221</v>
      </c>
      <c r="B78" s="8" t="s">
        <v>1222</v>
      </c>
      <c r="C78" s="8" t="s">
        <v>1223</v>
      </c>
      <c r="D78" s="9" t="s">
        <v>1224</v>
      </c>
      <c r="E78" s="9" t="s">
        <v>1225</v>
      </c>
      <c r="F78" s="9" t="s">
        <v>1226</v>
      </c>
      <c r="G78" s="6" t="s">
        <v>1227</v>
      </c>
      <c r="H78" s="12" t="b">
        <v>1</v>
      </c>
      <c r="I78" s="11" t="s">
        <v>1228</v>
      </c>
      <c r="J78" s="11" t="s">
        <v>1229</v>
      </c>
      <c r="K78" s="11" t="s">
        <v>1230</v>
      </c>
      <c r="L78" s="40" t="s">
        <v>1228</v>
      </c>
      <c r="M78" s="25" t="s">
        <v>1231</v>
      </c>
      <c r="N78" s="37" t="s">
        <v>722</v>
      </c>
      <c r="O78" s="37" t="s">
        <v>58</v>
      </c>
      <c r="Q78" s="9" t="s">
        <v>80</v>
      </c>
      <c r="R78" s="6" t="s">
        <v>312</v>
      </c>
      <c r="S78" s="10" t="b">
        <v>0</v>
      </c>
      <c r="T78" s="15" t="b">
        <v>1</v>
      </c>
      <c r="U78" s="15" t="b">
        <v>1</v>
      </c>
      <c r="V78" s="14" t="s">
        <v>1232</v>
      </c>
      <c r="W78" s="9" t="s">
        <v>1233</v>
      </c>
      <c r="X78" s="9" t="s">
        <v>62</v>
      </c>
      <c r="Y78" s="10" t="b">
        <v>1</v>
      </c>
      <c r="Z78" s="15" t="b">
        <v>1</v>
      </c>
      <c r="AA78" s="28" t="s">
        <v>1234</v>
      </c>
      <c r="AB78" s="9" t="s">
        <v>1078</v>
      </c>
      <c r="AC78" s="9" t="s">
        <v>62</v>
      </c>
      <c r="AD78" s="10" t="b">
        <v>1</v>
      </c>
      <c r="AE78" s="10" t="b">
        <v>0</v>
      </c>
      <c r="AF78" s="14" t="s">
        <v>1235</v>
      </c>
      <c r="AG78" s="9" t="s">
        <v>268</v>
      </c>
      <c r="AH78" s="9" t="s">
        <v>170</v>
      </c>
      <c r="AI78" s="10" t="b">
        <v>1</v>
      </c>
      <c r="AJ78" s="15" t="b">
        <v>1</v>
      </c>
      <c r="AK78" s="28" t="s">
        <v>1234</v>
      </c>
      <c r="AL78" s="9" t="s">
        <v>1078</v>
      </c>
      <c r="AM78" s="9" t="s">
        <v>62</v>
      </c>
      <c r="AN78" s="9" t="b">
        <v>1</v>
      </c>
      <c r="AO78" s="12" t="b">
        <v>0</v>
      </c>
      <c r="AP78" s="14" t="s">
        <v>1236</v>
      </c>
      <c r="AQ78" s="9" t="s">
        <v>65</v>
      </c>
      <c r="AR78" s="9" t="s">
        <v>65</v>
      </c>
      <c r="AS78" s="6"/>
      <c r="AT78" s="6"/>
      <c r="AU78" s="6"/>
      <c r="AV78" s="6"/>
      <c r="AW78" s="6"/>
      <c r="AX78" s="6"/>
      <c r="AY78" s="6"/>
      <c r="AZ78" s="6"/>
      <c r="BA78" s="6"/>
    </row>
    <row r="79" ht="22.5" customHeight="1">
      <c r="A79" s="7" t="s">
        <v>1237</v>
      </c>
      <c r="B79" s="8" t="s">
        <v>1238</v>
      </c>
      <c r="C79" s="8" t="s">
        <v>1239</v>
      </c>
      <c r="D79" s="9" t="s">
        <v>1240</v>
      </c>
      <c r="E79" s="9" t="s">
        <v>1241</v>
      </c>
      <c r="F79" s="9" t="s">
        <v>1242</v>
      </c>
      <c r="G79" s="6" t="s">
        <v>1243</v>
      </c>
      <c r="H79" s="12" t="b">
        <v>1</v>
      </c>
      <c r="I79" s="6" t="s">
        <v>1244</v>
      </c>
      <c r="J79" s="6" t="s">
        <v>1245</v>
      </c>
      <c r="K79" s="6" t="s">
        <v>1246</v>
      </c>
      <c r="L79" s="37" t="s">
        <v>1247</v>
      </c>
      <c r="M79" s="33" t="s">
        <v>1248</v>
      </c>
      <c r="N79" s="37" t="s">
        <v>186</v>
      </c>
      <c r="O79" s="37" t="s">
        <v>1249</v>
      </c>
      <c r="Q79" s="9" t="s">
        <v>59</v>
      </c>
      <c r="R79" s="8" t="s">
        <v>59</v>
      </c>
      <c r="S79" s="10" t="b">
        <v>1</v>
      </c>
      <c r="T79" s="10" t="b">
        <v>0</v>
      </c>
      <c r="U79" s="15" t="b">
        <v>0</v>
      </c>
      <c r="V79" s="8" t="s">
        <v>63</v>
      </c>
      <c r="W79" s="8" t="s">
        <v>104</v>
      </c>
      <c r="X79" s="8" t="s">
        <v>63</v>
      </c>
      <c r="Y79" s="12" t="b">
        <v>0</v>
      </c>
      <c r="Z79" s="10" t="s">
        <v>63</v>
      </c>
      <c r="AA79" s="13" t="s">
        <v>63</v>
      </c>
      <c r="AB79" s="10" t="s">
        <v>63</v>
      </c>
      <c r="AC79" s="10" t="s">
        <v>63</v>
      </c>
      <c r="AD79" s="12" t="b">
        <v>0</v>
      </c>
      <c r="AE79" s="10" t="s">
        <v>63</v>
      </c>
      <c r="AF79" s="13" t="s">
        <v>63</v>
      </c>
      <c r="AG79" s="10" t="s">
        <v>63</v>
      </c>
      <c r="AH79" s="10" t="s">
        <v>63</v>
      </c>
      <c r="AI79" s="12" t="b">
        <v>0</v>
      </c>
      <c r="AJ79" s="10" t="s">
        <v>63</v>
      </c>
      <c r="AK79" s="13" t="s">
        <v>63</v>
      </c>
      <c r="AL79" s="10" t="s">
        <v>63</v>
      </c>
      <c r="AM79" s="10" t="s">
        <v>63</v>
      </c>
      <c r="AN79" s="9" t="b">
        <v>1</v>
      </c>
      <c r="AO79" s="12" t="b">
        <v>0</v>
      </c>
      <c r="AP79" s="14" t="s">
        <v>1250</v>
      </c>
      <c r="AQ79" s="9" t="s">
        <v>65</v>
      </c>
      <c r="AR79" s="9" t="s">
        <v>65</v>
      </c>
      <c r="AS79" s="6"/>
      <c r="AT79" s="6"/>
      <c r="AU79" s="6"/>
      <c r="AV79" s="6"/>
      <c r="AW79" s="6"/>
      <c r="AX79" s="6"/>
      <c r="AY79" s="6"/>
      <c r="AZ79" s="6"/>
      <c r="BA79" s="6"/>
    </row>
    <row r="80" ht="22.5" customHeight="1">
      <c r="A80" s="7" t="s">
        <v>1251</v>
      </c>
      <c r="B80" s="8" t="s">
        <v>1252</v>
      </c>
      <c r="C80" s="8" t="s">
        <v>1253</v>
      </c>
      <c r="D80" s="9" t="s">
        <v>1254</v>
      </c>
      <c r="E80" s="9" t="s">
        <v>1255</v>
      </c>
      <c r="F80" s="9" t="s">
        <v>1256</v>
      </c>
      <c r="G80" s="6" t="s">
        <v>97</v>
      </c>
      <c r="H80" s="15" t="b">
        <v>0</v>
      </c>
      <c r="I80" s="6" t="s">
        <v>1257</v>
      </c>
      <c r="J80" s="6" t="s">
        <v>1258</v>
      </c>
      <c r="K80" s="6" t="s">
        <v>1259</v>
      </c>
      <c r="L80" s="37" t="s">
        <v>1258</v>
      </c>
      <c r="M80" s="25" t="s">
        <v>1260</v>
      </c>
      <c r="N80" s="37" t="s">
        <v>268</v>
      </c>
      <c r="O80" s="37" t="s">
        <v>266</v>
      </c>
      <c r="Q80" s="9" t="s">
        <v>59</v>
      </c>
      <c r="R80" s="8" t="s">
        <v>59</v>
      </c>
      <c r="S80" s="10" t="b">
        <v>1</v>
      </c>
      <c r="T80" s="10" t="b">
        <v>0</v>
      </c>
      <c r="U80" s="15" t="b">
        <v>0</v>
      </c>
      <c r="V80" s="8" t="s">
        <v>63</v>
      </c>
      <c r="W80" s="8" t="s">
        <v>104</v>
      </c>
      <c r="X80" s="8" t="s">
        <v>63</v>
      </c>
      <c r="Y80" s="12" t="b">
        <v>0</v>
      </c>
      <c r="Z80" s="10" t="s">
        <v>63</v>
      </c>
      <c r="AA80" s="13" t="s">
        <v>63</v>
      </c>
      <c r="AB80" s="10" t="s">
        <v>63</v>
      </c>
      <c r="AC80" s="10" t="s">
        <v>63</v>
      </c>
      <c r="AD80" s="12" t="b">
        <v>0</v>
      </c>
      <c r="AE80" s="10" t="s">
        <v>63</v>
      </c>
      <c r="AF80" s="13" t="s">
        <v>63</v>
      </c>
      <c r="AG80" s="10" t="s">
        <v>63</v>
      </c>
      <c r="AH80" s="10" t="s">
        <v>63</v>
      </c>
      <c r="AI80" s="12" t="b">
        <v>0</v>
      </c>
      <c r="AJ80" s="10" t="s">
        <v>63</v>
      </c>
      <c r="AK80" s="13" t="s">
        <v>63</v>
      </c>
      <c r="AL80" s="10" t="s">
        <v>63</v>
      </c>
      <c r="AM80" s="10" t="s">
        <v>63</v>
      </c>
      <c r="AN80" s="9" t="b">
        <v>1</v>
      </c>
      <c r="AO80" s="12" t="b">
        <v>0</v>
      </c>
      <c r="AP80" s="14" t="s">
        <v>1261</v>
      </c>
      <c r="AQ80" s="9" t="s">
        <v>65</v>
      </c>
      <c r="AR80" s="9" t="s">
        <v>65</v>
      </c>
      <c r="AS80" s="6"/>
      <c r="AT80" s="6"/>
      <c r="AU80" s="6"/>
      <c r="AV80" s="6"/>
      <c r="AW80" s="6"/>
      <c r="AX80" s="6"/>
      <c r="AY80" s="6"/>
      <c r="AZ80" s="6"/>
      <c r="BA80" s="6"/>
    </row>
    <row r="81" ht="22.5" customHeight="1">
      <c r="A81" s="7" t="s">
        <v>1262</v>
      </c>
      <c r="B81" s="8" t="s">
        <v>1263</v>
      </c>
      <c r="C81" s="8" t="s">
        <v>1264</v>
      </c>
      <c r="D81" s="9" t="s">
        <v>1265</v>
      </c>
      <c r="E81" s="9" t="s">
        <v>1266</v>
      </c>
      <c r="F81" s="9" t="s">
        <v>1267</v>
      </c>
      <c r="G81" s="6" t="s">
        <v>1268</v>
      </c>
      <c r="H81" s="12" t="b">
        <v>1</v>
      </c>
      <c r="I81" s="6" t="s">
        <v>1269</v>
      </c>
      <c r="J81" s="6" t="s">
        <v>1270</v>
      </c>
      <c r="K81" s="6" t="s">
        <v>1271</v>
      </c>
      <c r="L81" s="37" t="s">
        <v>1270</v>
      </c>
      <c r="M81" s="33" t="s">
        <v>1272</v>
      </c>
      <c r="N81" s="37" t="s">
        <v>268</v>
      </c>
      <c r="O81" s="37" t="s">
        <v>1273</v>
      </c>
      <c r="Q81" s="9" t="s">
        <v>59</v>
      </c>
      <c r="R81" s="6" t="s">
        <v>59</v>
      </c>
      <c r="S81" s="10" t="b">
        <v>0</v>
      </c>
      <c r="T81" s="10" t="b">
        <v>0</v>
      </c>
      <c r="U81" s="15" t="b">
        <v>0</v>
      </c>
      <c r="V81" s="8" t="s">
        <v>63</v>
      </c>
      <c r="W81" s="8" t="s">
        <v>104</v>
      </c>
      <c r="X81" s="8" t="s">
        <v>63</v>
      </c>
      <c r="Y81" s="12" t="b">
        <v>0</v>
      </c>
      <c r="Z81" s="10" t="s">
        <v>63</v>
      </c>
      <c r="AA81" s="13" t="s">
        <v>63</v>
      </c>
      <c r="AB81" s="10" t="s">
        <v>63</v>
      </c>
      <c r="AC81" s="10" t="s">
        <v>63</v>
      </c>
      <c r="AD81" s="12" t="b">
        <v>0</v>
      </c>
      <c r="AE81" s="10" t="s">
        <v>63</v>
      </c>
      <c r="AF81" s="13" t="s">
        <v>63</v>
      </c>
      <c r="AG81" s="10" t="s">
        <v>63</v>
      </c>
      <c r="AH81" s="10" t="s">
        <v>63</v>
      </c>
      <c r="AI81" s="12" t="b">
        <v>0</v>
      </c>
      <c r="AJ81" s="10" t="s">
        <v>63</v>
      </c>
      <c r="AK81" s="13" t="s">
        <v>63</v>
      </c>
      <c r="AL81" s="10" t="s">
        <v>63</v>
      </c>
      <c r="AM81" s="10" t="s">
        <v>63</v>
      </c>
      <c r="AN81" s="9" t="b">
        <v>1</v>
      </c>
      <c r="AO81" s="9" t="b">
        <v>0</v>
      </c>
      <c r="AP81" s="14" t="s">
        <v>1274</v>
      </c>
      <c r="AQ81" s="9" t="s">
        <v>65</v>
      </c>
      <c r="AR81" s="9" t="s">
        <v>65</v>
      </c>
      <c r="AS81" s="8"/>
      <c r="AT81" s="6"/>
      <c r="AU81" s="6"/>
      <c r="AV81" s="6"/>
      <c r="AW81" s="6"/>
      <c r="AX81" s="6"/>
      <c r="AY81" s="6"/>
      <c r="AZ81" s="6"/>
      <c r="BA81" s="6"/>
    </row>
    <row r="82" ht="22.5" customHeight="1">
      <c r="A82" s="7" t="s">
        <v>1275</v>
      </c>
      <c r="B82" s="8" t="s">
        <v>1276</v>
      </c>
      <c r="C82" s="8" t="s">
        <v>1277</v>
      </c>
      <c r="D82" s="9" t="s">
        <v>1278</v>
      </c>
      <c r="E82" s="9" t="s">
        <v>1279</v>
      </c>
      <c r="F82" s="9" t="s">
        <v>1280</v>
      </c>
      <c r="G82" s="6" t="s">
        <v>1281</v>
      </c>
      <c r="H82" s="12" t="b">
        <v>1</v>
      </c>
      <c r="I82" s="11" t="s">
        <v>1282</v>
      </c>
      <c r="J82" s="11" t="s">
        <v>1283</v>
      </c>
      <c r="K82" s="6" t="s">
        <v>1284</v>
      </c>
      <c r="L82" s="40" t="s">
        <v>1285</v>
      </c>
      <c r="M82" s="33" t="s">
        <v>1286</v>
      </c>
      <c r="N82" s="37" t="s">
        <v>103</v>
      </c>
      <c r="O82" s="37" t="s">
        <v>1287</v>
      </c>
      <c r="Q82" s="9" t="s">
        <v>80</v>
      </c>
      <c r="R82" s="8" t="s">
        <v>133</v>
      </c>
      <c r="S82" s="10" t="b">
        <v>0</v>
      </c>
      <c r="T82" s="15" t="b">
        <v>1</v>
      </c>
      <c r="U82" s="15" t="b">
        <v>0</v>
      </c>
      <c r="V82" s="28" t="s">
        <v>1288</v>
      </c>
      <c r="W82" s="8" t="s">
        <v>65</v>
      </c>
      <c r="X82" s="8" t="s">
        <v>65</v>
      </c>
      <c r="Y82" s="10" t="b">
        <v>1</v>
      </c>
      <c r="Z82" s="15" t="b">
        <v>0</v>
      </c>
      <c r="AA82" s="28" t="s">
        <v>1289</v>
      </c>
      <c r="AB82" s="8" t="s">
        <v>65</v>
      </c>
      <c r="AC82" s="8" t="s">
        <v>65</v>
      </c>
      <c r="AD82" s="10" t="b">
        <v>1</v>
      </c>
      <c r="AE82" s="15" t="b">
        <v>0</v>
      </c>
      <c r="AF82" s="28" t="s">
        <v>1290</v>
      </c>
      <c r="AG82" s="8" t="s">
        <v>65</v>
      </c>
      <c r="AH82" s="8" t="s">
        <v>65</v>
      </c>
      <c r="AI82" s="10" t="b">
        <v>1</v>
      </c>
      <c r="AJ82" s="15" t="b">
        <v>0</v>
      </c>
      <c r="AK82" s="28" t="s">
        <v>1289</v>
      </c>
      <c r="AL82" s="8" t="s">
        <v>65</v>
      </c>
      <c r="AM82" s="24" t="s">
        <v>65</v>
      </c>
      <c r="AN82" s="9" t="b">
        <v>1</v>
      </c>
      <c r="AO82" s="9" t="b">
        <v>0</v>
      </c>
      <c r="AP82" s="14" t="s">
        <v>1291</v>
      </c>
      <c r="AQ82" s="9" t="s">
        <v>65</v>
      </c>
      <c r="AR82" s="9" t="s">
        <v>65</v>
      </c>
      <c r="AS82" s="6"/>
      <c r="AT82" s="6"/>
      <c r="AU82" s="6"/>
      <c r="AV82" s="6"/>
      <c r="AW82" s="6"/>
      <c r="AX82" s="6"/>
      <c r="AY82" s="6"/>
      <c r="AZ82" s="6"/>
      <c r="BA82" s="6"/>
    </row>
    <row r="83" ht="22.5" customHeight="1">
      <c r="A83" s="7" t="s">
        <v>1292</v>
      </c>
      <c r="B83" s="8" t="s">
        <v>1293</v>
      </c>
      <c r="C83" s="8" t="s">
        <v>1294</v>
      </c>
      <c r="D83" s="9" t="s">
        <v>1295</v>
      </c>
      <c r="E83" s="9" t="s">
        <v>1296</v>
      </c>
      <c r="F83" s="9" t="s">
        <v>1297</v>
      </c>
      <c r="G83" s="6" t="s">
        <v>1298</v>
      </c>
      <c r="H83" s="12" t="b">
        <v>1</v>
      </c>
      <c r="I83" s="6" t="s">
        <v>1299</v>
      </c>
      <c r="J83" s="6" t="s">
        <v>1300</v>
      </c>
      <c r="K83" s="6" t="s">
        <v>1301</v>
      </c>
      <c r="L83" s="37" t="s">
        <v>1302</v>
      </c>
      <c r="M83" s="33" t="s">
        <v>1303</v>
      </c>
      <c r="N83" s="37" t="s">
        <v>186</v>
      </c>
      <c r="O83" s="37" t="s">
        <v>692</v>
      </c>
      <c r="Q83" s="9" t="s">
        <v>59</v>
      </c>
      <c r="R83" s="6" t="s">
        <v>59</v>
      </c>
      <c r="S83" s="10" t="b">
        <v>1</v>
      </c>
      <c r="T83" s="10" t="b">
        <v>0</v>
      </c>
      <c r="U83" s="10" t="b">
        <v>0</v>
      </c>
      <c r="V83" s="6" t="s">
        <v>63</v>
      </c>
      <c r="W83" s="6" t="s">
        <v>104</v>
      </c>
      <c r="X83" s="6" t="s">
        <v>63</v>
      </c>
      <c r="Y83" s="12" t="b">
        <v>0</v>
      </c>
      <c r="Z83" s="10" t="s">
        <v>63</v>
      </c>
      <c r="AA83" s="13" t="s">
        <v>63</v>
      </c>
      <c r="AB83" s="10" t="s">
        <v>63</v>
      </c>
      <c r="AC83" s="10" t="s">
        <v>63</v>
      </c>
      <c r="AD83" s="12" t="b">
        <v>0</v>
      </c>
      <c r="AE83" s="10" t="s">
        <v>63</v>
      </c>
      <c r="AF83" s="13" t="s">
        <v>63</v>
      </c>
      <c r="AG83" s="10" t="s">
        <v>63</v>
      </c>
      <c r="AH83" s="10" t="s">
        <v>63</v>
      </c>
      <c r="AI83" s="12" t="b">
        <v>0</v>
      </c>
      <c r="AJ83" s="10" t="s">
        <v>63</v>
      </c>
      <c r="AK83" s="13" t="s">
        <v>63</v>
      </c>
      <c r="AL83" s="10" t="s">
        <v>63</v>
      </c>
      <c r="AM83" s="10" t="s">
        <v>63</v>
      </c>
      <c r="AN83" s="9" t="b">
        <v>1</v>
      </c>
      <c r="AO83" s="9" t="b">
        <v>0</v>
      </c>
      <c r="AP83" s="14" t="s">
        <v>1304</v>
      </c>
      <c r="AQ83" s="9" t="s">
        <v>65</v>
      </c>
      <c r="AR83" s="9" t="s">
        <v>65</v>
      </c>
      <c r="AS83" s="6"/>
      <c r="AT83" s="6"/>
      <c r="AU83" s="6"/>
      <c r="AV83" s="6"/>
      <c r="AW83" s="6"/>
      <c r="AX83" s="6"/>
      <c r="AY83" s="6"/>
      <c r="AZ83" s="6"/>
      <c r="BA83" s="6"/>
    </row>
    <row r="84" ht="22.5" customHeight="1">
      <c r="A84" s="7" t="s">
        <v>1305</v>
      </c>
      <c r="B84" s="8" t="s">
        <v>1306</v>
      </c>
      <c r="C84" s="8" t="s">
        <v>1307</v>
      </c>
      <c r="D84" s="9" t="s">
        <v>1308</v>
      </c>
      <c r="E84" s="9" t="s">
        <v>1309</v>
      </c>
      <c r="F84" s="9" t="s">
        <v>1310</v>
      </c>
      <c r="G84" s="6" t="s">
        <v>1311</v>
      </c>
      <c r="H84" s="15" t="b">
        <v>1</v>
      </c>
      <c r="I84" s="11" t="s">
        <v>1312</v>
      </c>
      <c r="J84" s="11" t="s">
        <v>1313</v>
      </c>
      <c r="K84" s="11" t="s">
        <v>1314</v>
      </c>
      <c r="L84" s="40" t="s">
        <v>1315</v>
      </c>
      <c r="M84" s="25" t="s">
        <v>1316</v>
      </c>
      <c r="N84" s="37" t="s">
        <v>1317</v>
      </c>
      <c r="O84" s="37" t="s">
        <v>469</v>
      </c>
      <c r="Q84" s="9" t="s">
        <v>59</v>
      </c>
      <c r="R84" s="8" t="s">
        <v>59</v>
      </c>
      <c r="S84" s="10" t="b">
        <v>0</v>
      </c>
      <c r="T84" s="10" t="b">
        <v>0</v>
      </c>
      <c r="U84" s="15" t="b">
        <v>0</v>
      </c>
      <c r="V84" s="8" t="s">
        <v>63</v>
      </c>
      <c r="W84" s="8" t="s">
        <v>104</v>
      </c>
      <c r="X84" s="8" t="s">
        <v>63</v>
      </c>
      <c r="Y84" s="12" t="b">
        <v>0</v>
      </c>
      <c r="Z84" s="10" t="s">
        <v>63</v>
      </c>
      <c r="AA84" s="13" t="s">
        <v>63</v>
      </c>
      <c r="AB84" s="10" t="s">
        <v>63</v>
      </c>
      <c r="AC84" s="10" t="s">
        <v>63</v>
      </c>
      <c r="AD84" s="12" t="b">
        <v>0</v>
      </c>
      <c r="AE84" s="10" t="s">
        <v>63</v>
      </c>
      <c r="AF84" s="13" t="s">
        <v>63</v>
      </c>
      <c r="AG84" s="10" t="s">
        <v>63</v>
      </c>
      <c r="AH84" s="10" t="s">
        <v>63</v>
      </c>
      <c r="AI84" s="12" t="b">
        <v>0</v>
      </c>
      <c r="AJ84" s="10" t="s">
        <v>63</v>
      </c>
      <c r="AK84" s="13" t="s">
        <v>63</v>
      </c>
      <c r="AL84" s="10" t="s">
        <v>63</v>
      </c>
      <c r="AM84" s="10" t="s">
        <v>63</v>
      </c>
      <c r="AN84" s="9" t="b">
        <v>1</v>
      </c>
      <c r="AO84" s="9" t="b">
        <v>0</v>
      </c>
      <c r="AP84" s="14" t="s">
        <v>1318</v>
      </c>
      <c r="AQ84" s="9" t="s">
        <v>65</v>
      </c>
      <c r="AR84" s="9" t="s">
        <v>65</v>
      </c>
      <c r="AS84" s="6"/>
      <c r="AT84" s="6"/>
      <c r="AU84" s="6"/>
      <c r="AV84" s="6"/>
      <c r="AW84" s="6"/>
      <c r="AX84" s="6"/>
      <c r="AY84" s="6"/>
      <c r="AZ84" s="6"/>
      <c r="BA84" s="6"/>
    </row>
    <row r="85" ht="22.5" customHeight="1">
      <c r="A85" s="7" t="s">
        <v>1319</v>
      </c>
      <c r="B85" s="8" t="s">
        <v>1320</v>
      </c>
      <c r="C85" s="8" t="s">
        <v>1321</v>
      </c>
      <c r="D85" s="9" t="s">
        <v>1322</v>
      </c>
      <c r="E85" s="9" t="s">
        <v>1323</v>
      </c>
      <c r="F85" s="9" t="s">
        <v>1324</v>
      </c>
      <c r="G85" s="6" t="s">
        <v>1325</v>
      </c>
      <c r="H85" s="15" t="b">
        <v>1</v>
      </c>
      <c r="I85" s="6" t="s">
        <v>1326</v>
      </c>
      <c r="J85" s="6" t="s">
        <v>1327</v>
      </c>
      <c r="K85" s="6" t="s">
        <v>1328</v>
      </c>
      <c r="L85" s="37" t="s">
        <v>1329</v>
      </c>
      <c r="M85" s="33" t="s">
        <v>512</v>
      </c>
      <c r="N85" s="37" t="s">
        <v>103</v>
      </c>
      <c r="O85" s="37" t="s">
        <v>86</v>
      </c>
      <c r="Q85" s="9" t="s">
        <v>80</v>
      </c>
      <c r="R85" s="6" t="s">
        <v>81</v>
      </c>
      <c r="S85" s="10" t="b">
        <v>0</v>
      </c>
      <c r="T85" s="10" t="b">
        <v>1</v>
      </c>
      <c r="U85" s="10" t="b">
        <v>1</v>
      </c>
      <c r="V85" s="14" t="s">
        <v>1330</v>
      </c>
      <c r="W85" s="9" t="s">
        <v>1331</v>
      </c>
      <c r="X85" s="9" t="s">
        <v>79</v>
      </c>
      <c r="Y85" s="10" t="b">
        <v>1</v>
      </c>
      <c r="Z85" s="10" t="b">
        <v>1</v>
      </c>
      <c r="AA85" s="14" t="s">
        <v>1332</v>
      </c>
      <c r="AB85" s="8" t="s">
        <v>103</v>
      </c>
      <c r="AC85" s="8" t="s">
        <v>86</v>
      </c>
      <c r="AD85" s="10" t="b">
        <v>1</v>
      </c>
      <c r="AE85" s="10" t="b">
        <v>1</v>
      </c>
      <c r="AF85" s="14" t="s">
        <v>1332</v>
      </c>
      <c r="AG85" s="8" t="s">
        <v>103</v>
      </c>
      <c r="AH85" s="8" t="s">
        <v>86</v>
      </c>
      <c r="AI85" s="10" t="b">
        <v>1</v>
      </c>
      <c r="AJ85" s="10" t="b">
        <v>1</v>
      </c>
      <c r="AK85" s="14" t="s">
        <v>1332</v>
      </c>
      <c r="AL85" s="8" t="s">
        <v>103</v>
      </c>
      <c r="AM85" s="8" t="s">
        <v>86</v>
      </c>
      <c r="AN85" s="9" t="b">
        <v>1</v>
      </c>
      <c r="AO85" s="9" t="b">
        <v>0</v>
      </c>
      <c r="AP85" s="14" t="s">
        <v>1333</v>
      </c>
      <c r="AQ85" s="9" t="s">
        <v>65</v>
      </c>
      <c r="AR85" s="9" t="s">
        <v>65</v>
      </c>
      <c r="AS85" s="6"/>
      <c r="AT85" s="6"/>
      <c r="AU85" s="6"/>
      <c r="AV85" s="6"/>
      <c r="AW85" s="6"/>
      <c r="AX85" s="6"/>
      <c r="AY85" s="6"/>
      <c r="AZ85" s="6"/>
      <c r="BA85" s="6"/>
    </row>
    <row r="86" ht="22.5" customHeight="1">
      <c r="A86" s="7" t="s">
        <v>1334</v>
      </c>
      <c r="B86" s="8" t="s">
        <v>1335</v>
      </c>
      <c r="C86" s="8" t="s">
        <v>1336</v>
      </c>
      <c r="D86" s="9" t="s">
        <v>1337</v>
      </c>
      <c r="E86" s="9" t="s">
        <v>1338</v>
      </c>
      <c r="F86" s="9" t="s">
        <v>1339</v>
      </c>
      <c r="G86" s="6" t="s">
        <v>1340</v>
      </c>
      <c r="H86" s="10" t="b">
        <v>1</v>
      </c>
      <c r="I86" s="6" t="s">
        <v>1341</v>
      </c>
      <c r="J86" s="6" t="s">
        <v>1342</v>
      </c>
      <c r="K86" s="6" t="s">
        <v>1343</v>
      </c>
      <c r="L86" s="6" t="s">
        <v>1344</v>
      </c>
      <c r="M86" s="8" t="s">
        <v>1345</v>
      </c>
      <c r="N86" s="6" t="s">
        <v>1346</v>
      </c>
      <c r="O86" s="30" t="s">
        <v>1347</v>
      </c>
      <c r="P86" s="6"/>
      <c r="Q86" s="9" t="s">
        <v>80</v>
      </c>
      <c r="R86" s="8" t="s">
        <v>1348</v>
      </c>
      <c r="S86" s="15" t="b">
        <v>0</v>
      </c>
      <c r="T86" s="15" t="b">
        <v>1</v>
      </c>
      <c r="U86" s="15" t="b">
        <v>0</v>
      </c>
      <c r="V86" s="28" t="s">
        <v>1349</v>
      </c>
      <c r="W86" s="9" t="s">
        <v>188</v>
      </c>
      <c r="X86" s="8" t="s">
        <v>189</v>
      </c>
      <c r="Y86" s="10" t="b">
        <v>1</v>
      </c>
      <c r="Z86" s="15" t="b">
        <v>0</v>
      </c>
      <c r="AA86" s="28" t="s">
        <v>1350</v>
      </c>
      <c r="AB86" s="8" t="s">
        <v>65</v>
      </c>
      <c r="AC86" s="8" t="s">
        <v>65</v>
      </c>
      <c r="AD86" s="10" t="b">
        <v>1</v>
      </c>
      <c r="AE86" s="15" t="b">
        <v>0</v>
      </c>
      <c r="AF86" s="28" t="s">
        <v>1351</v>
      </c>
      <c r="AG86" s="8" t="s">
        <v>65</v>
      </c>
      <c r="AH86" s="8" t="s">
        <v>65</v>
      </c>
      <c r="AI86" s="10" t="b">
        <v>1</v>
      </c>
      <c r="AJ86" s="15" t="b">
        <v>0</v>
      </c>
      <c r="AK86" s="28" t="s">
        <v>1350</v>
      </c>
      <c r="AL86" s="8" t="s">
        <v>65</v>
      </c>
      <c r="AM86" s="24" t="s">
        <v>65</v>
      </c>
      <c r="AN86" s="9" t="b">
        <v>1</v>
      </c>
      <c r="AO86" s="9" t="b">
        <v>0</v>
      </c>
      <c r="AP86" s="14" t="s">
        <v>1352</v>
      </c>
      <c r="AQ86" s="9" t="s">
        <v>65</v>
      </c>
      <c r="AR86" s="9" t="s">
        <v>65</v>
      </c>
      <c r="AS86" s="6"/>
      <c r="AT86" s="6"/>
      <c r="AU86" s="6"/>
      <c r="AV86" s="6"/>
      <c r="AW86" s="6"/>
      <c r="AX86" s="6"/>
      <c r="AY86" s="6"/>
      <c r="AZ86" s="6"/>
      <c r="BA86" s="6"/>
    </row>
    <row r="87" ht="22.5" customHeight="1">
      <c r="A87" s="7" t="s">
        <v>1353</v>
      </c>
      <c r="B87" s="8" t="s">
        <v>1354</v>
      </c>
      <c r="C87" s="8" t="s">
        <v>1355</v>
      </c>
      <c r="D87" s="9" t="s">
        <v>1356</v>
      </c>
      <c r="E87" s="9" t="s">
        <v>1357</v>
      </c>
      <c r="F87" s="9" t="s">
        <v>1358</v>
      </c>
      <c r="G87" s="6" t="s">
        <v>1359</v>
      </c>
      <c r="H87" s="10" t="b">
        <v>0</v>
      </c>
      <c r="I87" s="6" t="s">
        <v>1360</v>
      </c>
      <c r="J87" s="6" t="s">
        <v>1361</v>
      </c>
      <c r="K87" s="6" t="s">
        <v>1362</v>
      </c>
      <c r="L87" s="6" t="s">
        <v>1363</v>
      </c>
      <c r="M87" s="8" t="s">
        <v>1364</v>
      </c>
      <c r="N87" s="45" t="s">
        <v>1365</v>
      </c>
      <c r="O87" s="42" t="s">
        <v>1366</v>
      </c>
      <c r="P87" s="6"/>
      <c r="Q87" s="9" t="s">
        <v>80</v>
      </c>
      <c r="R87" s="8" t="s">
        <v>81</v>
      </c>
      <c r="S87" s="10" t="b">
        <v>1</v>
      </c>
      <c r="T87" s="15" t="b">
        <v>1</v>
      </c>
      <c r="U87" s="15" t="b">
        <v>1</v>
      </c>
      <c r="V87" s="28" t="s">
        <v>1367</v>
      </c>
      <c r="W87" s="9" t="s">
        <v>694</v>
      </c>
      <c r="X87" s="9" t="s">
        <v>62</v>
      </c>
      <c r="Y87" s="10" t="b">
        <v>1</v>
      </c>
      <c r="Z87" s="10" t="b">
        <v>1</v>
      </c>
      <c r="AA87" s="28" t="s">
        <v>1368</v>
      </c>
      <c r="AB87" s="8" t="s">
        <v>186</v>
      </c>
      <c r="AC87" s="8" t="s">
        <v>58</v>
      </c>
      <c r="AD87" s="10" t="b">
        <v>1</v>
      </c>
      <c r="AE87" s="10" t="b">
        <v>1</v>
      </c>
      <c r="AF87" s="28" t="s">
        <v>1369</v>
      </c>
      <c r="AG87" s="9" t="s">
        <v>1370</v>
      </c>
      <c r="AH87" s="9" t="s">
        <v>62</v>
      </c>
      <c r="AI87" s="10" t="b">
        <v>1</v>
      </c>
      <c r="AJ87" s="10" t="b">
        <v>1</v>
      </c>
      <c r="AK87" s="28" t="s">
        <v>1368</v>
      </c>
      <c r="AL87" s="8" t="s">
        <v>186</v>
      </c>
      <c r="AM87" s="8" t="s">
        <v>58</v>
      </c>
      <c r="AN87" s="9" t="b">
        <v>1</v>
      </c>
      <c r="AO87" s="9" t="b">
        <v>0</v>
      </c>
      <c r="AP87" s="14" t="s">
        <v>1371</v>
      </c>
      <c r="AQ87" s="9" t="s">
        <v>65</v>
      </c>
      <c r="AR87" s="9" t="s">
        <v>65</v>
      </c>
      <c r="AS87" s="6"/>
      <c r="AT87" s="6"/>
      <c r="AU87" s="6"/>
      <c r="AV87" s="6"/>
      <c r="AW87" s="6"/>
      <c r="AX87" s="6"/>
      <c r="AY87" s="6"/>
      <c r="AZ87" s="6"/>
      <c r="BA87" s="6"/>
    </row>
    <row r="88" ht="22.5" customHeight="1">
      <c r="A88" s="7" t="s">
        <v>1372</v>
      </c>
      <c r="B88" s="8" t="s">
        <v>1373</v>
      </c>
      <c r="C88" s="8" t="s">
        <v>1374</v>
      </c>
      <c r="D88" s="9" t="s">
        <v>1375</v>
      </c>
      <c r="E88" s="9" t="s">
        <v>1376</v>
      </c>
      <c r="F88" s="9" t="s">
        <v>1377</v>
      </c>
      <c r="G88" s="6" t="s">
        <v>1378</v>
      </c>
      <c r="H88" s="10" t="b">
        <v>0</v>
      </c>
      <c r="I88" s="14" t="s">
        <v>1379</v>
      </c>
      <c r="J88" s="6" t="s">
        <v>1380</v>
      </c>
      <c r="K88" s="6" t="s">
        <v>1381</v>
      </c>
      <c r="L88" s="6" t="s">
        <v>1382</v>
      </c>
      <c r="M88" s="35" t="s">
        <v>1383</v>
      </c>
      <c r="N88" s="37" t="s">
        <v>186</v>
      </c>
      <c r="O88" s="37" t="s">
        <v>1384</v>
      </c>
      <c r="P88" s="6"/>
      <c r="Q88" s="9" t="s">
        <v>80</v>
      </c>
      <c r="R88" s="8" t="s">
        <v>81</v>
      </c>
      <c r="S88" s="10" t="b">
        <v>0</v>
      </c>
      <c r="T88" s="10" t="b">
        <v>1</v>
      </c>
      <c r="U88" s="15" t="b">
        <v>1</v>
      </c>
      <c r="V88" s="14" t="s">
        <v>1385</v>
      </c>
      <c r="W88" s="9" t="s">
        <v>1331</v>
      </c>
      <c r="X88" s="9" t="s">
        <v>79</v>
      </c>
      <c r="Y88" s="10" t="b">
        <v>1</v>
      </c>
      <c r="Z88" s="10" t="b">
        <v>1</v>
      </c>
      <c r="AA88" s="14" t="s">
        <v>1386</v>
      </c>
      <c r="AB88" s="9" t="s">
        <v>103</v>
      </c>
      <c r="AC88" s="9" t="s">
        <v>86</v>
      </c>
      <c r="AD88" s="10" t="b">
        <v>1</v>
      </c>
      <c r="AE88" s="10" t="b">
        <v>1</v>
      </c>
      <c r="AF88" s="14" t="s">
        <v>1387</v>
      </c>
      <c r="AG88" s="9" t="s">
        <v>1370</v>
      </c>
      <c r="AH88" s="9" t="s">
        <v>62</v>
      </c>
      <c r="AI88" s="10" t="b">
        <v>1</v>
      </c>
      <c r="AJ88" s="10" t="b">
        <v>1</v>
      </c>
      <c r="AK88" s="14" t="s">
        <v>1386</v>
      </c>
      <c r="AL88" s="9" t="s">
        <v>103</v>
      </c>
      <c r="AM88" s="9" t="s">
        <v>86</v>
      </c>
      <c r="AN88" s="9" t="b">
        <v>1</v>
      </c>
      <c r="AO88" s="9" t="b">
        <v>0</v>
      </c>
      <c r="AP88" s="14" t="s">
        <v>1388</v>
      </c>
      <c r="AQ88" s="9" t="s">
        <v>65</v>
      </c>
      <c r="AR88" s="9" t="s">
        <v>65</v>
      </c>
      <c r="AS88" s="6"/>
      <c r="AT88" s="6"/>
      <c r="AU88" s="6"/>
      <c r="AV88" s="6"/>
      <c r="AW88" s="6"/>
      <c r="AX88" s="6"/>
      <c r="AY88" s="6"/>
      <c r="AZ88" s="6"/>
      <c r="BA88" s="6"/>
    </row>
    <row r="89" ht="22.5" customHeight="1">
      <c r="A89" s="7" t="s">
        <v>1389</v>
      </c>
      <c r="B89" s="8" t="s">
        <v>1390</v>
      </c>
      <c r="C89" s="8" t="s">
        <v>1391</v>
      </c>
      <c r="D89" s="9" t="s">
        <v>1392</v>
      </c>
      <c r="E89" s="9" t="s">
        <v>1393</v>
      </c>
      <c r="F89" s="9" t="s">
        <v>1394</v>
      </c>
      <c r="G89" s="6" t="s">
        <v>1395</v>
      </c>
      <c r="H89" s="10" t="b">
        <v>0</v>
      </c>
      <c r="I89" s="11" t="s">
        <v>1396</v>
      </c>
      <c r="J89" s="11" t="s">
        <v>1397</v>
      </c>
      <c r="K89" s="11" t="s">
        <v>1398</v>
      </c>
      <c r="L89" s="11" t="s">
        <v>1399</v>
      </c>
      <c r="M89" s="27" t="s">
        <v>1400</v>
      </c>
      <c r="N89" s="6" t="s">
        <v>103</v>
      </c>
      <c r="O89" s="6" t="s">
        <v>86</v>
      </c>
      <c r="P89" s="6"/>
      <c r="Q89" s="9" t="s">
        <v>80</v>
      </c>
      <c r="R89" s="6" t="s">
        <v>81</v>
      </c>
      <c r="S89" s="10" t="b">
        <v>0</v>
      </c>
      <c r="T89" s="10" t="b">
        <v>0</v>
      </c>
      <c r="U89" s="10" t="b">
        <v>0</v>
      </c>
      <c r="V89" s="6" t="s">
        <v>63</v>
      </c>
      <c r="W89" s="6" t="s">
        <v>104</v>
      </c>
      <c r="X89" s="6" t="s">
        <v>63</v>
      </c>
      <c r="Y89" s="10" t="b">
        <v>1</v>
      </c>
      <c r="Z89" s="10" t="b">
        <v>1</v>
      </c>
      <c r="AA89" s="28" t="s">
        <v>1401</v>
      </c>
      <c r="AB89" s="8" t="s">
        <v>103</v>
      </c>
      <c r="AC89" s="8" t="s">
        <v>86</v>
      </c>
      <c r="AD89" s="10" t="b">
        <v>1</v>
      </c>
      <c r="AE89" s="10" t="b">
        <v>0</v>
      </c>
      <c r="AF89" s="28" t="s">
        <v>1402</v>
      </c>
      <c r="AG89" s="8" t="s">
        <v>1403</v>
      </c>
      <c r="AH89" s="8" t="s">
        <v>79</v>
      </c>
      <c r="AI89" s="10" t="b">
        <v>1</v>
      </c>
      <c r="AJ89" s="10" t="b">
        <v>1</v>
      </c>
      <c r="AK89" s="28" t="s">
        <v>1401</v>
      </c>
      <c r="AL89" s="8" t="s">
        <v>103</v>
      </c>
      <c r="AM89" s="8" t="s">
        <v>86</v>
      </c>
      <c r="AN89" s="9" t="b">
        <v>1</v>
      </c>
      <c r="AO89" s="9" t="b">
        <v>0</v>
      </c>
      <c r="AP89" s="14" t="s">
        <v>1404</v>
      </c>
      <c r="AQ89" s="9" t="s">
        <v>65</v>
      </c>
      <c r="AR89" s="9" t="s">
        <v>65</v>
      </c>
      <c r="AS89" s="6"/>
      <c r="AT89" s="6"/>
      <c r="AU89" s="6"/>
      <c r="AV89" s="6"/>
      <c r="AW89" s="6"/>
      <c r="AX89" s="6"/>
      <c r="AY89" s="6"/>
      <c r="AZ89" s="6"/>
      <c r="BA89" s="6"/>
    </row>
    <row r="90" ht="22.5" customHeight="1">
      <c r="A90" s="7" t="s">
        <v>1405</v>
      </c>
      <c r="B90" s="8" t="s">
        <v>1406</v>
      </c>
      <c r="C90" s="8" t="s">
        <v>1407</v>
      </c>
      <c r="D90" s="9" t="s">
        <v>1408</v>
      </c>
      <c r="E90" s="9" t="s">
        <v>1409</v>
      </c>
      <c r="F90" s="9" t="s">
        <v>1410</v>
      </c>
      <c r="G90" s="6" t="s">
        <v>1411</v>
      </c>
      <c r="H90" s="15" t="b">
        <v>1</v>
      </c>
      <c r="I90" s="6" t="s">
        <v>1412</v>
      </c>
      <c r="J90" s="6" t="s">
        <v>1413</v>
      </c>
      <c r="K90" s="6" t="s">
        <v>1414</v>
      </c>
      <c r="L90" s="11" t="s">
        <v>1413</v>
      </c>
      <c r="M90" s="8" t="s">
        <v>1415</v>
      </c>
      <c r="N90" s="42" t="s">
        <v>169</v>
      </c>
      <c r="O90" s="42" t="s">
        <v>170</v>
      </c>
      <c r="P90" s="6"/>
      <c r="Q90" s="9" t="s">
        <v>59</v>
      </c>
      <c r="R90" s="6" t="s">
        <v>59</v>
      </c>
      <c r="S90" s="10" t="b">
        <v>0</v>
      </c>
      <c r="T90" s="10" t="b">
        <v>0</v>
      </c>
      <c r="U90" s="15" t="b">
        <v>0</v>
      </c>
      <c r="V90" s="8" t="s">
        <v>63</v>
      </c>
      <c r="W90" s="8" t="s">
        <v>104</v>
      </c>
      <c r="X90" s="8" t="s">
        <v>63</v>
      </c>
      <c r="Y90" s="12" t="b">
        <v>0</v>
      </c>
      <c r="Z90" s="10" t="s">
        <v>63</v>
      </c>
      <c r="AA90" s="13" t="s">
        <v>63</v>
      </c>
      <c r="AB90" s="10" t="s">
        <v>63</v>
      </c>
      <c r="AC90" s="10" t="s">
        <v>63</v>
      </c>
      <c r="AD90" s="12" t="b">
        <v>0</v>
      </c>
      <c r="AE90" s="10" t="s">
        <v>63</v>
      </c>
      <c r="AF90" s="13" t="s">
        <v>63</v>
      </c>
      <c r="AG90" s="10" t="s">
        <v>63</v>
      </c>
      <c r="AH90" s="10" t="s">
        <v>63</v>
      </c>
      <c r="AI90" s="12" t="b">
        <v>0</v>
      </c>
      <c r="AJ90" s="10" t="s">
        <v>63</v>
      </c>
      <c r="AK90" s="13" t="s">
        <v>63</v>
      </c>
      <c r="AL90" s="10" t="s">
        <v>63</v>
      </c>
      <c r="AM90" s="10" t="s">
        <v>63</v>
      </c>
      <c r="AN90" s="9" t="b">
        <v>1</v>
      </c>
      <c r="AO90" s="9" t="b">
        <v>0</v>
      </c>
      <c r="AP90" s="14" t="s">
        <v>1416</v>
      </c>
      <c r="AQ90" s="9" t="s">
        <v>65</v>
      </c>
      <c r="AR90" s="9" t="s">
        <v>65</v>
      </c>
      <c r="AS90" s="6"/>
      <c r="AT90" s="6"/>
      <c r="AU90" s="6"/>
      <c r="AV90" s="6"/>
      <c r="AW90" s="6"/>
      <c r="AX90" s="6"/>
      <c r="AY90" s="6"/>
      <c r="AZ90" s="6"/>
      <c r="BA90" s="6"/>
    </row>
    <row r="91" ht="22.5" customHeight="1">
      <c r="A91" s="7" t="s">
        <v>1417</v>
      </c>
      <c r="B91" s="8" t="s">
        <v>1418</v>
      </c>
      <c r="C91" s="8" t="s">
        <v>1419</v>
      </c>
      <c r="D91" s="9" t="s">
        <v>1420</v>
      </c>
      <c r="E91" s="9" t="s">
        <v>1421</v>
      </c>
      <c r="F91" s="9" t="s">
        <v>1422</v>
      </c>
      <c r="G91" s="6" t="s">
        <v>180</v>
      </c>
      <c r="H91" s="10" t="b">
        <v>1</v>
      </c>
      <c r="I91" s="6" t="s">
        <v>1423</v>
      </c>
      <c r="J91" s="6" t="s">
        <v>1424</v>
      </c>
      <c r="K91" s="6" t="s">
        <v>1425</v>
      </c>
      <c r="L91" s="6" t="s">
        <v>1426</v>
      </c>
      <c r="M91" s="19" t="s">
        <v>1427</v>
      </c>
      <c r="N91" s="20" t="s">
        <v>186</v>
      </c>
      <c r="O91" s="46" t="s">
        <v>1428</v>
      </c>
      <c r="P91" s="6"/>
      <c r="Q91" s="9" t="s">
        <v>59</v>
      </c>
      <c r="R91" s="8" t="s">
        <v>59</v>
      </c>
      <c r="S91" s="10" t="b">
        <v>0</v>
      </c>
      <c r="T91" s="15" t="b">
        <v>1</v>
      </c>
      <c r="U91" s="15" t="b">
        <v>0</v>
      </c>
      <c r="V91" s="28" t="s">
        <v>1429</v>
      </c>
      <c r="W91" s="9" t="s">
        <v>188</v>
      </c>
      <c r="X91" s="8" t="s">
        <v>189</v>
      </c>
      <c r="Y91" s="12" t="b">
        <v>0</v>
      </c>
      <c r="Z91" s="10" t="s">
        <v>63</v>
      </c>
      <c r="AA91" s="13" t="s">
        <v>63</v>
      </c>
      <c r="AB91" s="10" t="s">
        <v>63</v>
      </c>
      <c r="AC91" s="10" t="s">
        <v>63</v>
      </c>
      <c r="AD91" s="12" t="b">
        <v>0</v>
      </c>
      <c r="AE91" s="10" t="s">
        <v>63</v>
      </c>
      <c r="AF91" s="13" t="s">
        <v>63</v>
      </c>
      <c r="AG91" s="10" t="s">
        <v>63</v>
      </c>
      <c r="AH91" s="10" t="s">
        <v>63</v>
      </c>
      <c r="AI91" s="12" t="b">
        <v>0</v>
      </c>
      <c r="AJ91" s="10" t="s">
        <v>63</v>
      </c>
      <c r="AK91" s="13" t="s">
        <v>63</v>
      </c>
      <c r="AL91" s="10" t="s">
        <v>63</v>
      </c>
      <c r="AM91" s="10" t="s">
        <v>63</v>
      </c>
      <c r="AN91" s="9" t="b">
        <v>1</v>
      </c>
      <c r="AO91" s="9" t="b">
        <v>0</v>
      </c>
      <c r="AP91" s="14" t="s">
        <v>1430</v>
      </c>
      <c r="AQ91" s="9" t="s">
        <v>65</v>
      </c>
      <c r="AR91" s="9" t="s">
        <v>65</v>
      </c>
      <c r="AS91" s="6"/>
      <c r="AT91" s="6"/>
      <c r="AU91" s="6"/>
      <c r="AV91" s="6"/>
      <c r="AW91" s="6"/>
      <c r="AX91" s="6"/>
      <c r="AY91" s="6"/>
      <c r="AZ91" s="6"/>
      <c r="BA91" s="6"/>
    </row>
    <row r="92" ht="22.5" customHeight="1">
      <c r="A92" s="7" t="s">
        <v>1431</v>
      </c>
      <c r="B92" s="8" t="s">
        <v>1432</v>
      </c>
      <c r="C92" s="8" t="s">
        <v>1433</v>
      </c>
      <c r="D92" s="9" t="s">
        <v>1434</v>
      </c>
      <c r="E92" s="9" t="s">
        <v>1435</v>
      </c>
      <c r="F92" s="9" t="s">
        <v>1436</v>
      </c>
      <c r="G92" s="6" t="s">
        <v>1437</v>
      </c>
      <c r="H92" s="10" t="b">
        <v>0</v>
      </c>
      <c r="I92" s="6" t="s">
        <v>1438</v>
      </c>
      <c r="J92" s="6" t="s">
        <v>1439</v>
      </c>
      <c r="K92" s="6" t="s">
        <v>1440</v>
      </c>
      <c r="L92" s="6" t="s">
        <v>1441</v>
      </c>
      <c r="M92" s="42" t="s">
        <v>1442</v>
      </c>
      <c r="N92" s="6" t="s">
        <v>268</v>
      </c>
      <c r="O92" s="6" t="s">
        <v>170</v>
      </c>
      <c r="P92" s="6"/>
      <c r="Q92" s="9" t="s">
        <v>59</v>
      </c>
      <c r="R92" s="6" t="s">
        <v>59</v>
      </c>
      <c r="S92" s="10" t="b">
        <v>0</v>
      </c>
      <c r="T92" s="10" t="b">
        <v>0</v>
      </c>
      <c r="U92" s="15" t="b">
        <v>0</v>
      </c>
      <c r="V92" s="8" t="s">
        <v>63</v>
      </c>
      <c r="W92" s="8" t="s">
        <v>104</v>
      </c>
      <c r="X92" s="8" t="s">
        <v>63</v>
      </c>
      <c r="Y92" s="12" t="b">
        <v>0</v>
      </c>
      <c r="Z92" s="10" t="s">
        <v>63</v>
      </c>
      <c r="AA92" s="13" t="s">
        <v>63</v>
      </c>
      <c r="AB92" s="10" t="s">
        <v>63</v>
      </c>
      <c r="AC92" s="10" t="s">
        <v>63</v>
      </c>
      <c r="AD92" s="12" t="b">
        <v>0</v>
      </c>
      <c r="AE92" s="10" t="s">
        <v>63</v>
      </c>
      <c r="AF92" s="13" t="s">
        <v>63</v>
      </c>
      <c r="AG92" s="10" t="s">
        <v>63</v>
      </c>
      <c r="AH92" s="10" t="s">
        <v>63</v>
      </c>
      <c r="AI92" s="12" t="b">
        <v>0</v>
      </c>
      <c r="AJ92" s="10" t="s">
        <v>63</v>
      </c>
      <c r="AK92" s="13" t="s">
        <v>63</v>
      </c>
      <c r="AL92" s="10" t="s">
        <v>63</v>
      </c>
      <c r="AM92" s="10" t="s">
        <v>63</v>
      </c>
      <c r="AN92" s="9" t="b">
        <v>1</v>
      </c>
      <c r="AO92" s="9" t="b">
        <v>0</v>
      </c>
      <c r="AP92" s="14" t="s">
        <v>1443</v>
      </c>
      <c r="AQ92" s="9" t="s">
        <v>65</v>
      </c>
      <c r="AR92" s="9" t="s">
        <v>65</v>
      </c>
      <c r="AS92" s="6"/>
      <c r="AT92" s="6"/>
      <c r="AU92" s="6"/>
      <c r="AV92" s="6"/>
      <c r="AW92" s="6"/>
      <c r="AX92" s="6"/>
      <c r="AY92" s="6"/>
      <c r="AZ92" s="6"/>
      <c r="BA92" s="6"/>
    </row>
    <row r="93" ht="22.5" customHeight="1">
      <c r="A93" s="7" t="s">
        <v>1444</v>
      </c>
      <c r="B93" s="8" t="s">
        <v>1445</v>
      </c>
      <c r="C93" s="8" t="s">
        <v>1446</v>
      </c>
      <c r="D93" s="9" t="s">
        <v>1447</v>
      </c>
      <c r="E93" s="9" t="s">
        <v>1448</v>
      </c>
      <c r="F93" s="9" t="s">
        <v>1449</v>
      </c>
      <c r="G93" s="6" t="s">
        <v>1057</v>
      </c>
      <c r="H93" s="10" t="b">
        <v>1</v>
      </c>
      <c r="I93" s="8" t="s">
        <v>1450</v>
      </c>
      <c r="J93" s="8" t="s">
        <v>1451</v>
      </c>
      <c r="K93" s="6" t="s">
        <v>1452</v>
      </c>
      <c r="L93" s="8" t="s">
        <v>1451</v>
      </c>
      <c r="M93" s="6" t="s">
        <v>1453</v>
      </c>
      <c r="N93" s="6" t="s">
        <v>268</v>
      </c>
      <c r="O93" s="6" t="s">
        <v>170</v>
      </c>
      <c r="P93" s="6"/>
      <c r="Q93" s="9" t="s">
        <v>59</v>
      </c>
      <c r="R93" s="6" t="s">
        <v>59</v>
      </c>
      <c r="S93" s="10" t="b">
        <v>0</v>
      </c>
      <c r="T93" s="10" t="b">
        <v>0</v>
      </c>
      <c r="U93" s="15" t="b">
        <v>0</v>
      </c>
      <c r="V93" s="6" t="s">
        <v>63</v>
      </c>
      <c r="W93" s="6" t="s">
        <v>104</v>
      </c>
      <c r="X93" s="6" t="s">
        <v>63</v>
      </c>
      <c r="Y93" s="12" t="b">
        <v>0</v>
      </c>
      <c r="Z93" s="10" t="s">
        <v>63</v>
      </c>
      <c r="AA93" s="13" t="s">
        <v>63</v>
      </c>
      <c r="AB93" s="10" t="s">
        <v>63</v>
      </c>
      <c r="AC93" s="10" t="s">
        <v>63</v>
      </c>
      <c r="AD93" s="12" t="b">
        <v>0</v>
      </c>
      <c r="AE93" s="10" t="s">
        <v>63</v>
      </c>
      <c r="AF93" s="13" t="s">
        <v>63</v>
      </c>
      <c r="AG93" s="10" t="s">
        <v>63</v>
      </c>
      <c r="AH93" s="10" t="s">
        <v>63</v>
      </c>
      <c r="AI93" s="12" t="b">
        <v>0</v>
      </c>
      <c r="AJ93" s="10" t="s">
        <v>63</v>
      </c>
      <c r="AK93" s="13" t="s">
        <v>63</v>
      </c>
      <c r="AL93" s="10" t="s">
        <v>63</v>
      </c>
      <c r="AM93" s="10" t="s">
        <v>63</v>
      </c>
      <c r="AN93" s="9" t="b">
        <v>1</v>
      </c>
      <c r="AO93" s="9" t="b">
        <v>0</v>
      </c>
      <c r="AP93" s="14" t="s">
        <v>1454</v>
      </c>
      <c r="AQ93" s="9" t="s">
        <v>65</v>
      </c>
      <c r="AR93" s="9" t="s">
        <v>65</v>
      </c>
      <c r="AS93" s="6"/>
      <c r="AT93" s="6"/>
      <c r="AU93" s="6"/>
      <c r="AV93" s="6"/>
      <c r="AW93" s="6"/>
      <c r="AX93" s="6"/>
      <c r="AY93" s="6"/>
      <c r="AZ93" s="6"/>
      <c r="BA93" s="6"/>
    </row>
    <row r="94" ht="22.5" customHeight="1">
      <c r="A94" s="7" t="s">
        <v>1455</v>
      </c>
      <c r="B94" s="8" t="s">
        <v>1456</v>
      </c>
      <c r="C94" s="8" t="s">
        <v>1457</v>
      </c>
      <c r="D94" s="9" t="s">
        <v>1458</v>
      </c>
      <c r="E94" s="9" t="s">
        <v>1459</v>
      </c>
      <c r="F94" s="9" t="s">
        <v>1460</v>
      </c>
      <c r="G94" s="6" t="s">
        <v>1461</v>
      </c>
      <c r="H94" s="10" t="b">
        <v>1</v>
      </c>
      <c r="I94" s="6" t="s">
        <v>1462</v>
      </c>
      <c r="J94" s="6" t="s">
        <v>1463</v>
      </c>
      <c r="K94" s="6" t="s">
        <v>1464</v>
      </c>
      <c r="L94" s="6" t="s">
        <v>1465</v>
      </c>
      <c r="M94" s="9" t="s">
        <v>1466</v>
      </c>
      <c r="N94" s="6" t="s">
        <v>186</v>
      </c>
      <c r="O94" s="6" t="s">
        <v>58</v>
      </c>
      <c r="P94" s="6"/>
      <c r="Q94" s="9" t="s">
        <v>80</v>
      </c>
      <c r="R94" s="8" t="s">
        <v>81</v>
      </c>
      <c r="S94" s="10" t="b">
        <v>0</v>
      </c>
      <c r="T94" s="15" t="b">
        <v>1</v>
      </c>
      <c r="U94" s="15" t="b">
        <v>0</v>
      </c>
      <c r="V94" s="14" t="s">
        <v>1467</v>
      </c>
      <c r="W94" s="9" t="s">
        <v>1331</v>
      </c>
      <c r="X94" s="9" t="s">
        <v>79</v>
      </c>
      <c r="Y94" s="10" t="b">
        <v>1</v>
      </c>
      <c r="Z94" s="15" t="b">
        <v>0</v>
      </c>
      <c r="AA94" s="14" t="s">
        <v>1468</v>
      </c>
      <c r="AB94" s="9" t="s">
        <v>753</v>
      </c>
      <c r="AC94" s="9" t="s">
        <v>79</v>
      </c>
      <c r="AD94" s="10" t="b">
        <v>1</v>
      </c>
      <c r="AE94" s="15" t="b">
        <v>0</v>
      </c>
      <c r="AF94" s="28" t="s">
        <v>1469</v>
      </c>
      <c r="AG94" s="8" t="s">
        <v>103</v>
      </c>
      <c r="AH94" s="8" t="s">
        <v>86</v>
      </c>
      <c r="AI94" s="10" t="b">
        <v>1</v>
      </c>
      <c r="AJ94" s="15" t="b">
        <v>0</v>
      </c>
      <c r="AK94" s="14" t="s">
        <v>1468</v>
      </c>
      <c r="AL94" s="9" t="s">
        <v>753</v>
      </c>
      <c r="AM94" s="9" t="s">
        <v>79</v>
      </c>
      <c r="AN94" s="9" t="b">
        <v>1</v>
      </c>
      <c r="AO94" s="9" t="b">
        <v>0</v>
      </c>
      <c r="AP94" s="14" t="s">
        <v>1470</v>
      </c>
      <c r="AQ94" s="9" t="s">
        <v>65</v>
      </c>
      <c r="AR94" s="9" t="s">
        <v>65</v>
      </c>
      <c r="AS94" s="6"/>
      <c r="AT94" s="6"/>
      <c r="AU94" s="6"/>
      <c r="AV94" s="6"/>
      <c r="AW94" s="6"/>
      <c r="AX94" s="6"/>
      <c r="AY94" s="6"/>
      <c r="AZ94" s="6"/>
      <c r="BA94" s="6"/>
    </row>
    <row r="95" ht="22.5" customHeight="1">
      <c r="A95" s="7" t="s">
        <v>1471</v>
      </c>
      <c r="B95" s="8" t="s">
        <v>1472</v>
      </c>
      <c r="C95" s="8" t="s">
        <v>1473</v>
      </c>
      <c r="D95" s="6" t="s">
        <v>1474</v>
      </c>
      <c r="E95" s="6" t="s">
        <v>1475</v>
      </c>
      <c r="F95" s="6" t="s">
        <v>1476</v>
      </c>
      <c r="G95" s="6" t="s">
        <v>97</v>
      </c>
      <c r="H95" s="10" t="b">
        <v>0</v>
      </c>
      <c r="I95" s="11" t="s">
        <v>1477</v>
      </c>
      <c r="J95" s="11" t="s">
        <v>1478</v>
      </c>
      <c r="K95" s="11" t="s">
        <v>1479</v>
      </c>
      <c r="L95" s="11" t="s">
        <v>1480</v>
      </c>
      <c r="M95" s="8" t="s">
        <v>1481</v>
      </c>
      <c r="N95" s="6" t="s">
        <v>103</v>
      </c>
      <c r="O95" s="6" t="s">
        <v>86</v>
      </c>
      <c r="P95" s="6"/>
      <c r="Q95" s="8" t="s">
        <v>59</v>
      </c>
      <c r="R95" s="6" t="s">
        <v>59</v>
      </c>
      <c r="S95" s="10" t="b">
        <v>0</v>
      </c>
      <c r="T95" s="10" t="b">
        <v>0</v>
      </c>
      <c r="U95" s="15" t="b">
        <v>0</v>
      </c>
      <c r="V95" s="8" t="s">
        <v>63</v>
      </c>
      <c r="W95" s="8" t="s">
        <v>104</v>
      </c>
      <c r="X95" s="8" t="s">
        <v>63</v>
      </c>
      <c r="Y95" s="12" t="b">
        <v>0</v>
      </c>
      <c r="Z95" s="10" t="s">
        <v>63</v>
      </c>
      <c r="AA95" s="13" t="s">
        <v>63</v>
      </c>
      <c r="AB95" s="10" t="s">
        <v>63</v>
      </c>
      <c r="AC95" s="10" t="s">
        <v>63</v>
      </c>
      <c r="AD95" s="12" t="b">
        <v>0</v>
      </c>
      <c r="AE95" s="10" t="s">
        <v>63</v>
      </c>
      <c r="AF95" s="13" t="s">
        <v>63</v>
      </c>
      <c r="AG95" s="10" t="s">
        <v>63</v>
      </c>
      <c r="AH95" s="10" t="s">
        <v>63</v>
      </c>
      <c r="AI95" s="12" t="b">
        <v>0</v>
      </c>
      <c r="AJ95" s="10" t="s">
        <v>63</v>
      </c>
      <c r="AK95" s="13" t="s">
        <v>63</v>
      </c>
      <c r="AL95" s="10" t="s">
        <v>63</v>
      </c>
      <c r="AM95" s="10" t="s">
        <v>63</v>
      </c>
      <c r="AN95" s="9" t="b">
        <v>1</v>
      </c>
      <c r="AO95" s="9" t="b">
        <v>1</v>
      </c>
      <c r="AP95" s="14" t="s">
        <v>1482</v>
      </c>
      <c r="AQ95" s="9" t="s">
        <v>103</v>
      </c>
      <c r="AR95" s="9" t="s">
        <v>86</v>
      </c>
      <c r="AS95" s="6"/>
      <c r="AT95" s="6"/>
      <c r="AU95" s="6"/>
      <c r="AV95" s="6"/>
      <c r="AW95" s="6"/>
      <c r="AX95" s="6"/>
      <c r="AY95" s="6"/>
      <c r="AZ95" s="6"/>
      <c r="BA95" s="6"/>
    </row>
    <row r="96" ht="22.5" customHeight="1">
      <c r="A96" s="7" t="s">
        <v>1483</v>
      </c>
      <c r="B96" s="8" t="s">
        <v>1484</v>
      </c>
      <c r="C96" s="8" t="s">
        <v>1485</v>
      </c>
      <c r="D96" s="9" t="s">
        <v>1486</v>
      </c>
      <c r="E96" s="9" t="s">
        <v>1487</v>
      </c>
      <c r="F96" s="9" t="s">
        <v>1488</v>
      </c>
      <c r="G96" s="6" t="s">
        <v>1489</v>
      </c>
      <c r="H96" s="10" t="b">
        <v>1</v>
      </c>
      <c r="I96" s="11" t="s">
        <v>1490</v>
      </c>
      <c r="J96" s="11" t="s">
        <v>1491</v>
      </c>
      <c r="K96" s="11" t="s">
        <v>1492</v>
      </c>
      <c r="L96" s="11" t="s">
        <v>1490</v>
      </c>
      <c r="M96" s="6" t="s">
        <v>1493</v>
      </c>
      <c r="N96" s="6" t="s">
        <v>186</v>
      </c>
      <c r="O96" s="6" t="s">
        <v>58</v>
      </c>
      <c r="P96" s="6"/>
      <c r="Q96" s="9" t="s">
        <v>80</v>
      </c>
      <c r="R96" s="8" t="s">
        <v>118</v>
      </c>
      <c r="S96" s="10" t="b">
        <v>0</v>
      </c>
      <c r="T96" s="15" t="b">
        <v>1</v>
      </c>
      <c r="U96" s="15" t="b">
        <v>0</v>
      </c>
      <c r="V96" s="14" t="s">
        <v>1494</v>
      </c>
      <c r="W96" s="9" t="s">
        <v>65</v>
      </c>
      <c r="X96" s="9" t="s">
        <v>65</v>
      </c>
      <c r="Y96" s="10" t="b">
        <v>0</v>
      </c>
      <c r="Z96" s="15" t="s">
        <v>63</v>
      </c>
      <c r="AA96" s="8" t="s">
        <v>63</v>
      </c>
      <c r="AB96" s="10" t="s">
        <v>63</v>
      </c>
      <c r="AC96" s="10" t="s">
        <v>63</v>
      </c>
      <c r="AD96" s="10" t="b">
        <v>0</v>
      </c>
      <c r="AE96" s="15" t="s">
        <v>63</v>
      </c>
      <c r="AF96" s="8" t="s">
        <v>63</v>
      </c>
      <c r="AG96" s="8" t="s">
        <v>63</v>
      </c>
      <c r="AH96" s="8" t="s">
        <v>63</v>
      </c>
      <c r="AI96" s="10" t="b">
        <v>0</v>
      </c>
      <c r="AJ96" s="10" t="s">
        <v>63</v>
      </c>
      <c r="AK96" s="8" t="s">
        <v>63</v>
      </c>
      <c r="AL96" s="8" t="s">
        <v>63</v>
      </c>
      <c r="AM96" s="8" t="s">
        <v>63</v>
      </c>
      <c r="AN96" s="9" t="b">
        <v>0</v>
      </c>
      <c r="AO96" s="12" t="s">
        <v>63</v>
      </c>
      <c r="AP96" s="12" t="s">
        <v>63</v>
      </c>
      <c r="AQ96" s="12" t="s">
        <v>63</v>
      </c>
      <c r="AR96" s="12" t="s">
        <v>63</v>
      </c>
      <c r="AS96" s="6"/>
      <c r="AT96" s="6"/>
      <c r="AU96" s="6"/>
      <c r="AV96" s="6"/>
      <c r="AW96" s="6"/>
      <c r="AX96" s="6"/>
      <c r="AY96" s="6"/>
      <c r="AZ96" s="6"/>
      <c r="BA96" s="6"/>
    </row>
    <row r="97" ht="22.5" customHeight="1">
      <c r="A97" s="7" t="s">
        <v>1495</v>
      </c>
      <c r="B97" s="8" t="s">
        <v>1496</v>
      </c>
      <c r="C97" s="8" t="s">
        <v>1497</v>
      </c>
      <c r="D97" s="9" t="s">
        <v>1498</v>
      </c>
      <c r="E97" s="9" t="s">
        <v>1499</v>
      </c>
      <c r="F97" s="9" t="s">
        <v>1500</v>
      </c>
      <c r="G97" s="6" t="s">
        <v>1501</v>
      </c>
      <c r="H97" s="10" t="b">
        <v>1</v>
      </c>
      <c r="I97" s="6" t="s">
        <v>1502</v>
      </c>
      <c r="J97" s="6" t="s">
        <v>1503</v>
      </c>
      <c r="K97" s="9" t="s">
        <v>1504</v>
      </c>
      <c r="L97" s="6" t="s">
        <v>1503</v>
      </c>
      <c r="M97" s="9" t="s">
        <v>1505</v>
      </c>
      <c r="N97" s="6" t="s">
        <v>169</v>
      </c>
      <c r="O97" s="6" t="s">
        <v>170</v>
      </c>
      <c r="P97" s="6"/>
      <c r="Q97" s="9" t="s">
        <v>80</v>
      </c>
      <c r="R97" s="8" t="s">
        <v>81</v>
      </c>
      <c r="S97" s="10" t="b">
        <v>0</v>
      </c>
      <c r="T97" s="15" t="b">
        <v>0</v>
      </c>
      <c r="U97" s="15" t="b">
        <v>0</v>
      </c>
      <c r="V97" s="8" t="s">
        <v>63</v>
      </c>
      <c r="W97" s="9" t="s">
        <v>104</v>
      </c>
      <c r="X97" s="8" t="s">
        <v>63</v>
      </c>
      <c r="Y97" s="10" t="b">
        <v>1</v>
      </c>
      <c r="Z97" s="10" t="b">
        <v>1</v>
      </c>
      <c r="AA97" s="28" t="s">
        <v>1506</v>
      </c>
      <c r="AB97" s="9" t="s">
        <v>1507</v>
      </c>
      <c r="AC97" s="9" t="s">
        <v>189</v>
      </c>
      <c r="AD97" s="10" t="b">
        <v>1</v>
      </c>
      <c r="AE97" s="10" t="b">
        <v>1</v>
      </c>
      <c r="AF97" s="28" t="s">
        <v>1508</v>
      </c>
      <c r="AG97" s="8" t="s">
        <v>268</v>
      </c>
      <c r="AH97" s="8" t="s">
        <v>170</v>
      </c>
      <c r="AI97" s="10" t="b">
        <v>1</v>
      </c>
      <c r="AJ97" s="10" t="b">
        <v>1</v>
      </c>
      <c r="AK97" s="28" t="s">
        <v>1506</v>
      </c>
      <c r="AL97" s="9" t="s">
        <v>1507</v>
      </c>
      <c r="AM97" s="9" t="s">
        <v>189</v>
      </c>
      <c r="AN97" s="9" t="b">
        <v>1</v>
      </c>
      <c r="AO97" s="9" t="b">
        <v>0</v>
      </c>
      <c r="AP97" s="9" t="s">
        <v>1509</v>
      </c>
      <c r="AQ97" s="9" t="s">
        <v>65</v>
      </c>
      <c r="AR97" s="9" t="s">
        <v>65</v>
      </c>
      <c r="AS97" s="6"/>
      <c r="AT97" s="6"/>
      <c r="AU97" s="6"/>
      <c r="AV97" s="6"/>
      <c r="AW97" s="6"/>
      <c r="AX97" s="6"/>
      <c r="AY97" s="6"/>
      <c r="AZ97" s="6"/>
      <c r="BA97" s="6"/>
    </row>
    <row r="98" ht="22.5" customHeight="1">
      <c r="A98" s="7" t="s">
        <v>1510</v>
      </c>
      <c r="B98" s="8" t="s">
        <v>1511</v>
      </c>
      <c r="C98" s="8" t="s">
        <v>1512</v>
      </c>
      <c r="D98" s="9" t="s">
        <v>1513</v>
      </c>
      <c r="E98" s="9" t="s">
        <v>1514</v>
      </c>
      <c r="F98" s="9" t="s">
        <v>1515</v>
      </c>
      <c r="G98" s="6" t="s">
        <v>1516</v>
      </c>
      <c r="H98" s="10" t="b">
        <v>1</v>
      </c>
      <c r="I98" s="6" t="s">
        <v>1517</v>
      </c>
      <c r="J98" s="6" t="s">
        <v>1518</v>
      </c>
      <c r="K98" s="6" t="s">
        <v>1519</v>
      </c>
      <c r="L98" s="6" t="s">
        <v>1518</v>
      </c>
      <c r="M98" s="6" t="s">
        <v>1520</v>
      </c>
      <c r="N98" s="6" t="s">
        <v>169</v>
      </c>
      <c r="O98" s="6" t="s">
        <v>170</v>
      </c>
      <c r="P98" s="6"/>
      <c r="Q98" s="9" t="s">
        <v>80</v>
      </c>
      <c r="R98" s="9" t="s">
        <v>312</v>
      </c>
      <c r="S98" s="10" t="b">
        <v>0</v>
      </c>
      <c r="T98" s="15" t="b">
        <v>1</v>
      </c>
      <c r="U98" s="15" t="b">
        <v>0</v>
      </c>
      <c r="V98" s="28" t="s">
        <v>1521</v>
      </c>
      <c r="W98" s="8" t="s">
        <v>65</v>
      </c>
      <c r="X98" s="8" t="s">
        <v>65</v>
      </c>
      <c r="Y98" s="10" t="b">
        <v>1</v>
      </c>
      <c r="Z98" s="15" t="b">
        <v>0</v>
      </c>
      <c r="AA98" s="28" t="s">
        <v>1522</v>
      </c>
      <c r="AB98" s="9" t="s">
        <v>65</v>
      </c>
      <c r="AC98" s="9" t="s">
        <v>65</v>
      </c>
      <c r="AD98" s="10" t="b">
        <v>1</v>
      </c>
      <c r="AE98" s="15" t="b">
        <v>0</v>
      </c>
      <c r="AF98" s="28" t="s">
        <v>1523</v>
      </c>
      <c r="AG98" s="8" t="s">
        <v>65</v>
      </c>
      <c r="AH98" s="8" t="s">
        <v>65</v>
      </c>
      <c r="AI98" s="10" t="b">
        <v>1</v>
      </c>
      <c r="AJ98" s="15" t="b">
        <v>0</v>
      </c>
      <c r="AK98" s="28" t="s">
        <v>1524</v>
      </c>
      <c r="AL98" s="9" t="s">
        <v>1525</v>
      </c>
      <c r="AM98" s="9" t="s">
        <v>62</v>
      </c>
      <c r="AN98" s="9" t="b">
        <v>1</v>
      </c>
      <c r="AO98" s="9" t="b">
        <v>0</v>
      </c>
      <c r="AP98" s="14" t="s">
        <v>1526</v>
      </c>
      <c r="AQ98" s="9" t="s">
        <v>65</v>
      </c>
      <c r="AR98" s="9" t="s">
        <v>65</v>
      </c>
      <c r="AS98" s="6"/>
      <c r="AT98" s="6"/>
      <c r="AU98" s="6"/>
      <c r="AV98" s="6"/>
      <c r="AW98" s="6"/>
      <c r="AX98" s="6"/>
      <c r="AY98" s="6"/>
      <c r="AZ98" s="6"/>
      <c r="BA98" s="6"/>
    </row>
    <row r="99" ht="22.5" customHeight="1">
      <c r="A99" s="7" t="s">
        <v>1527</v>
      </c>
      <c r="B99" s="8" t="s">
        <v>1528</v>
      </c>
      <c r="C99" s="8" t="s">
        <v>1529</v>
      </c>
      <c r="D99" s="9" t="s">
        <v>1530</v>
      </c>
      <c r="E99" s="9" t="s">
        <v>1531</v>
      </c>
      <c r="F99" s="9" t="s">
        <v>1532</v>
      </c>
      <c r="G99" s="6" t="s">
        <v>1533</v>
      </c>
      <c r="H99" s="10" t="b">
        <v>1</v>
      </c>
      <c r="I99" s="6" t="s">
        <v>1534</v>
      </c>
      <c r="J99" s="6" t="s">
        <v>1535</v>
      </c>
      <c r="K99" s="6" t="s">
        <v>1536</v>
      </c>
      <c r="L99" s="6" t="s">
        <v>1537</v>
      </c>
      <c r="M99" s="6" t="s">
        <v>1538</v>
      </c>
      <c r="N99" s="6" t="s">
        <v>169</v>
      </c>
      <c r="O99" s="6" t="s">
        <v>170</v>
      </c>
      <c r="P99" s="6"/>
      <c r="Q99" s="9" t="s">
        <v>80</v>
      </c>
      <c r="R99" s="8" t="s">
        <v>1008</v>
      </c>
      <c r="S99" s="10" t="b">
        <v>0</v>
      </c>
      <c r="T99" s="10" t="b">
        <v>0</v>
      </c>
      <c r="U99" s="15" t="b">
        <v>0</v>
      </c>
      <c r="V99" s="8" t="s">
        <v>63</v>
      </c>
      <c r="W99" s="8" t="s">
        <v>104</v>
      </c>
      <c r="X99" s="8" t="s">
        <v>63</v>
      </c>
      <c r="Y99" s="10" t="b">
        <v>1</v>
      </c>
      <c r="Z99" s="10" t="b">
        <v>1</v>
      </c>
      <c r="AA99" s="28" t="s">
        <v>1539</v>
      </c>
      <c r="AB99" s="8" t="s">
        <v>186</v>
      </c>
      <c r="AC99" s="8" t="s">
        <v>58</v>
      </c>
      <c r="AD99" s="10" t="b">
        <v>1</v>
      </c>
      <c r="AE99" s="15" t="b">
        <v>0</v>
      </c>
      <c r="AF99" s="28" t="s">
        <v>1540</v>
      </c>
      <c r="AG99" s="9" t="s">
        <v>65</v>
      </c>
      <c r="AH99" s="9" t="s">
        <v>65</v>
      </c>
      <c r="AI99" s="10" t="b">
        <v>1</v>
      </c>
      <c r="AJ99" s="10" t="b">
        <v>1</v>
      </c>
      <c r="AK99" s="28" t="s">
        <v>1539</v>
      </c>
      <c r="AL99" s="8" t="s">
        <v>186</v>
      </c>
      <c r="AM99" s="8" t="s">
        <v>58</v>
      </c>
      <c r="AN99" s="9" t="b">
        <v>1</v>
      </c>
      <c r="AO99" s="9" t="b">
        <v>0</v>
      </c>
      <c r="AP99" s="14" t="s">
        <v>1541</v>
      </c>
      <c r="AQ99" s="9" t="s">
        <v>65</v>
      </c>
      <c r="AR99" s="9" t="s">
        <v>65</v>
      </c>
      <c r="AS99" s="6"/>
      <c r="AT99" s="6"/>
      <c r="AU99" s="6"/>
      <c r="AV99" s="6"/>
      <c r="AW99" s="6"/>
      <c r="AX99" s="6"/>
      <c r="AY99" s="6"/>
      <c r="AZ99" s="6"/>
      <c r="BA99" s="6"/>
    </row>
    <row r="100" ht="22.5" customHeight="1">
      <c r="A100" s="7" t="s">
        <v>1542</v>
      </c>
      <c r="B100" s="8" t="s">
        <v>1543</v>
      </c>
      <c r="C100" s="8" t="s">
        <v>1544</v>
      </c>
      <c r="D100" s="9" t="s">
        <v>1545</v>
      </c>
      <c r="E100" s="9" t="s">
        <v>1546</v>
      </c>
      <c r="F100" s="9" t="s">
        <v>1547</v>
      </c>
      <c r="G100" s="6" t="s">
        <v>1548</v>
      </c>
      <c r="H100" s="10" t="b">
        <v>1</v>
      </c>
      <c r="I100" s="11" t="s">
        <v>1549</v>
      </c>
      <c r="J100" s="11" t="s">
        <v>1550</v>
      </c>
      <c r="K100" s="11" t="s">
        <v>1551</v>
      </c>
      <c r="L100" s="11" t="s">
        <v>1552</v>
      </c>
      <c r="M100" s="9" t="s">
        <v>1553</v>
      </c>
      <c r="N100" s="17" t="s">
        <v>1554</v>
      </c>
      <c r="O100" s="6" t="s">
        <v>170</v>
      </c>
      <c r="P100" s="6"/>
      <c r="Q100" s="9" t="s">
        <v>59</v>
      </c>
      <c r="R100" s="6" t="s">
        <v>59</v>
      </c>
      <c r="S100" s="12" t="b">
        <v>1</v>
      </c>
      <c r="T100" s="15" t="b">
        <v>1</v>
      </c>
      <c r="U100" s="15" t="b">
        <v>0</v>
      </c>
      <c r="V100" s="28" t="s">
        <v>1555</v>
      </c>
      <c r="W100" s="9" t="s">
        <v>860</v>
      </c>
      <c r="X100" s="9" t="s">
        <v>62</v>
      </c>
      <c r="Y100" s="12" t="b">
        <v>0</v>
      </c>
      <c r="Z100" s="10" t="s">
        <v>63</v>
      </c>
      <c r="AA100" s="13" t="s">
        <v>63</v>
      </c>
      <c r="AB100" s="10" t="s">
        <v>63</v>
      </c>
      <c r="AC100" s="10" t="s">
        <v>63</v>
      </c>
      <c r="AD100" s="12" t="b">
        <v>0</v>
      </c>
      <c r="AE100" s="10" t="s">
        <v>63</v>
      </c>
      <c r="AF100" s="13" t="s">
        <v>63</v>
      </c>
      <c r="AG100" s="10" t="s">
        <v>63</v>
      </c>
      <c r="AH100" s="10" t="s">
        <v>63</v>
      </c>
      <c r="AI100" s="12" t="b">
        <v>0</v>
      </c>
      <c r="AJ100" s="10" t="s">
        <v>63</v>
      </c>
      <c r="AK100" s="13" t="s">
        <v>63</v>
      </c>
      <c r="AL100" s="10" t="s">
        <v>63</v>
      </c>
      <c r="AM100" s="10" t="s">
        <v>63</v>
      </c>
      <c r="AN100" s="9" t="b">
        <v>1</v>
      </c>
      <c r="AO100" s="9" t="b">
        <v>1</v>
      </c>
      <c r="AP100" s="14" t="s">
        <v>1556</v>
      </c>
      <c r="AQ100" s="9" t="s">
        <v>268</v>
      </c>
      <c r="AR100" s="9" t="s">
        <v>170</v>
      </c>
      <c r="AS100" s="6"/>
      <c r="AT100" s="6"/>
      <c r="AU100" s="6"/>
      <c r="AV100" s="6"/>
      <c r="AW100" s="6"/>
      <c r="AX100" s="6"/>
      <c r="AY100" s="6"/>
      <c r="AZ100" s="6"/>
      <c r="BA100" s="6"/>
    </row>
    <row r="101" ht="22.5" customHeight="1">
      <c r="A101" s="7" t="s">
        <v>1557</v>
      </c>
      <c r="B101" s="8" t="s">
        <v>1558</v>
      </c>
      <c r="C101" s="8" t="s">
        <v>1559</v>
      </c>
      <c r="D101" s="6" t="s">
        <v>1560</v>
      </c>
      <c r="E101" s="6" t="s">
        <v>1561</v>
      </c>
      <c r="F101" s="6" t="s">
        <v>1562</v>
      </c>
      <c r="G101" s="6" t="s">
        <v>1563</v>
      </c>
      <c r="H101" s="10" t="b">
        <v>1</v>
      </c>
      <c r="I101" s="11" t="s">
        <v>1564</v>
      </c>
      <c r="J101" s="11" t="s">
        <v>1565</v>
      </c>
      <c r="K101" s="11" t="s">
        <v>1566</v>
      </c>
      <c r="L101" s="11" t="s">
        <v>1564</v>
      </c>
      <c r="M101" s="6" t="s">
        <v>1567</v>
      </c>
      <c r="N101" s="6" t="s">
        <v>186</v>
      </c>
      <c r="O101" s="6" t="s">
        <v>58</v>
      </c>
      <c r="P101" s="6"/>
      <c r="Q101" s="8" t="s">
        <v>80</v>
      </c>
      <c r="R101" s="6" t="s">
        <v>81</v>
      </c>
      <c r="S101" s="10" t="b">
        <v>1</v>
      </c>
      <c r="T101" s="15" t="b">
        <v>1</v>
      </c>
      <c r="U101" s="15" t="b">
        <v>0</v>
      </c>
      <c r="V101" s="28" t="s">
        <v>1568</v>
      </c>
      <c r="W101" s="8" t="s">
        <v>1569</v>
      </c>
      <c r="X101" s="8" t="s">
        <v>62</v>
      </c>
      <c r="Y101" s="10" t="b">
        <v>1</v>
      </c>
      <c r="Z101" s="10" t="b">
        <v>1</v>
      </c>
      <c r="AA101" s="28" t="s">
        <v>1570</v>
      </c>
      <c r="AB101" s="8" t="s">
        <v>186</v>
      </c>
      <c r="AC101" s="8" t="s">
        <v>58</v>
      </c>
      <c r="AD101" s="10" t="b">
        <v>1</v>
      </c>
      <c r="AE101" s="15" t="b">
        <v>0</v>
      </c>
      <c r="AF101" s="28" t="s">
        <v>1571</v>
      </c>
      <c r="AG101" s="8" t="s">
        <v>1569</v>
      </c>
      <c r="AH101" s="8" t="s">
        <v>62</v>
      </c>
      <c r="AI101" s="10" t="b">
        <v>1</v>
      </c>
      <c r="AJ101" s="10" t="b">
        <v>1</v>
      </c>
      <c r="AK101" s="28" t="s">
        <v>1570</v>
      </c>
      <c r="AL101" s="8" t="s">
        <v>186</v>
      </c>
      <c r="AM101" s="8" t="s">
        <v>58</v>
      </c>
      <c r="AN101" s="9" t="b">
        <v>1</v>
      </c>
      <c r="AO101" s="9" t="b">
        <v>0</v>
      </c>
      <c r="AP101" s="14" t="s">
        <v>1572</v>
      </c>
      <c r="AQ101" s="9" t="s">
        <v>65</v>
      </c>
      <c r="AR101" s="9" t="s">
        <v>65</v>
      </c>
      <c r="AS101" s="6"/>
      <c r="AT101" s="6"/>
      <c r="AU101" s="6"/>
      <c r="AV101" s="6"/>
      <c r="AW101" s="6"/>
      <c r="AX101" s="6"/>
      <c r="AY101" s="6"/>
      <c r="AZ101" s="6"/>
      <c r="BA101" s="6"/>
    </row>
    <row r="102" ht="22.5" customHeight="1">
      <c r="A102" s="7" t="s">
        <v>1573</v>
      </c>
      <c r="B102" s="8" t="s">
        <v>1574</v>
      </c>
      <c r="C102" s="8" t="s">
        <v>1575</v>
      </c>
      <c r="D102" s="9" t="s">
        <v>1576</v>
      </c>
      <c r="E102" s="9" t="s">
        <v>1577</v>
      </c>
      <c r="F102" s="9" t="s">
        <v>1578</v>
      </c>
      <c r="G102" s="6" t="s">
        <v>1579</v>
      </c>
      <c r="H102" s="15" t="b">
        <v>1</v>
      </c>
      <c r="I102" s="11" t="s">
        <v>1580</v>
      </c>
      <c r="J102" s="11" t="s">
        <v>1581</v>
      </c>
      <c r="K102" s="11" t="s">
        <v>1582</v>
      </c>
      <c r="L102" s="11" t="s">
        <v>1580</v>
      </c>
      <c r="M102" s="8" t="s">
        <v>830</v>
      </c>
      <c r="N102" s="6" t="s">
        <v>57</v>
      </c>
      <c r="O102" s="42" t="s">
        <v>58</v>
      </c>
      <c r="P102" s="6"/>
      <c r="Q102" s="9" t="s">
        <v>80</v>
      </c>
      <c r="R102" s="8" t="s">
        <v>118</v>
      </c>
      <c r="S102" s="10" t="b">
        <v>0</v>
      </c>
      <c r="T102" s="15" t="b">
        <v>1</v>
      </c>
      <c r="U102" s="15" t="b">
        <v>0</v>
      </c>
      <c r="V102" s="28" t="s">
        <v>1583</v>
      </c>
      <c r="W102" s="9" t="s">
        <v>1584</v>
      </c>
      <c r="X102" s="8" t="s">
        <v>189</v>
      </c>
      <c r="Y102" s="10" t="b">
        <v>0</v>
      </c>
      <c r="Z102" s="15" t="s">
        <v>63</v>
      </c>
      <c r="AA102" s="8" t="s">
        <v>63</v>
      </c>
      <c r="AB102" s="10" t="s">
        <v>63</v>
      </c>
      <c r="AC102" s="10" t="s">
        <v>63</v>
      </c>
      <c r="AD102" s="10" t="b">
        <v>0</v>
      </c>
      <c r="AE102" s="15" t="s">
        <v>63</v>
      </c>
      <c r="AF102" s="8" t="s">
        <v>63</v>
      </c>
      <c r="AG102" s="8" t="s">
        <v>63</v>
      </c>
      <c r="AH102" s="8" t="s">
        <v>63</v>
      </c>
      <c r="AI102" s="10" t="b">
        <v>0</v>
      </c>
      <c r="AJ102" s="10" t="s">
        <v>63</v>
      </c>
      <c r="AK102" s="8" t="s">
        <v>63</v>
      </c>
      <c r="AL102" s="8" t="s">
        <v>63</v>
      </c>
      <c r="AM102" s="8" t="s">
        <v>63</v>
      </c>
      <c r="AN102" s="9" t="b">
        <v>0</v>
      </c>
      <c r="AO102" s="12" t="s">
        <v>63</v>
      </c>
      <c r="AP102" s="12" t="s">
        <v>63</v>
      </c>
      <c r="AQ102" s="12" t="s">
        <v>63</v>
      </c>
      <c r="AR102" s="12" t="s">
        <v>63</v>
      </c>
      <c r="AS102" s="6"/>
      <c r="AT102" s="6"/>
      <c r="AU102" s="6"/>
      <c r="AV102" s="6"/>
      <c r="AW102" s="6"/>
      <c r="AX102" s="6"/>
      <c r="AY102" s="6"/>
      <c r="AZ102" s="6"/>
      <c r="BA102" s="6"/>
    </row>
    <row r="103" ht="22.5" customHeight="1">
      <c r="A103" s="7" t="s">
        <v>1585</v>
      </c>
      <c r="B103" s="8" t="s">
        <v>1586</v>
      </c>
      <c r="C103" s="8" t="s">
        <v>1587</v>
      </c>
      <c r="D103" s="6" t="s">
        <v>1588</v>
      </c>
      <c r="E103" s="9" t="s">
        <v>1589</v>
      </c>
      <c r="F103" s="6" t="s">
        <v>1590</v>
      </c>
      <c r="G103" s="6" t="s">
        <v>1591</v>
      </c>
      <c r="H103" s="10" t="b">
        <v>0</v>
      </c>
      <c r="I103" s="11" t="s">
        <v>1592</v>
      </c>
      <c r="J103" s="11" t="s">
        <v>1593</v>
      </c>
      <c r="K103" s="11" t="s">
        <v>1594</v>
      </c>
      <c r="L103" s="11" t="s">
        <v>1595</v>
      </c>
      <c r="M103" s="8" t="s">
        <v>1596</v>
      </c>
      <c r="N103" s="6" t="s">
        <v>103</v>
      </c>
      <c r="O103" s="6" t="s">
        <v>86</v>
      </c>
      <c r="P103" s="6"/>
      <c r="Q103" s="8" t="s">
        <v>80</v>
      </c>
      <c r="R103" s="6" t="s">
        <v>81</v>
      </c>
      <c r="S103" s="10" t="b">
        <v>0</v>
      </c>
      <c r="T103" s="10" t="b">
        <v>1</v>
      </c>
      <c r="U103" s="10" t="b">
        <v>0</v>
      </c>
      <c r="V103" s="11" t="s">
        <v>1597</v>
      </c>
      <c r="W103" s="6" t="s">
        <v>268</v>
      </c>
      <c r="X103" s="6" t="s">
        <v>170</v>
      </c>
      <c r="Y103" s="10" t="b">
        <v>1</v>
      </c>
      <c r="Z103" s="10" t="b">
        <v>1</v>
      </c>
      <c r="AA103" s="28" t="s">
        <v>1598</v>
      </c>
      <c r="AB103" s="8" t="s">
        <v>186</v>
      </c>
      <c r="AC103" s="8" t="s">
        <v>58</v>
      </c>
      <c r="AD103" s="10" t="b">
        <v>1</v>
      </c>
      <c r="AE103" s="10" t="b">
        <v>0</v>
      </c>
      <c r="AF103" s="28" t="s">
        <v>1599</v>
      </c>
      <c r="AG103" s="8" t="s">
        <v>268</v>
      </c>
      <c r="AH103" s="8" t="s">
        <v>170</v>
      </c>
      <c r="AI103" s="10" t="b">
        <v>1</v>
      </c>
      <c r="AJ103" s="10" t="b">
        <v>1</v>
      </c>
      <c r="AK103" s="28" t="s">
        <v>1598</v>
      </c>
      <c r="AL103" s="8" t="s">
        <v>186</v>
      </c>
      <c r="AM103" s="8" t="s">
        <v>58</v>
      </c>
      <c r="AN103" s="9" t="b">
        <v>1</v>
      </c>
      <c r="AO103" s="9" t="b">
        <v>1</v>
      </c>
      <c r="AP103" s="14" t="s">
        <v>1600</v>
      </c>
      <c r="AQ103" s="9" t="s">
        <v>103</v>
      </c>
      <c r="AR103" s="9" t="s">
        <v>86</v>
      </c>
      <c r="AS103" s="6"/>
      <c r="AT103" s="6"/>
      <c r="AU103" s="6"/>
      <c r="AV103" s="6"/>
      <c r="AW103" s="6"/>
      <c r="AX103" s="6"/>
      <c r="AY103" s="6"/>
      <c r="AZ103" s="6"/>
      <c r="BA103" s="6"/>
    </row>
    <row r="104" ht="22.5" customHeight="1">
      <c r="A104" s="7" t="s">
        <v>1601</v>
      </c>
      <c r="B104" s="8" t="s">
        <v>1602</v>
      </c>
      <c r="C104" s="8" t="s">
        <v>1603</v>
      </c>
      <c r="D104" s="9" t="s">
        <v>1604</v>
      </c>
      <c r="E104" s="9" t="s">
        <v>1605</v>
      </c>
      <c r="F104" s="9" t="s">
        <v>1606</v>
      </c>
      <c r="G104" s="6" t="s">
        <v>1607</v>
      </c>
      <c r="H104" s="10" t="b">
        <v>1</v>
      </c>
      <c r="I104" s="11" t="s">
        <v>1608</v>
      </c>
      <c r="J104" s="11" t="s">
        <v>1609</v>
      </c>
      <c r="K104" s="11" t="s">
        <v>1610</v>
      </c>
      <c r="L104" s="11" t="s">
        <v>1611</v>
      </c>
      <c r="M104" s="8" t="s">
        <v>1612</v>
      </c>
      <c r="N104" s="19" t="s">
        <v>268</v>
      </c>
      <c r="O104" s="20" t="s">
        <v>170</v>
      </c>
      <c r="P104" s="6"/>
      <c r="Q104" s="9" t="s">
        <v>80</v>
      </c>
      <c r="R104" s="6" t="s">
        <v>133</v>
      </c>
      <c r="S104" s="10" t="b">
        <v>0</v>
      </c>
      <c r="T104" s="10" t="b">
        <v>1</v>
      </c>
      <c r="U104" s="10" t="b">
        <v>1</v>
      </c>
      <c r="V104" s="14" t="s">
        <v>1613</v>
      </c>
      <c r="W104" s="9" t="s">
        <v>1614</v>
      </c>
      <c r="X104" s="9" t="s">
        <v>469</v>
      </c>
      <c r="Y104" s="10" t="b">
        <v>1</v>
      </c>
      <c r="Z104" s="12" t="b">
        <v>0</v>
      </c>
      <c r="AA104" s="28" t="s">
        <v>1615</v>
      </c>
      <c r="AB104" s="9" t="s">
        <v>1331</v>
      </c>
      <c r="AC104" s="9" t="s">
        <v>79</v>
      </c>
      <c r="AD104" s="10" t="b">
        <v>1</v>
      </c>
      <c r="AE104" s="10" t="b">
        <v>1</v>
      </c>
      <c r="AF104" s="28" t="s">
        <v>1616</v>
      </c>
      <c r="AG104" s="8" t="s">
        <v>268</v>
      </c>
      <c r="AH104" s="8" t="s">
        <v>170</v>
      </c>
      <c r="AI104" s="10" t="b">
        <v>1</v>
      </c>
      <c r="AJ104" s="12" t="b">
        <v>0</v>
      </c>
      <c r="AK104" s="28" t="s">
        <v>1615</v>
      </c>
      <c r="AL104" s="9" t="s">
        <v>1331</v>
      </c>
      <c r="AM104" s="9" t="s">
        <v>79</v>
      </c>
      <c r="AN104" s="9" t="b">
        <v>1</v>
      </c>
      <c r="AO104" s="9" t="b">
        <v>0</v>
      </c>
      <c r="AP104" s="14" t="s">
        <v>1617</v>
      </c>
      <c r="AQ104" s="9" t="s">
        <v>65</v>
      </c>
      <c r="AR104" s="9" t="s">
        <v>65</v>
      </c>
      <c r="AS104" s="6"/>
      <c r="AT104" s="6"/>
      <c r="AU104" s="6"/>
      <c r="AV104" s="6"/>
      <c r="AW104" s="6"/>
      <c r="AX104" s="6"/>
      <c r="AY104" s="6"/>
      <c r="AZ104" s="6"/>
      <c r="BA104" s="6"/>
    </row>
    <row r="105" ht="22.5" customHeight="1">
      <c r="A105" s="7" t="s">
        <v>1618</v>
      </c>
      <c r="B105" s="8" t="s">
        <v>1619</v>
      </c>
      <c r="C105" s="8" t="s">
        <v>1620</v>
      </c>
      <c r="D105" s="9" t="s">
        <v>1621</v>
      </c>
      <c r="E105" s="9" t="s">
        <v>1622</v>
      </c>
      <c r="F105" s="9" t="s">
        <v>1623</v>
      </c>
      <c r="G105" s="6" t="s">
        <v>1624</v>
      </c>
      <c r="H105" s="10" t="b">
        <v>1</v>
      </c>
      <c r="I105" s="28" t="s">
        <v>1625</v>
      </c>
      <c r="J105" s="28" t="s">
        <v>1626</v>
      </c>
      <c r="K105" s="11" t="s">
        <v>1627</v>
      </c>
      <c r="L105" s="11" t="s">
        <v>1625</v>
      </c>
      <c r="M105" s="8" t="s">
        <v>1628</v>
      </c>
      <c r="N105" s="6" t="s">
        <v>57</v>
      </c>
      <c r="O105" s="6" t="s">
        <v>58</v>
      </c>
      <c r="P105" s="6"/>
      <c r="Q105" s="9" t="s">
        <v>59</v>
      </c>
      <c r="R105" s="6" t="s">
        <v>59</v>
      </c>
      <c r="S105" s="10" t="b">
        <v>0</v>
      </c>
      <c r="T105" s="10" t="b">
        <v>0</v>
      </c>
      <c r="U105" s="12" t="s">
        <v>63</v>
      </c>
      <c r="V105" s="6" t="s">
        <v>63</v>
      </c>
      <c r="W105" s="9" t="s">
        <v>63</v>
      </c>
      <c r="X105" s="6" t="s">
        <v>63</v>
      </c>
      <c r="Y105" s="12" t="b">
        <v>0</v>
      </c>
      <c r="Z105" s="10" t="s">
        <v>63</v>
      </c>
      <c r="AA105" s="13" t="s">
        <v>63</v>
      </c>
      <c r="AB105" s="10" t="s">
        <v>63</v>
      </c>
      <c r="AC105" s="10" t="s">
        <v>63</v>
      </c>
      <c r="AD105" s="12" t="b">
        <v>0</v>
      </c>
      <c r="AE105" s="10" t="s">
        <v>63</v>
      </c>
      <c r="AF105" s="13" t="s">
        <v>63</v>
      </c>
      <c r="AG105" s="10" t="s">
        <v>63</v>
      </c>
      <c r="AH105" s="10" t="s">
        <v>63</v>
      </c>
      <c r="AI105" s="12" t="b">
        <v>0</v>
      </c>
      <c r="AJ105" s="10" t="s">
        <v>63</v>
      </c>
      <c r="AK105" s="13" t="s">
        <v>63</v>
      </c>
      <c r="AL105" s="10" t="s">
        <v>63</v>
      </c>
      <c r="AM105" s="10" t="s">
        <v>63</v>
      </c>
      <c r="AN105" s="9" t="b">
        <v>1</v>
      </c>
      <c r="AO105" s="9" t="b">
        <v>0</v>
      </c>
      <c r="AP105" s="14" t="s">
        <v>1629</v>
      </c>
      <c r="AQ105" s="9" t="s">
        <v>65</v>
      </c>
      <c r="AR105" s="9" t="s">
        <v>65</v>
      </c>
      <c r="AS105" s="6"/>
      <c r="AT105" s="6"/>
      <c r="AU105" s="6"/>
      <c r="AV105" s="6"/>
      <c r="AW105" s="6"/>
      <c r="AX105" s="6"/>
      <c r="AY105" s="6"/>
      <c r="AZ105" s="6"/>
      <c r="BA105" s="6"/>
    </row>
    <row r="106" ht="22.5" customHeight="1">
      <c r="A106" s="7" t="s">
        <v>1630</v>
      </c>
      <c r="B106" s="8" t="s">
        <v>1631</v>
      </c>
      <c r="C106" s="8" t="s">
        <v>1632</v>
      </c>
      <c r="D106" s="9" t="s">
        <v>1633</v>
      </c>
      <c r="E106" s="9" t="s">
        <v>1634</v>
      </c>
      <c r="F106" s="9" t="s">
        <v>1635</v>
      </c>
      <c r="G106" s="6" t="s">
        <v>1636</v>
      </c>
      <c r="H106" s="15" t="b">
        <v>1</v>
      </c>
      <c r="I106" s="11" t="s">
        <v>1637</v>
      </c>
      <c r="J106" s="11" t="s">
        <v>1638</v>
      </c>
      <c r="K106" s="11" t="s">
        <v>1639</v>
      </c>
      <c r="L106" s="11" t="s">
        <v>1637</v>
      </c>
      <c r="M106" s="8" t="s">
        <v>1640</v>
      </c>
      <c r="N106" s="6" t="s">
        <v>57</v>
      </c>
      <c r="O106" s="6" t="s">
        <v>58</v>
      </c>
      <c r="P106" s="6"/>
      <c r="Q106" s="9" t="s">
        <v>80</v>
      </c>
      <c r="R106" s="6" t="s">
        <v>133</v>
      </c>
      <c r="S106" s="10" t="b">
        <v>0</v>
      </c>
      <c r="T106" s="10" t="b">
        <v>0</v>
      </c>
      <c r="U106" s="10" t="b">
        <v>0</v>
      </c>
      <c r="V106" s="8" t="s">
        <v>63</v>
      </c>
      <c r="W106" s="8" t="s">
        <v>104</v>
      </c>
      <c r="X106" s="8" t="s">
        <v>63</v>
      </c>
      <c r="Y106" s="10" t="b">
        <v>1</v>
      </c>
      <c r="Z106" s="12" t="b">
        <v>0</v>
      </c>
      <c r="AA106" s="28" t="s">
        <v>1641</v>
      </c>
      <c r="AB106" s="9" t="s">
        <v>65</v>
      </c>
      <c r="AC106" s="9" t="s">
        <v>65</v>
      </c>
      <c r="AD106" s="10" t="b">
        <v>1</v>
      </c>
      <c r="AE106" s="10" t="b">
        <v>1</v>
      </c>
      <c r="AF106" s="28" t="s">
        <v>1642</v>
      </c>
      <c r="AG106" s="8" t="s">
        <v>186</v>
      </c>
      <c r="AH106" s="8" t="s">
        <v>58</v>
      </c>
      <c r="AI106" s="10" t="b">
        <v>1</v>
      </c>
      <c r="AJ106" s="12" t="b">
        <v>0</v>
      </c>
      <c r="AK106" s="28" t="s">
        <v>1641</v>
      </c>
      <c r="AL106" s="9" t="s">
        <v>65</v>
      </c>
      <c r="AM106" s="9" t="s">
        <v>65</v>
      </c>
      <c r="AN106" s="9" t="b">
        <v>1</v>
      </c>
      <c r="AO106" s="9" t="b">
        <v>0</v>
      </c>
      <c r="AP106" s="14" t="s">
        <v>1643</v>
      </c>
      <c r="AQ106" s="9" t="s">
        <v>65</v>
      </c>
      <c r="AR106" s="9" t="s">
        <v>65</v>
      </c>
      <c r="AS106" s="6"/>
      <c r="AT106" s="6"/>
      <c r="AU106" s="6"/>
      <c r="AV106" s="6"/>
      <c r="AW106" s="6"/>
      <c r="AX106" s="6"/>
      <c r="AY106" s="6"/>
      <c r="AZ106" s="6"/>
      <c r="BA106" s="6"/>
    </row>
    <row r="107" ht="22.5" customHeight="1">
      <c r="A107" s="7" t="s">
        <v>1644</v>
      </c>
      <c r="B107" s="8" t="s">
        <v>1645</v>
      </c>
      <c r="C107" s="8" t="s">
        <v>1646</v>
      </c>
      <c r="D107" s="9" t="s">
        <v>1647</v>
      </c>
      <c r="E107" s="9" t="s">
        <v>1648</v>
      </c>
      <c r="F107" s="9" t="s">
        <v>1649</v>
      </c>
      <c r="G107" s="6" t="s">
        <v>1650</v>
      </c>
      <c r="H107" s="10" t="b">
        <v>1</v>
      </c>
      <c r="I107" s="11" t="s">
        <v>1651</v>
      </c>
      <c r="J107" s="11" t="s">
        <v>1652</v>
      </c>
      <c r="K107" s="11" t="s">
        <v>1653</v>
      </c>
      <c r="L107" s="11" t="s">
        <v>1654</v>
      </c>
      <c r="M107" s="8" t="s">
        <v>1655</v>
      </c>
      <c r="N107" s="17" t="s">
        <v>169</v>
      </c>
      <c r="O107" s="6" t="s">
        <v>170</v>
      </c>
      <c r="P107" s="6"/>
      <c r="Q107" s="9" t="s">
        <v>80</v>
      </c>
      <c r="R107" s="8" t="s">
        <v>81</v>
      </c>
      <c r="S107" s="10" t="b">
        <v>0</v>
      </c>
      <c r="T107" s="10" t="b">
        <v>1</v>
      </c>
      <c r="U107" s="10" t="b">
        <v>0</v>
      </c>
      <c r="V107" s="11" t="s">
        <v>1656</v>
      </c>
      <c r="W107" s="9" t="s">
        <v>1657</v>
      </c>
      <c r="X107" s="9" t="s">
        <v>79</v>
      </c>
      <c r="Y107" s="10" t="b">
        <v>1</v>
      </c>
      <c r="Z107" s="12" t="b">
        <v>0</v>
      </c>
      <c r="AA107" s="14" t="s">
        <v>1658</v>
      </c>
      <c r="AB107" s="9" t="s">
        <v>753</v>
      </c>
      <c r="AC107" s="9" t="s">
        <v>79</v>
      </c>
      <c r="AD107" s="10" t="b">
        <v>1</v>
      </c>
      <c r="AE107" s="9" t="b">
        <v>0</v>
      </c>
      <c r="AF107" s="28" t="s">
        <v>1659</v>
      </c>
      <c r="AG107" s="8" t="s">
        <v>103</v>
      </c>
      <c r="AH107" s="8" t="s">
        <v>79</v>
      </c>
      <c r="AI107" s="10" t="b">
        <v>1</v>
      </c>
      <c r="AJ107" s="12" t="b">
        <v>0</v>
      </c>
      <c r="AK107" s="14" t="s">
        <v>1658</v>
      </c>
      <c r="AL107" s="9" t="s">
        <v>753</v>
      </c>
      <c r="AM107" s="9" t="s">
        <v>79</v>
      </c>
      <c r="AN107" s="9" t="b">
        <v>1</v>
      </c>
      <c r="AO107" s="9" t="b">
        <v>0</v>
      </c>
      <c r="AP107" s="14" t="s">
        <v>1660</v>
      </c>
      <c r="AQ107" s="9" t="s">
        <v>65</v>
      </c>
      <c r="AR107" s="9" t="s">
        <v>65</v>
      </c>
      <c r="AS107" s="6"/>
      <c r="AT107" s="6"/>
      <c r="AU107" s="6"/>
      <c r="AV107" s="6"/>
      <c r="AW107" s="6"/>
      <c r="AX107" s="6"/>
      <c r="AY107" s="6"/>
      <c r="AZ107" s="6"/>
      <c r="BA107" s="6"/>
    </row>
    <row r="108" ht="22.5" customHeight="1">
      <c r="A108" s="7" t="s">
        <v>1661</v>
      </c>
      <c r="B108" s="8" t="s">
        <v>1662</v>
      </c>
      <c r="C108" s="8" t="s">
        <v>1663</v>
      </c>
      <c r="D108" s="9" t="s">
        <v>1664</v>
      </c>
      <c r="E108" s="9" t="s">
        <v>1665</v>
      </c>
      <c r="F108" s="9" t="s">
        <v>1666</v>
      </c>
      <c r="G108" s="6" t="s">
        <v>1667</v>
      </c>
      <c r="H108" s="10" t="b">
        <v>1</v>
      </c>
      <c r="I108" s="16" t="s">
        <v>1668</v>
      </c>
      <c r="J108" s="16" t="s">
        <v>1669</v>
      </c>
      <c r="K108" s="11" t="s">
        <v>1670</v>
      </c>
      <c r="L108" s="11" t="s">
        <v>1668</v>
      </c>
      <c r="M108" s="8" t="s">
        <v>1092</v>
      </c>
      <c r="N108" s="6" t="s">
        <v>57</v>
      </c>
      <c r="O108" s="6" t="s">
        <v>58</v>
      </c>
      <c r="P108" s="6"/>
      <c r="Q108" s="9" t="s">
        <v>80</v>
      </c>
      <c r="R108" s="6" t="s">
        <v>133</v>
      </c>
      <c r="S108" s="15" t="b">
        <v>0</v>
      </c>
      <c r="T108" s="10" t="b">
        <v>1</v>
      </c>
      <c r="U108" s="10" t="b">
        <v>0</v>
      </c>
      <c r="V108" s="11" t="s">
        <v>1671</v>
      </c>
      <c r="W108" s="6" t="s">
        <v>65</v>
      </c>
      <c r="X108" s="6" t="s">
        <v>65</v>
      </c>
      <c r="Y108" s="10" t="b">
        <v>1</v>
      </c>
      <c r="Z108" s="10" t="b">
        <v>1</v>
      </c>
      <c r="AA108" s="28" t="s">
        <v>1672</v>
      </c>
      <c r="AB108" s="9" t="s">
        <v>860</v>
      </c>
      <c r="AC108" s="9" t="s">
        <v>62</v>
      </c>
      <c r="AD108" s="10" t="b">
        <v>1</v>
      </c>
      <c r="AE108" s="10" t="b">
        <v>1</v>
      </c>
      <c r="AF108" s="14" t="s">
        <v>1673</v>
      </c>
      <c r="AG108" s="8" t="s">
        <v>186</v>
      </c>
      <c r="AH108" s="8" t="s">
        <v>58</v>
      </c>
      <c r="AI108" s="10" t="b">
        <v>1</v>
      </c>
      <c r="AJ108" s="10" t="b">
        <v>1</v>
      </c>
      <c r="AK108" s="28" t="s">
        <v>1672</v>
      </c>
      <c r="AL108" s="9" t="s">
        <v>860</v>
      </c>
      <c r="AM108" s="9" t="s">
        <v>62</v>
      </c>
      <c r="AN108" s="9" t="b">
        <v>1</v>
      </c>
      <c r="AO108" s="9" t="b">
        <v>0</v>
      </c>
      <c r="AP108" s="14" t="s">
        <v>1674</v>
      </c>
      <c r="AQ108" s="9" t="s">
        <v>65</v>
      </c>
      <c r="AR108" s="9" t="s">
        <v>65</v>
      </c>
      <c r="AS108" s="6"/>
      <c r="AT108" s="6"/>
      <c r="AU108" s="6"/>
      <c r="AV108" s="6"/>
      <c r="AW108" s="6"/>
      <c r="AX108" s="6"/>
      <c r="AY108" s="6"/>
      <c r="AZ108" s="6"/>
      <c r="BA108" s="6"/>
    </row>
    <row r="109" ht="22.5" customHeight="1">
      <c r="A109" s="7" t="s">
        <v>1675</v>
      </c>
      <c r="B109" s="8" t="s">
        <v>1676</v>
      </c>
      <c r="C109" s="8" t="s">
        <v>1677</v>
      </c>
      <c r="D109" s="9" t="s">
        <v>1678</v>
      </c>
      <c r="E109" s="9" t="s">
        <v>1679</v>
      </c>
      <c r="F109" s="9" t="s">
        <v>1680</v>
      </c>
      <c r="G109" s="6" t="s">
        <v>1681</v>
      </c>
      <c r="H109" s="43" t="b">
        <v>1</v>
      </c>
      <c r="I109" s="47" t="s">
        <v>1682</v>
      </c>
      <c r="J109" s="48" t="s">
        <v>1683</v>
      </c>
      <c r="K109" s="16" t="s">
        <v>1684</v>
      </c>
      <c r="L109" s="14" t="s">
        <v>1685</v>
      </c>
      <c r="M109" s="6" t="s">
        <v>1686</v>
      </c>
      <c r="N109" s="45" t="s">
        <v>1687</v>
      </c>
      <c r="O109" s="9" t="s">
        <v>469</v>
      </c>
      <c r="P109" s="10" t="b">
        <v>1</v>
      </c>
      <c r="Q109" s="9" t="s">
        <v>59</v>
      </c>
      <c r="R109" s="6" t="s">
        <v>59</v>
      </c>
      <c r="S109" s="10" t="b">
        <v>0</v>
      </c>
      <c r="T109" s="10" t="b">
        <v>0</v>
      </c>
      <c r="U109" s="15" t="b">
        <v>0</v>
      </c>
      <c r="V109" s="8" t="s">
        <v>63</v>
      </c>
      <c r="W109" s="8" t="s">
        <v>104</v>
      </c>
      <c r="X109" s="8" t="s">
        <v>63</v>
      </c>
      <c r="Y109" s="12" t="b">
        <v>0</v>
      </c>
      <c r="Z109" s="10" t="s">
        <v>63</v>
      </c>
      <c r="AA109" s="13" t="s">
        <v>63</v>
      </c>
      <c r="AB109" s="10" t="s">
        <v>63</v>
      </c>
      <c r="AC109" s="10" t="s">
        <v>63</v>
      </c>
      <c r="AD109" s="12" t="b">
        <v>0</v>
      </c>
      <c r="AE109" s="10" t="s">
        <v>63</v>
      </c>
      <c r="AF109" s="13" t="s">
        <v>63</v>
      </c>
      <c r="AG109" s="10" t="s">
        <v>63</v>
      </c>
      <c r="AH109" s="10" t="s">
        <v>63</v>
      </c>
      <c r="AI109" s="12" t="b">
        <v>0</v>
      </c>
      <c r="AJ109" s="10" t="s">
        <v>63</v>
      </c>
      <c r="AK109" s="13" t="s">
        <v>63</v>
      </c>
      <c r="AL109" s="10" t="s">
        <v>63</v>
      </c>
      <c r="AM109" s="10" t="s">
        <v>63</v>
      </c>
      <c r="AN109" s="9" t="b">
        <v>1</v>
      </c>
      <c r="AO109" s="9" t="b">
        <v>1</v>
      </c>
      <c r="AP109" s="14" t="s">
        <v>1688</v>
      </c>
      <c r="AQ109" s="45" t="s">
        <v>1687</v>
      </c>
      <c r="AR109" s="9" t="s">
        <v>469</v>
      </c>
      <c r="AS109" s="6"/>
      <c r="AT109" s="6"/>
      <c r="AU109" s="6"/>
      <c r="AV109" s="6"/>
      <c r="AW109" s="6"/>
      <c r="AX109" s="6"/>
      <c r="AY109" s="6"/>
      <c r="AZ109" s="6"/>
      <c r="BA109" s="6"/>
    </row>
    <row r="110" ht="22.5" customHeight="1">
      <c r="A110" s="7" t="s">
        <v>1689</v>
      </c>
      <c r="B110" s="8" t="s">
        <v>1690</v>
      </c>
      <c r="C110" s="8" t="s">
        <v>1691</v>
      </c>
      <c r="D110" s="9" t="s">
        <v>1692</v>
      </c>
      <c r="E110" s="9" t="s">
        <v>1693</v>
      </c>
      <c r="F110" s="9" t="s">
        <v>1694</v>
      </c>
      <c r="G110" s="6" t="s">
        <v>1695</v>
      </c>
      <c r="H110" s="10" t="b">
        <v>0</v>
      </c>
      <c r="I110" s="11" t="s">
        <v>1696</v>
      </c>
      <c r="J110" s="47" t="s">
        <v>1697</v>
      </c>
      <c r="K110" s="47" t="s">
        <v>1698</v>
      </c>
      <c r="L110" s="11" t="s">
        <v>1697</v>
      </c>
      <c r="M110" s="35" t="s">
        <v>1699</v>
      </c>
      <c r="N110" s="6" t="s">
        <v>169</v>
      </c>
      <c r="O110" s="6" t="s">
        <v>170</v>
      </c>
      <c r="P110" s="6"/>
      <c r="Q110" s="9" t="s">
        <v>80</v>
      </c>
      <c r="R110" s="8" t="s">
        <v>312</v>
      </c>
      <c r="S110" s="10" t="b">
        <v>0</v>
      </c>
      <c r="T110" s="15" t="b">
        <v>1</v>
      </c>
      <c r="U110" s="15" t="b">
        <v>1</v>
      </c>
      <c r="V110" s="28" t="s">
        <v>1700</v>
      </c>
      <c r="W110" s="9" t="s">
        <v>1701</v>
      </c>
      <c r="X110" s="9" t="s">
        <v>79</v>
      </c>
      <c r="Y110" s="10" t="b">
        <v>1</v>
      </c>
      <c r="Z110" s="10" t="b">
        <v>1</v>
      </c>
      <c r="AA110" s="28" t="s">
        <v>1702</v>
      </c>
      <c r="AB110" s="8" t="s">
        <v>1703</v>
      </c>
      <c r="AC110" s="8" t="s">
        <v>79</v>
      </c>
      <c r="AD110" s="10" t="b">
        <v>1</v>
      </c>
      <c r="AE110" s="10" t="b">
        <v>1</v>
      </c>
      <c r="AF110" s="28" t="s">
        <v>1704</v>
      </c>
      <c r="AG110" s="8" t="s">
        <v>1703</v>
      </c>
      <c r="AH110" s="8" t="s">
        <v>79</v>
      </c>
      <c r="AI110" s="10" t="b">
        <v>1</v>
      </c>
      <c r="AJ110" s="10" t="b">
        <v>1</v>
      </c>
      <c r="AK110" s="28" t="s">
        <v>1702</v>
      </c>
      <c r="AL110" s="8" t="s">
        <v>1703</v>
      </c>
      <c r="AM110" s="8" t="s">
        <v>79</v>
      </c>
      <c r="AN110" s="9" t="b">
        <v>1</v>
      </c>
      <c r="AO110" s="9" t="b">
        <v>0</v>
      </c>
      <c r="AP110" s="14" t="s">
        <v>1705</v>
      </c>
      <c r="AQ110" s="9" t="s">
        <v>65</v>
      </c>
      <c r="AR110" s="9" t="s">
        <v>65</v>
      </c>
      <c r="AS110" s="6"/>
      <c r="AT110" s="6"/>
      <c r="AU110" s="6"/>
      <c r="AV110" s="6"/>
      <c r="AW110" s="6"/>
      <c r="AX110" s="6"/>
      <c r="AY110" s="6"/>
      <c r="AZ110" s="6"/>
      <c r="BA110" s="6"/>
    </row>
    <row r="111" ht="22.5" customHeight="1">
      <c r="A111" s="7" t="s">
        <v>1706</v>
      </c>
      <c r="B111" s="8" t="s">
        <v>1707</v>
      </c>
      <c r="C111" s="28" t="s">
        <v>1708</v>
      </c>
      <c r="D111" s="9" t="s">
        <v>1709</v>
      </c>
      <c r="E111" s="9" t="s">
        <v>1710</v>
      </c>
      <c r="F111" s="9" t="s">
        <v>1711</v>
      </c>
      <c r="G111" s="6" t="s">
        <v>1712</v>
      </c>
      <c r="H111" s="12" t="b">
        <v>1</v>
      </c>
      <c r="I111" s="49" t="s">
        <v>1713</v>
      </c>
      <c r="J111" s="47" t="s">
        <v>1714</v>
      </c>
      <c r="K111" s="47" t="s">
        <v>1715</v>
      </c>
      <c r="L111" s="11" t="s">
        <v>1716</v>
      </c>
      <c r="M111" s="38" t="s">
        <v>1717</v>
      </c>
      <c r="N111" s="17" t="s">
        <v>103</v>
      </c>
      <c r="O111" s="6" t="s">
        <v>86</v>
      </c>
      <c r="P111" s="6"/>
      <c r="Q111" s="9" t="s">
        <v>59</v>
      </c>
      <c r="R111" s="6" t="s">
        <v>59</v>
      </c>
      <c r="S111" s="10" t="b">
        <v>0</v>
      </c>
      <c r="T111" s="15" t="b">
        <v>1</v>
      </c>
      <c r="U111" s="15" t="b">
        <v>0</v>
      </c>
      <c r="V111" s="28" t="s">
        <v>1718</v>
      </c>
      <c r="W111" s="9" t="s">
        <v>675</v>
      </c>
      <c r="X111" s="9" t="s">
        <v>62</v>
      </c>
      <c r="Y111" s="12" t="b">
        <v>0</v>
      </c>
      <c r="Z111" s="10" t="s">
        <v>63</v>
      </c>
      <c r="AA111" s="13" t="s">
        <v>63</v>
      </c>
      <c r="AB111" s="10" t="s">
        <v>63</v>
      </c>
      <c r="AC111" s="10" t="s">
        <v>63</v>
      </c>
      <c r="AD111" s="12" t="b">
        <v>0</v>
      </c>
      <c r="AE111" s="10" t="s">
        <v>63</v>
      </c>
      <c r="AF111" s="13" t="s">
        <v>63</v>
      </c>
      <c r="AG111" s="10" t="s">
        <v>63</v>
      </c>
      <c r="AH111" s="10" t="s">
        <v>63</v>
      </c>
      <c r="AI111" s="12" t="b">
        <v>0</v>
      </c>
      <c r="AJ111" s="10" t="s">
        <v>63</v>
      </c>
      <c r="AK111" s="13" t="s">
        <v>63</v>
      </c>
      <c r="AL111" s="10" t="s">
        <v>63</v>
      </c>
      <c r="AM111" s="10" t="s">
        <v>63</v>
      </c>
      <c r="AN111" s="9" t="b">
        <v>1</v>
      </c>
      <c r="AO111" s="9" t="b">
        <v>0</v>
      </c>
      <c r="AP111" s="14" t="s">
        <v>1719</v>
      </c>
      <c r="AQ111" s="9" t="s">
        <v>65</v>
      </c>
      <c r="AR111" s="9" t="s">
        <v>65</v>
      </c>
      <c r="AS111" s="6"/>
      <c r="AT111" s="6"/>
      <c r="AU111" s="6"/>
      <c r="AV111" s="6"/>
      <c r="AW111" s="6"/>
      <c r="AX111" s="6"/>
      <c r="AY111" s="6"/>
      <c r="AZ111" s="6"/>
      <c r="BA111" s="6"/>
    </row>
    <row r="112" ht="22.5" customHeight="1">
      <c r="A112" s="7" t="s">
        <v>1720</v>
      </c>
      <c r="B112" s="8" t="s">
        <v>1721</v>
      </c>
      <c r="C112" s="8" t="s">
        <v>1722</v>
      </c>
      <c r="D112" s="9" t="s">
        <v>1723</v>
      </c>
      <c r="E112" s="9" t="s">
        <v>1724</v>
      </c>
      <c r="F112" s="9" t="s">
        <v>1725</v>
      </c>
      <c r="G112" s="6" t="s">
        <v>1726</v>
      </c>
      <c r="H112" s="10" t="b">
        <v>0</v>
      </c>
      <c r="I112" s="49" t="s">
        <v>1727</v>
      </c>
      <c r="J112" s="47" t="s">
        <v>1728</v>
      </c>
      <c r="K112" s="47" t="s">
        <v>1729</v>
      </c>
      <c r="L112" s="11" t="s">
        <v>1730</v>
      </c>
      <c r="M112" s="19" t="s">
        <v>1731</v>
      </c>
      <c r="N112" s="17" t="s">
        <v>103</v>
      </c>
      <c r="O112" s="6" t="s">
        <v>86</v>
      </c>
      <c r="P112" s="6"/>
      <c r="Q112" s="9" t="s">
        <v>59</v>
      </c>
      <c r="R112" s="6" t="s">
        <v>59</v>
      </c>
      <c r="S112" s="10" t="b">
        <v>0</v>
      </c>
      <c r="T112" s="10" t="b">
        <v>0</v>
      </c>
      <c r="U112" s="15" t="b">
        <v>0</v>
      </c>
      <c r="V112" s="8" t="s">
        <v>63</v>
      </c>
      <c r="W112" s="8" t="s">
        <v>104</v>
      </c>
      <c r="X112" s="8" t="s">
        <v>63</v>
      </c>
      <c r="Y112" s="12" t="b">
        <v>0</v>
      </c>
      <c r="Z112" s="10" t="s">
        <v>63</v>
      </c>
      <c r="AA112" s="13" t="s">
        <v>63</v>
      </c>
      <c r="AB112" s="10" t="s">
        <v>63</v>
      </c>
      <c r="AC112" s="10" t="s">
        <v>63</v>
      </c>
      <c r="AD112" s="12" t="b">
        <v>0</v>
      </c>
      <c r="AE112" s="10" t="s">
        <v>63</v>
      </c>
      <c r="AF112" s="13" t="s">
        <v>63</v>
      </c>
      <c r="AG112" s="10" t="s">
        <v>63</v>
      </c>
      <c r="AH112" s="10" t="s">
        <v>63</v>
      </c>
      <c r="AI112" s="12" t="b">
        <v>0</v>
      </c>
      <c r="AJ112" s="10" t="s">
        <v>63</v>
      </c>
      <c r="AK112" s="13" t="s">
        <v>63</v>
      </c>
      <c r="AL112" s="10" t="s">
        <v>63</v>
      </c>
      <c r="AM112" s="10" t="s">
        <v>63</v>
      </c>
      <c r="AN112" s="9" t="b">
        <v>1</v>
      </c>
      <c r="AO112" s="9" t="b">
        <v>0</v>
      </c>
      <c r="AP112" s="14" t="s">
        <v>1732</v>
      </c>
      <c r="AQ112" s="9" t="s">
        <v>65</v>
      </c>
      <c r="AR112" s="9" t="s">
        <v>65</v>
      </c>
      <c r="AS112" s="6"/>
      <c r="AT112" s="6"/>
      <c r="AU112" s="6"/>
      <c r="AV112" s="6"/>
      <c r="AW112" s="6"/>
      <c r="AX112" s="6"/>
      <c r="AY112" s="6"/>
      <c r="AZ112" s="6"/>
      <c r="BA112" s="6"/>
    </row>
    <row r="113" ht="22.5" customHeight="1">
      <c r="A113" s="7" t="s">
        <v>1733</v>
      </c>
      <c r="B113" s="8" t="s">
        <v>1734</v>
      </c>
      <c r="C113" s="8" t="s">
        <v>1735</v>
      </c>
      <c r="D113" s="9" t="s">
        <v>1736</v>
      </c>
      <c r="E113" s="9" t="s">
        <v>1737</v>
      </c>
      <c r="F113" s="9" t="s">
        <v>1738</v>
      </c>
      <c r="G113" s="6" t="s">
        <v>180</v>
      </c>
      <c r="H113" s="10" t="b">
        <v>1</v>
      </c>
      <c r="I113" s="11" t="s">
        <v>1739</v>
      </c>
      <c r="J113" s="11" t="s">
        <v>1740</v>
      </c>
      <c r="K113" s="11" t="s">
        <v>1741</v>
      </c>
      <c r="L113" s="11" t="s">
        <v>1742</v>
      </c>
      <c r="M113" s="8" t="s">
        <v>1743</v>
      </c>
      <c r="N113" s="6" t="s">
        <v>1744</v>
      </c>
      <c r="O113" s="6" t="s">
        <v>79</v>
      </c>
      <c r="P113" s="6"/>
      <c r="Q113" s="9" t="s">
        <v>59</v>
      </c>
      <c r="R113" s="8" t="s">
        <v>59</v>
      </c>
      <c r="S113" s="10" t="b">
        <v>0</v>
      </c>
      <c r="T113" s="15" t="b">
        <v>1</v>
      </c>
      <c r="U113" s="15" t="b">
        <v>0</v>
      </c>
      <c r="V113" s="28" t="s">
        <v>1745</v>
      </c>
      <c r="W113" s="9" t="s">
        <v>454</v>
      </c>
      <c r="X113" s="9" t="s">
        <v>62</v>
      </c>
      <c r="Y113" s="12" t="b">
        <v>0</v>
      </c>
      <c r="Z113" s="10" t="s">
        <v>63</v>
      </c>
      <c r="AA113" s="13" t="s">
        <v>63</v>
      </c>
      <c r="AB113" s="10" t="s">
        <v>63</v>
      </c>
      <c r="AC113" s="10" t="s">
        <v>63</v>
      </c>
      <c r="AD113" s="12" t="b">
        <v>0</v>
      </c>
      <c r="AE113" s="10" t="s">
        <v>63</v>
      </c>
      <c r="AF113" s="13" t="s">
        <v>63</v>
      </c>
      <c r="AG113" s="10" t="s">
        <v>63</v>
      </c>
      <c r="AH113" s="10" t="s">
        <v>63</v>
      </c>
      <c r="AI113" s="12" t="b">
        <v>0</v>
      </c>
      <c r="AJ113" s="10" t="s">
        <v>63</v>
      </c>
      <c r="AK113" s="13" t="s">
        <v>63</v>
      </c>
      <c r="AL113" s="10" t="s">
        <v>63</v>
      </c>
      <c r="AM113" s="10" t="s">
        <v>63</v>
      </c>
      <c r="AN113" s="9" t="b">
        <v>1</v>
      </c>
      <c r="AO113" s="9" t="b">
        <v>0</v>
      </c>
      <c r="AP113" s="14" t="s">
        <v>1746</v>
      </c>
      <c r="AQ113" s="9" t="s">
        <v>65</v>
      </c>
      <c r="AR113" s="9" t="s">
        <v>65</v>
      </c>
      <c r="AS113" s="6"/>
      <c r="AT113" s="6"/>
      <c r="AU113" s="6"/>
      <c r="AV113" s="6"/>
      <c r="AW113" s="6"/>
      <c r="AX113" s="6"/>
      <c r="AY113" s="6"/>
      <c r="AZ113" s="6"/>
      <c r="BA113" s="6"/>
    </row>
    <row r="114" ht="22.5" customHeight="1">
      <c r="A114" s="7" t="s">
        <v>1747</v>
      </c>
      <c r="B114" s="8" t="s">
        <v>1748</v>
      </c>
      <c r="C114" s="8" t="s">
        <v>1749</v>
      </c>
      <c r="D114" s="9" t="s">
        <v>1750</v>
      </c>
      <c r="E114" s="9" t="s">
        <v>1751</v>
      </c>
      <c r="F114" s="9" t="s">
        <v>1752</v>
      </c>
      <c r="G114" s="6" t="s">
        <v>1753</v>
      </c>
      <c r="H114" s="10" t="b">
        <v>1</v>
      </c>
      <c r="I114" s="11" t="s">
        <v>1754</v>
      </c>
      <c r="J114" s="11" t="s">
        <v>1755</v>
      </c>
      <c r="K114" s="28" t="s">
        <v>1756</v>
      </c>
      <c r="L114" s="11" t="s">
        <v>1754</v>
      </c>
      <c r="M114" s="9" t="s">
        <v>1757</v>
      </c>
      <c r="N114" s="6" t="s">
        <v>57</v>
      </c>
      <c r="O114" s="6" t="s">
        <v>58</v>
      </c>
      <c r="P114" s="6"/>
      <c r="Q114" s="9" t="s">
        <v>59</v>
      </c>
      <c r="R114" s="6" t="s">
        <v>59</v>
      </c>
      <c r="S114" s="10" t="b">
        <v>0</v>
      </c>
      <c r="T114" s="10" t="b">
        <v>0</v>
      </c>
      <c r="U114" s="10" t="b">
        <v>0</v>
      </c>
      <c r="V114" s="6" t="s">
        <v>63</v>
      </c>
      <c r="W114" s="6" t="s">
        <v>104</v>
      </c>
      <c r="X114" s="6" t="s">
        <v>63</v>
      </c>
      <c r="Y114" s="12" t="b">
        <v>0</v>
      </c>
      <c r="Z114" s="10" t="s">
        <v>63</v>
      </c>
      <c r="AA114" s="13" t="s">
        <v>63</v>
      </c>
      <c r="AB114" s="10" t="s">
        <v>63</v>
      </c>
      <c r="AC114" s="10" t="s">
        <v>63</v>
      </c>
      <c r="AD114" s="12" t="b">
        <v>0</v>
      </c>
      <c r="AE114" s="10" t="s">
        <v>63</v>
      </c>
      <c r="AF114" s="13" t="s">
        <v>63</v>
      </c>
      <c r="AG114" s="10" t="s">
        <v>63</v>
      </c>
      <c r="AH114" s="10" t="s">
        <v>63</v>
      </c>
      <c r="AI114" s="12" t="b">
        <v>0</v>
      </c>
      <c r="AJ114" s="10" t="s">
        <v>63</v>
      </c>
      <c r="AK114" s="13" t="s">
        <v>63</v>
      </c>
      <c r="AL114" s="10" t="s">
        <v>63</v>
      </c>
      <c r="AM114" s="10" t="s">
        <v>63</v>
      </c>
      <c r="AN114" s="9" t="b">
        <v>1</v>
      </c>
      <c r="AO114" s="9" t="b">
        <v>0</v>
      </c>
      <c r="AP114" s="14" t="s">
        <v>1758</v>
      </c>
      <c r="AQ114" s="9" t="s">
        <v>65</v>
      </c>
      <c r="AR114" s="9" t="s">
        <v>65</v>
      </c>
      <c r="AS114" s="6"/>
      <c r="AT114" s="6"/>
      <c r="AU114" s="6"/>
      <c r="AV114" s="6"/>
      <c r="AW114" s="6"/>
      <c r="AX114" s="6"/>
      <c r="AY114" s="6"/>
      <c r="AZ114" s="6"/>
      <c r="BA114" s="6"/>
    </row>
    <row r="115" ht="22.5" customHeight="1">
      <c r="A115" s="7" t="s">
        <v>1759</v>
      </c>
      <c r="B115" s="8" t="s">
        <v>1760</v>
      </c>
      <c r="C115" s="8" t="s">
        <v>1761</v>
      </c>
      <c r="D115" s="9" t="s">
        <v>1762</v>
      </c>
      <c r="E115" s="9" t="s">
        <v>1763</v>
      </c>
      <c r="F115" s="9" t="s">
        <v>1764</v>
      </c>
      <c r="G115" s="6" t="s">
        <v>97</v>
      </c>
      <c r="H115" s="10" t="b">
        <v>1</v>
      </c>
      <c r="I115" s="11" t="s">
        <v>1765</v>
      </c>
      <c r="J115" s="11" t="s">
        <v>1766</v>
      </c>
      <c r="K115" s="11" t="s">
        <v>1767</v>
      </c>
      <c r="L115" s="11" t="s">
        <v>1768</v>
      </c>
      <c r="M115" s="6" t="s">
        <v>1769</v>
      </c>
      <c r="N115" s="6" t="s">
        <v>169</v>
      </c>
      <c r="O115" s="6" t="s">
        <v>170</v>
      </c>
      <c r="P115" s="6"/>
      <c r="Q115" s="9" t="s">
        <v>59</v>
      </c>
      <c r="R115" s="8" t="s">
        <v>59</v>
      </c>
      <c r="S115" s="10" t="b">
        <v>0</v>
      </c>
      <c r="T115" s="10" t="b">
        <v>0</v>
      </c>
      <c r="U115" s="15" t="b">
        <v>0</v>
      </c>
      <c r="V115" s="8" t="s">
        <v>63</v>
      </c>
      <c r="W115" s="8" t="s">
        <v>104</v>
      </c>
      <c r="X115" s="8" t="s">
        <v>63</v>
      </c>
      <c r="Y115" s="12" t="b">
        <v>0</v>
      </c>
      <c r="Z115" s="10" t="s">
        <v>63</v>
      </c>
      <c r="AA115" s="13" t="s">
        <v>63</v>
      </c>
      <c r="AB115" s="10" t="s">
        <v>63</v>
      </c>
      <c r="AC115" s="10" t="s">
        <v>63</v>
      </c>
      <c r="AD115" s="12" t="b">
        <v>0</v>
      </c>
      <c r="AE115" s="10" t="s">
        <v>63</v>
      </c>
      <c r="AF115" s="13" t="s">
        <v>63</v>
      </c>
      <c r="AG115" s="10" t="s">
        <v>63</v>
      </c>
      <c r="AH115" s="10" t="s">
        <v>63</v>
      </c>
      <c r="AI115" s="12" t="b">
        <v>0</v>
      </c>
      <c r="AJ115" s="10" t="s">
        <v>63</v>
      </c>
      <c r="AK115" s="13" t="s">
        <v>63</v>
      </c>
      <c r="AL115" s="10" t="s">
        <v>63</v>
      </c>
      <c r="AM115" s="10" t="s">
        <v>63</v>
      </c>
      <c r="AN115" s="9" t="b">
        <v>1</v>
      </c>
      <c r="AO115" s="9" t="b">
        <v>0</v>
      </c>
      <c r="AP115" s="14" t="s">
        <v>1770</v>
      </c>
      <c r="AQ115" s="9" t="s">
        <v>65</v>
      </c>
      <c r="AR115" s="9" t="s">
        <v>65</v>
      </c>
      <c r="AS115" s="6"/>
      <c r="AT115" s="6"/>
      <c r="AU115" s="6"/>
      <c r="AV115" s="6"/>
      <c r="AW115" s="6"/>
      <c r="AX115" s="6"/>
      <c r="AY115" s="6"/>
      <c r="AZ115" s="6"/>
      <c r="BA115" s="6"/>
    </row>
    <row r="116" ht="22.5" customHeight="1">
      <c r="A116" s="7" t="s">
        <v>1771</v>
      </c>
      <c r="B116" s="8" t="s">
        <v>1772</v>
      </c>
      <c r="C116" s="8" t="s">
        <v>1773</v>
      </c>
      <c r="D116" s="9" t="s">
        <v>1774</v>
      </c>
      <c r="E116" s="9" t="s">
        <v>1775</v>
      </c>
      <c r="F116" s="9" t="s">
        <v>1776</v>
      </c>
      <c r="G116" s="6" t="s">
        <v>97</v>
      </c>
      <c r="H116" s="10" t="b">
        <v>0</v>
      </c>
      <c r="I116" s="11" t="s">
        <v>1777</v>
      </c>
      <c r="J116" s="11" t="s">
        <v>1778</v>
      </c>
      <c r="K116" s="11" t="s">
        <v>1779</v>
      </c>
      <c r="L116" s="11" t="s">
        <v>1778</v>
      </c>
      <c r="M116" s="8" t="s">
        <v>1780</v>
      </c>
      <c r="N116" s="6" t="s">
        <v>169</v>
      </c>
      <c r="O116" s="6" t="s">
        <v>170</v>
      </c>
      <c r="P116" s="6"/>
      <c r="Q116" s="9" t="s">
        <v>59</v>
      </c>
      <c r="R116" s="8" t="s">
        <v>59</v>
      </c>
      <c r="S116" s="10" t="b">
        <v>0</v>
      </c>
      <c r="T116" s="10" t="b">
        <v>0</v>
      </c>
      <c r="U116" s="10" t="b">
        <v>0</v>
      </c>
      <c r="V116" s="6" t="s">
        <v>63</v>
      </c>
      <c r="W116" s="6" t="s">
        <v>104</v>
      </c>
      <c r="X116" s="6" t="s">
        <v>63</v>
      </c>
      <c r="Y116" s="12" t="b">
        <v>0</v>
      </c>
      <c r="Z116" s="10" t="s">
        <v>63</v>
      </c>
      <c r="AA116" s="13" t="s">
        <v>63</v>
      </c>
      <c r="AB116" s="10" t="s">
        <v>63</v>
      </c>
      <c r="AC116" s="10" t="s">
        <v>63</v>
      </c>
      <c r="AD116" s="12" t="b">
        <v>0</v>
      </c>
      <c r="AE116" s="10" t="s">
        <v>63</v>
      </c>
      <c r="AF116" s="13" t="s">
        <v>63</v>
      </c>
      <c r="AG116" s="10" t="s">
        <v>63</v>
      </c>
      <c r="AH116" s="10" t="s">
        <v>63</v>
      </c>
      <c r="AI116" s="12" t="b">
        <v>0</v>
      </c>
      <c r="AJ116" s="10" t="s">
        <v>63</v>
      </c>
      <c r="AK116" s="13" t="s">
        <v>63</v>
      </c>
      <c r="AL116" s="10" t="s">
        <v>63</v>
      </c>
      <c r="AM116" s="10" t="s">
        <v>63</v>
      </c>
      <c r="AN116" s="9" t="b">
        <v>1</v>
      </c>
      <c r="AO116" s="9" t="b">
        <v>0</v>
      </c>
      <c r="AP116" s="14" t="s">
        <v>1781</v>
      </c>
      <c r="AQ116" s="9" t="s">
        <v>65</v>
      </c>
      <c r="AR116" s="9" t="s">
        <v>65</v>
      </c>
      <c r="AS116" s="6"/>
      <c r="AT116" s="6"/>
      <c r="AU116" s="6"/>
      <c r="AV116" s="6"/>
      <c r="AW116" s="6"/>
      <c r="AX116" s="6"/>
      <c r="AY116" s="6"/>
      <c r="AZ116" s="6"/>
      <c r="BA116" s="6"/>
    </row>
    <row r="117" ht="22.5" customHeight="1">
      <c r="A117" s="7" t="s">
        <v>1782</v>
      </c>
      <c r="B117" s="8" t="s">
        <v>1783</v>
      </c>
      <c r="C117" s="8" t="s">
        <v>1784</v>
      </c>
      <c r="D117" s="9" t="s">
        <v>1785</v>
      </c>
      <c r="E117" s="9" t="s">
        <v>1786</v>
      </c>
      <c r="F117" s="9" t="s">
        <v>1787</v>
      </c>
      <c r="G117" s="6" t="s">
        <v>1788</v>
      </c>
      <c r="H117" s="10" t="b">
        <v>1</v>
      </c>
      <c r="I117" s="11" t="s">
        <v>1789</v>
      </c>
      <c r="J117" s="11" t="s">
        <v>1790</v>
      </c>
      <c r="K117" s="11" t="s">
        <v>1791</v>
      </c>
      <c r="L117" s="11" t="s">
        <v>1790</v>
      </c>
      <c r="M117" s="8" t="s">
        <v>1792</v>
      </c>
      <c r="N117" s="6" t="s">
        <v>169</v>
      </c>
      <c r="O117" s="6" t="s">
        <v>170</v>
      </c>
      <c r="P117" s="6"/>
      <c r="Q117" s="9" t="s">
        <v>80</v>
      </c>
      <c r="R117" s="8" t="s">
        <v>133</v>
      </c>
      <c r="S117" s="10" t="b">
        <v>0</v>
      </c>
      <c r="T117" s="15" t="b">
        <v>1</v>
      </c>
      <c r="U117" s="10" t="b">
        <v>0</v>
      </c>
      <c r="V117" s="28" t="s">
        <v>1793</v>
      </c>
      <c r="W117" s="8" t="s">
        <v>65</v>
      </c>
      <c r="X117" s="8" t="s">
        <v>65</v>
      </c>
      <c r="Y117" s="10" t="b">
        <v>1</v>
      </c>
      <c r="Z117" s="10" t="b">
        <v>0</v>
      </c>
      <c r="AA117" s="28" t="s">
        <v>1794</v>
      </c>
      <c r="AB117" s="8" t="s">
        <v>65</v>
      </c>
      <c r="AC117" s="8" t="s">
        <v>65</v>
      </c>
      <c r="AD117" s="10" t="b">
        <v>1</v>
      </c>
      <c r="AE117" s="10" t="b">
        <v>0</v>
      </c>
      <c r="AF117" s="28" t="s">
        <v>1795</v>
      </c>
      <c r="AG117" s="8" t="s">
        <v>65</v>
      </c>
      <c r="AH117" s="8" t="s">
        <v>65</v>
      </c>
      <c r="AI117" s="10" t="b">
        <v>1</v>
      </c>
      <c r="AJ117" s="10" t="b">
        <v>0</v>
      </c>
      <c r="AK117" s="28" t="s">
        <v>1794</v>
      </c>
      <c r="AL117" s="8" t="s">
        <v>65</v>
      </c>
      <c r="AM117" s="24" t="s">
        <v>65</v>
      </c>
      <c r="AN117" s="9" t="b">
        <v>1</v>
      </c>
      <c r="AO117" s="9" t="b">
        <v>0</v>
      </c>
      <c r="AP117" s="14" t="s">
        <v>1796</v>
      </c>
      <c r="AQ117" s="9" t="s">
        <v>65</v>
      </c>
      <c r="AR117" s="9" t="s">
        <v>65</v>
      </c>
      <c r="AS117" s="6"/>
      <c r="AT117" s="6"/>
      <c r="AU117" s="6"/>
      <c r="AV117" s="6"/>
      <c r="AW117" s="6"/>
      <c r="AX117" s="6"/>
      <c r="AY117" s="6"/>
      <c r="AZ117" s="6"/>
      <c r="BA117" s="6"/>
    </row>
    <row r="118" ht="22.5" customHeight="1">
      <c r="A118" s="7" t="s">
        <v>1797</v>
      </c>
      <c r="B118" s="8" t="s">
        <v>1798</v>
      </c>
      <c r="C118" s="8" t="s">
        <v>1799</v>
      </c>
      <c r="D118" s="9" t="s">
        <v>1800</v>
      </c>
      <c r="E118" s="9" t="s">
        <v>1801</v>
      </c>
      <c r="F118" s="9" t="s">
        <v>1802</v>
      </c>
      <c r="G118" s="6" t="s">
        <v>1803</v>
      </c>
      <c r="H118" s="10" t="b">
        <v>1</v>
      </c>
      <c r="I118" s="11" t="s">
        <v>1804</v>
      </c>
      <c r="J118" s="11" t="s">
        <v>1805</v>
      </c>
      <c r="K118" s="11" t="s">
        <v>1806</v>
      </c>
      <c r="L118" s="11" t="s">
        <v>1807</v>
      </c>
      <c r="M118" s="8" t="s">
        <v>1808</v>
      </c>
      <c r="N118" s="9" t="s">
        <v>1809</v>
      </c>
      <c r="O118" s="6" t="s">
        <v>62</v>
      </c>
      <c r="P118" s="6"/>
      <c r="Q118" s="9" t="s">
        <v>80</v>
      </c>
      <c r="R118" s="8" t="s">
        <v>81</v>
      </c>
      <c r="S118" s="10" t="b">
        <v>0</v>
      </c>
      <c r="T118" s="10" t="b">
        <v>0</v>
      </c>
      <c r="U118" s="10" t="b">
        <v>0</v>
      </c>
      <c r="V118" s="8" t="s">
        <v>63</v>
      </c>
      <c r="W118" s="8" t="s">
        <v>104</v>
      </c>
      <c r="X118" s="8" t="s">
        <v>63</v>
      </c>
      <c r="Y118" s="10" t="b">
        <v>1</v>
      </c>
      <c r="Z118" s="10" t="b">
        <v>0</v>
      </c>
      <c r="AA118" s="14" t="s">
        <v>1810</v>
      </c>
      <c r="AB118" s="9" t="s">
        <v>753</v>
      </c>
      <c r="AC118" s="9" t="s">
        <v>79</v>
      </c>
      <c r="AD118" s="10" t="b">
        <v>1</v>
      </c>
      <c r="AE118" s="10" t="b">
        <v>0</v>
      </c>
      <c r="AF118" s="28" t="s">
        <v>1811</v>
      </c>
      <c r="AG118" s="9" t="s">
        <v>1812</v>
      </c>
      <c r="AH118" s="9" t="s">
        <v>79</v>
      </c>
      <c r="AI118" s="10" t="b">
        <v>1</v>
      </c>
      <c r="AJ118" s="10" t="b">
        <v>0</v>
      </c>
      <c r="AK118" s="14" t="s">
        <v>1810</v>
      </c>
      <c r="AL118" s="9" t="s">
        <v>753</v>
      </c>
      <c r="AM118" s="9" t="s">
        <v>79</v>
      </c>
      <c r="AN118" s="9" t="b">
        <v>1</v>
      </c>
      <c r="AO118" s="9" t="b">
        <v>0</v>
      </c>
      <c r="AP118" s="14" t="s">
        <v>1813</v>
      </c>
      <c r="AQ118" s="9" t="s">
        <v>65</v>
      </c>
      <c r="AR118" s="9" t="s">
        <v>65</v>
      </c>
      <c r="AS118" s="6"/>
      <c r="AT118" s="6"/>
      <c r="AU118" s="6"/>
      <c r="AV118" s="6"/>
      <c r="AW118" s="6"/>
      <c r="AX118" s="6"/>
      <c r="AY118" s="6"/>
      <c r="AZ118" s="6"/>
      <c r="BA118" s="6"/>
    </row>
    <row r="119" ht="22.5" customHeight="1">
      <c r="A119" s="7" t="s">
        <v>1814</v>
      </c>
      <c r="B119" s="8" t="s">
        <v>1815</v>
      </c>
      <c r="C119" s="8" t="s">
        <v>1816</v>
      </c>
      <c r="D119" s="9" t="s">
        <v>1817</v>
      </c>
      <c r="E119" s="9" t="s">
        <v>1818</v>
      </c>
      <c r="F119" s="9" t="s">
        <v>1819</v>
      </c>
      <c r="G119" s="6" t="s">
        <v>1820</v>
      </c>
      <c r="H119" s="10" t="b">
        <v>1</v>
      </c>
      <c r="I119" s="11" t="s">
        <v>1821</v>
      </c>
      <c r="J119" s="11" t="s">
        <v>1822</v>
      </c>
      <c r="K119" s="11" t="s">
        <v>1823</v>
      </c>
      <c r="L119" s="11" t="s">
        <v>1824</v>
      </c>
      <c r="M119" s="8" t="s">
        <v>1825</v>
      </c>
      <c r="N119" s="6" t="s">
        <v>1826</v>
      </c>
      <c r="O119" s="6" t="s">
        <v>189</v>
      </c>
      <c r="P119" s="6"/>
      <c r="Q119" s="9" t="s">
        <v>59</v>
      </c>
      <c r="R119" s="8" t="s">
        <v>59</v>
      </c>
      <c r="S119" s="15" t="b">
        <v>1</v>
      </c>
      <c r="T119" s="15" t="b">
        <v>1</v>
      </c>
      <c r="U119" s="10" t="b">
        <v>0</v>
      </c>
      <c r="V119" s="28" t="s">
        <v>1827</v>
      </c>
      <c r="W119" s="8" t="s">
        <v>1828</v>
      </c>
      <c r="X119" s="8" t="s">
        <v>189</v>
      </c>
      <c r="Y119" s="12" t="b">
        <v>0</v>
      </c>
      <c r="Z119" s="10" t="s">
        <v>63</v>
      </c>
      <c r="AA119" s="13" t="s">
        <v>63</v>
      </c>
      <c r="AB119" s="10" t="s">
        <v>63</v>
      </c>
      <c r="AC119" s="10" t="s">
        <v>63</v>
      </c>
      <c r="AD119" s="12" t="b">
        <v>0</v>
      </c>
      <c r="AE119" s="10" t="s">
        <v>63</v>
      </c>
      <c r="AF119" s="13" t="s">
        <v>63</v>
      </c>
      <c r="AG119" s="10" t="s">
        <v>63</v>
      </c>
      <c r="AH119" s="10" t="s">
        <v>63</v>
      </c>
      <c r="AI119" s="12" t="b">
        <v>0</v>
      </c>
      <c r="AJ119" s="10" t="s">
        <v>63</v>
      </c>
      <c r="AK119" s="13" t="s">
        <v>63</v>
      </c>
      <c r="AL119" s="10" t="s">
        <v>63</v>
      </c>
      <c r="AM119" s="10" t="s">
        <v>63</v>
      </c>
      <c r="AN119" s="9" t="b">
        <v>1</v>
      </c>
      <c r="AO119" s="9" t="b">
        <v>0</v>
      </c>
      <c r="AP119" s="14" t="s">
        <v>1829</v>
      </c>
      <c r="AQ119" s="9" t="s">
        <v>65</v>
      </c>
      <c r="AR119" s="9" t="s">
        <v>65</v>
      </c>
      <c r="AS119" s="6"/>
      <c r="AT119" s="6"/>
      <c r="AU119" s="6"/>
      <c r="AV119" s="6"/>
      <c r="AW119" s="6"/>
      <c r="AX119" s="6"/>
      <c r="AY119" s="6"/>
      <c r="AZ119" s="6"/>
      <c r="BA119" s="6"/>
    </row>
    <row r="120" ht="22.5" customHeight="1">
      <c r="A120" s="7" t="s">
        <v>1830</v>
      </c>
      <c r="B120" s="8" t="s">
        <v>1831</v>
      </c>
      <c r="C120" s="8" t="s">
        <v>1832</v>
      </c>
      <c r="D120" s="9" t="s">
        <v>1833</v>
      </c>
      <c r="E120" s="9" t="s">
        <v>1834</v>
      </c>
      <c r="F120" s="9" t="s">
        <v>1835</v>
      </c>
      <c r="G120" s="6" t="s">
        <v>1836</v>
      </c>
      <c r="H120" s="10" t="b">
        <v>1</v>
      </c>
      <c r="I120" s="11" t="s">
        <v>1837</v>
      </c>
      <c r="J120" s="28" t="s">
        <v>1838</v>
      </c>
      <c r="K120" s="11" t="s">
        <v>1839</v>
      </c>
      <c r="L120" s="11" t="s">
        <v>1840</v>
      </c>
      <c r="M120" s="8" t="s">
        <v>1841</v>
      </c>
      <c r="N120" s="9" t="s">
        <v>1842</v>
      </c>
      <c r="O120" s="9" t="s">
        <v>79</v>
      </c>
      <c r="P120" s="8"/>
      <c r="Q120" s="9" t="s">
        <v>59</v>
      </c>
      <c r="R120" s="8" t="s">
        <v>59</v>
      </c>
      <c r="S120" s="15" t="b">
        <v>0</v>
      </c>
      <c r="T120" s="10" t="b">
        <v>0</v>
      </c>
      <c r="U120" s="10" t="b">
        <v>0</v>
      </c>
      <c r="V120" s="8" t="s">
        <v>63</v>
      </c>
      <c r="W120" s="8" t="s">
        <v>104</v>
      </c>
      <c r="X120" s="8" t="s">
        <v>63</v>
      </c>
      <c r="Y120" s="12" t="b">
        <v>0</v>
      </c>
      <c r="Z120" s="10" t="s">
        <v>63</v>
      </c>
      <c r="AA120" s="13" t="s">
        <v>63</v>
      </c>
      <c r="AB120" s="10" t="s">
        <v>63</v>
      </c>
      <c r="AC120" s="10" t="s">
        <v>63</v>
      </c>
      <c r="AD120" s="12" t="b">
        <v>0</v>
      </c>
      <c r="AE120" s="10" t="s">
        <v>63</v>
      </c>
      <c r="AF120" s="13" t="s">
        <v>63</v>
      </c>
      <c r="AG120" s="10" t="s">
        <v>63</v>
      </c>
      <c r="AH120" s="10" t="s">
        <v>63</v>
      </c>
      <c r="AI120" s="12" t="b">
        <v>0</v>
      </c>
      <c r="AJ120" s="10" t="s">
        <v>63</v>
      </c>
      <c r="AK120" s="13" t="s">
        <v>63</v>
      </c>
      <c r="AL120" s="10" t="s">
        <v>63</v>
      </c>
      <c r="AM120" s="10" t="s">
        <v>63</v>
      </c>
      <c r="AN120" s="9" t="b">
        <v>1</v>
      </c>
      <c r="AO120" s="9" t="b">
        <v>1</v>
      </c>
      <c r="AP120" s="14" t="s">
        <v>1843</v>
      </c>
      <c r="AQ120" s="9" t="s">
        <v>103</v>
      </c>
      <c r="AR120" s="9" t="s">
        <v>86</v>
      </c>
      <c r="AS120" s="6"/>
      <c r="AT120" s="6"/>
      <c r="AU120" s="6"/>
      <c r="AV120" s="6"/>
      <c r="AW120" s="6"/>
      <c r="AX120" s="6"/>
      <c r="AY120" s="6"/>
      <c r="AZ120" s="6"/>
      <c r="BA120" s="6"/>
    </row>
    <row r="121" ht="22.5" customHeight="1">
      <c r="A121" s="7" t="s">
        <v>1844</v>
      </c>
      <c r="B121" s="8" t="s">
        <v>1845</v>
      </c>
      <c r="C121" s="8" t="s">
        <v>1846</v>
      </c>
      <c r="D121" s="9" t="s">
        <v>1847</v>
      </c>
      <c r="E121" s="9" t="s">
        <v>1848</v>
      </c>
      <c r="F121" s="9" t="s">
        <v>1849</v>
      </c>
      <c r="G121" s="6" t="s">
        <v>1850</v>
      </c>
      <c r="H121" s="10" t="b">
        <v>1</v>
      </c>
      <c r="I121" s="11" t="s">
        <v>1851</v>
      </c>
      <c r="J121" s="11" t="s">
        <v>1852</v>
      </c>
      <c r="K121" s="28" t="s">
        <v>1853</v>
      </c>
      <c r="L121" s="11" t="s">
        <v>1854</v>
      </c>
      <c r="M121" s="6" t="s">
        <v>891</v>
      </c>
      <c r="N121" s="6" t="s">
        <v>1855</v>
      </c>
      <c r="O121" s="6" t="s">
        <v>79</v>
      </c>
      <c r="P121" s="6"/>
      <c r="Q121" s="9" t="s">
        <v>80</v>
      </c>
      <c r="R121" s="9" t="s">
        <v>312</v>
      </c>
      <c r="S121" s="10" t="b">
        <v>0</v>
      </c>
      <c r="T121" s="10" t="b">
        <v>1</v>
      </c>
      <c r="U121" s="10" t="b">
        <v>0</v>
      </c>
      <c r="V121" s="11" t="s">
        <v>1856</v>
      </c>
      <c r="W121" s="6" t="s">
        <v>65</v>
      </c>
      <c r="X121" s="6" t="s">
        <v>65</v>
      </c>
      <c r="Y121" s="10" t="b">
        <v>1</v>
      </c>
      <c r="Z121" s="10" t="b">
        <v>0</v>
      </c>
      <c r="AA121" s="28" t="s">
        <v>1857</v>
      </c>
      <c r="AB121" s="9" t="s">
        <v>65</v>
      </c>
      <c r="AC121" s="9" t="s">
        <v>65</v>
      </c>
      <c r="AD121" s="10" t="b">
        <v>1</v>
      </c>
      <c r="AE121" s="10" t="b">
        <v>0</v>
      </c>
      <c r="AF121" s="28" t="s">
        <v>1858</v>
      </c>
      <c r="AG121" s="8" t="s">
        <v>65</v>
      </c>
      <c r="AH121" s="8" t="s">
        <v>65</v>
      </c>
      <c r="AI121" s="10" t="b">
        <v>1</v>
      </c>
      <c r="AJ121" s="10" t="b">
        <v>0</v>
      </c>
      <c r="AK121" s="28" t="s">
        <v>1859</v>
      </c>
      <c r="AL121" s="9" t="s">
        <v>1078</v>
      </c>
      <c r="AM121" s="9" t="s">
        <v>62</v>
      </c>
      <c r="AN121" s="9" t="b">
        <v>1</v>
      </c>
      <c r="AO121" s="9" t="b">
        <v>0</v>
      </c>
      <c r="AP121" s="14" t="s">
        <v>1860</v>
      </c>
      <c r="AQ121" s="9" t="s">
        <v>65</v>
      </c>
      <c r="AR121" s="9" t="s">
        <v>65</v>
      </c>
      <c r="AS121" s="6"/>
      <c r="AT121" s="6"/>
      <c r="AU121" s="6"/>
      <c r="AV121" s="6"/>
      <c r="AW121" s="6"/>
      <c r="AX121" s="6"/>
      <c r="AY121" s="6"/>
      <c r="AZ121" s="6"/>
      <c r="BA121" s="6"/>
    </row>
    <row r="122" ht="22.5" customHeight="1">
      <c r="A122" s="7" t="s">
        <v>1861</v>
      </c>
      <c r="B122" s="8" t="s">
        <v>1862</v>
      </c>
      <c r="C122" s="8" t="s">
        <v>1863</v>
      </c>
      <c r="D122" s="9" t="s">
        <v>1864</v>
      </c>
      <c r="E122" s="9" t="s">
        <v>1865</v>
      </c>
      <c r="F122" s="9" t="s">
        <v>1866</v>
      </c>
      <c r="G122" s="6" t="s">
        <v>1867</v>
      </c>
      <c r="H122" s="10" t="b">
        <v>1</v>
      </c>
      <c r="I122" s="11" t="s">
        <v>1868</v>
      </c>
      <c r="J122" s="11" t="s">
        <v>1869</v>
      </c>
      <c r="K122" s="11" t="s">
        <v>1870</v>
      </c>
      <c r="L122" s="14" t="s">
        <v>1871</v>
      </c>
      <c r="M122" s="8" t="s">
        <v>1872</v>
      </c>
      <c r="N122" s="6" t="s">
        <v>57</v>
      </c>
      <c r="O122" s="6" t="s">
        <v>58</v>
      </c>
      <c r="P122" s="6"/>
      <c r="Q122" s="9" t="s">
        <v>80</v>
      </c>
      <c r="R122" s="8" t="s">
        <v>118</v>
      </c>
      <c r="S122" s="10" t="b">
        <v>0</v>
      </c>
      <c r="T122" s="15" t="b">
        <v>1</v>
      </c>
      <c r="U122" s="10" t="b">
        <v>0</v>
      </c>
      <c r="V122" s="28" t="s">
        <v>1873</v>
      </c>
      <c r="W122" s="8" t="s">
        <v>65</v>
      </c>
      <c r="X122" s="8" t="s">
        <v>65</v>
      </c>
      <c r="Y122" s="10" t="b">
        <v>0</v>
      </c>
      <c r="Z122" s="15" t="s">
        <v>63</v>
      </c>
      <c r="AA122" s="8" t="s">
        <v>63</v>
      </c>
      <c r="AB122" s="15" t="s">
        <v>63</v>
      </c>
      <c r="AC122" s="15" t="s">
        <v>63</v>
      </c>
      <c r="AD122" s="10" t="b">
        <v>0</v>
      </c>
      <c r="AE122" s="15" t="s">
        <v>63</v>
      </c>
      <c r="AF122" s="8" t="s">
        <v>63</v>
      </c>
      <c r="AG122" s="8" t="s">
        <v>63</v>
      </c>
      <c r="AH122" s="8" t="s">
        <v>63</v>
      </c>
      <c r="AI122" s="10" t="b">
        <v>0</v>
      </c>
      <c r="AJ122" s="10" t="s">
        <v>63</v>
      </c>
      <c r="AK122" s="8" t="s">
        <v>63</v>
      </c>
      <c r="AL122" s="8" t="s">
        <v>63</v>
      </c>
      <c r="AM122" s="8" t="s">
        <v>63</v>
      </c>
      <c r="AN122" s="9" t="b">
        <v>1</v>
      </c>
      <c r="AO122" s="9" t="b">
        <v>0</v>
      </c>
      <c r="AP122" s="14" t="s">
        <v>1874</v>
      </c>
      <c r="AQ122" s="9" t="s">
        <v>65</v>
      </c>
      <c r="AR122" s="9" t="s">
        <v>65</v>
      </c>
      <c r="AS122" s="6"/>
      <c r="AT122" s="6"/>
      <c r="AU122" s="6"/>
      <c r="AV122" s="6"/>
      <c r="AW122" s="6"/>
      <c r="AX122" s="6"/>
      <c r="AY122" s="6"/>
      <c r="AZ122" s="6"/>
      <c r="BA122" s="6"/>
    </row>
    <row r="123" ht="22.5" customHeight="1">
      <c r="A123" s="7" t="s">
        <v>1875</v>
      </c>
      <c r="B123" s="8" t="s">
        <v>1876</v>
      </c>
      <c r="C123" s="8" t="s">
        <v>1877</v>
      </c>
      <c r="D123" s="9" t="s">
        <v>1878</v>
      </c>
      <c r="E123" s="9" t="s">
        <v>1879</v>
      </c>
      <c r="F123" s="9" t="s">
        <v>1880</v>
      </c>
      <c r="G123" s="6" t="s">
        <v>1881</v>
      </c>
      <c r="H123" s="10" t="b">
        <v>1</v>
      </c>
      <c r="I123" s="11" t="s">
        <v>1882</v>
      </c>
      <c r="J123" s="11" t="s">
        <v>1883</v>
      </c>
      <c r="K123" s="11" t="s">
        <v>1884</v>
      </c>
      <c r="L123" s="11" t="s">
        <v>1883</v>
      </c>
      <c r="M123" s="8" t="s">
        <v>1885</v>
      </c>
      <c r="N123" s="6" t="s">
        <v>169</v>
      </c>
      <c r="O123" s="6" t="s">
        <v>170</v>
      </c>
      <c r="P123" s="6"/>
      <c r="Q123" s="9" t="s">
        <v>59</v>
      </c>
      <c r="R123" s="6" t="s">
        <v>59</v>
      </c>
      <c r="S123" s="10" t="b">
        <v>0</v>
      </c>
      <c r="T123" s="10" t="b">
        <v>0</v>
      </c>
      <c r="U123" s="10" t="b">
        <v>0</v>
      </c>
      <c r="V123" s="6" t="s">
        <v>63</v>
      </c>
      <c r="W123" s="6" t="s">
        <v>104</v>
      </c>
      <c r="X123" s="6" t="s">
        <v>63</v>
      </c>
      <c r="Y123" s="12" t="b">
        <v>0</v>
      </c>
      <c r="Z123" s="10" t="s">
        <v>63</v>
      </c>
      <c r="AA123" s="13" t="s">
        <v>63</v>
      </c>
      <c r="AB123" s="10" t="s">
        <v>63</v>
      </c>
      <c r="AC123" s="10" t="s">
        <v>63</v>
      </c>
      <c r="AD123" s="12" t="b">
        <v>0</v>
      </c>
      <c r="AE123" s="10" t="s">
        <v>63</v>
      </c>
      <c r="AF123" s="13" t="s">
        <v>63</v>
      </c>
      <c r="AG123" s="10" t="s">
        <v>63</v>
      </c>
      <c r="AH123" s="10" t="s">
        <v>63</v>
      </c>
      <c r="AI123" s="12" t="b">
        <v>0</v>
      </c>
      <c r="AJ123" s="10" t="s">
        <v>63</v>
      </c>
      <c r="AK123" s="13" t="s">
        <v>63</v>
      </c>
      <c r="AL123" s="10" t="s">
        <v>63</v>
      </c>
      <c r="AM123" s="10" t="s">
        <v>63</v>
      </c>
      <c r="AN123" s="9" t="b">
        <v>1</v>
      </c>
      <c r="AO123" s="9" t="b">
        <v>1</v>
      </c>
      <c r="AP123" s="14" t="s">
        <v>1886</v>
      </c>
      <c r="AQ123" s="9" t="s">
        <v>268</v>
      </c>
      <c r="AR123" s="9" t="s">
        <v>170</v>
      </c>
      <c r="AS123" s="6"/>
      <c r="AT123" s="6"/>
      <c r="AU123" s="6"/>
      <c r="AV123" s="6"/>
      <c r="AW123" s="6"/>
      <c r="AX123" s="6"/>
      <c r="AY123" s="6"/>
      <c r="AZ123" s="6"/>
      <c r="BA123" s="6"/>
    </row>
    <row r="124" ht="22.5" customHeight="1">
      <c r="A124" s="7" t="s">
        <v>1887</v>
      </c>
      <c r="B124" s="8" t="s">
        <v>1888</v>
      </c>
      <c r="C124" s="8" t="s">
        <v>1889</v>
      </c>
      <c r="D124" s="9" t="s">
        <v>1890</v>
      </c>
      <c r="E124" s="9" t="s">
        <v>1891</v>
      </c>
      <c r="F124" s="9" t="s">
        <v>1892</v>
      </c>
      <c r="G124" s="6" t="s">
        <v>1893</v>
      </c>
      <c r="H124" s="10" t="b">
        <v>1</v>
      </c>
      <c r="I124" s="11" t="s">
        <v>1894</v>
      </c>
      <c r="J124" s="11" t="s">
        <v>1895</v>
      </c>
      <c r="K124" s="11" t="s">
        <v>1896</v>
      </c>
      <c r="L124" s="11" t="s">
        <v>1897</v>
      </c>
      <c r="M124" s="6" t="s">
        <v>1898</v>
      </c>
      <c r="N124" s="9" t="s">
        <v>1899</v>
      </c>
      <c r="O124" s="9" t="s">
        <v>79</v>
      </c>
      <c r="P124" s="10" t="b">
        <v>1</v>
      </c>
      <c r="Q124" s="9" t="s">
        <v>80</v>
      </c>
      <c r="R124" s="6" t="s">
        <v>118</v>
      </c>
      <c r="S124" s="10" t="b">
        <v>0</v>
      </c>
      <c r="T124" s="15" t="b">
        <v>1</v>
      </c>
      <c r="U124" s="10" t="b">
        <v>0</v>
      </c>
      <c r="V124" s="9" t="s">
        <v>1900</v>
      </c>
      <c r="W124" s="9" t="s">
        <v>1901</v>
      </c>
      <c r="X124" s="9" t="s">
        <v>79</v>
      </c>
      <c r="Y124" s="12" t="b">
        <v>1</v>
      </c>
      <c r="Z124" s="12" t="b">
        <v>0</v>
      </c>
      <c r="AA124" s="9" t="s">
        <v>1902</v>
      </c>
      <c r="AB124" s="9" t="s">
        <v>1903</v>
      </c>
      <c r="AC124" s="9" t="s">
        <v>79</v>
      </c>
      <c r="AD124" s="12" t="b">
        <v>0</v>
      </c>
      <c r="AE124" s="12" t="b">
        <v>0</v>
      </c>
      <c r="AF124" s="9" t="s">
        <v>1904</v>
      </c>
      <c r="AG124" s="9" t="s">
        <v>104</v>
      </c>
      <c r="AH124" s="6" t="s">
        <v>63</v>
      </c>
      <c r="AI124" s="12" t="b">
        <v>1</v>
      </c>
      <c r="AJ124" s="12" t="b">
        <v>0</v>
      </c>
      <c r="AK124" s="9" t="s">
        <v>1902</v>
      </c>
      <c r="AL124" s="9" t="s">
        <v>1903</v>
      </c>
      <c r="AM124" s="9" t="s">
        <v>79</v>
      </c>
      <c r="AN124" s="9" t="b">
        <v>1</v>
      </c>
      <c r="AO124" s="12" t="b">
        <v>0</v>
      </c>
      <c r="AP124" s="9" t="s">
        <v>1902</v>
      </c>
      <c r="AQ124" s="9" t="s">
        <v>1903</v>
      </c>
      <c r="AR124" s="9" t="s">
        <v>79</v>
      </c>
      <c r="AS124" s="6"/>
      <c r="AT124" s="6"/>
      <c r="AU124" s="6"/>
      <c r="AV124" s="6"/>
      <c r="AW124" s="6"/>
      <c r="AX124" s="6"/>
      <c r="AY124" s="6"/>
      <c r="AZ124" s="6"/>
      <c r="BA124" s="6"/>
    </row>
    <row r="125" ht="22.5" customHeight="1">
      <c r="A125" s="7" t="s">
        <v>1905</v>
      </c>
      <c r="B125" s="8" t="s">
        <v>1906</v>
      </c>
      <c r="C125" s="8" t="s">
        <v>1907</v>
      </c>
      <c r="D125" s="9" t="s">
        <v>1908</v>
      </c>
      <c r="E125" s="9" t="s">
        <v>1909</v>
      </c>
      <c r="F125" s="9" t="s">
        <v>1910</v>
      </c>
      <c r="G125" s="6" t="s">
        <v>1911</v>
      </c>
      <c r="H125" s="12" t="b">
        <v>0</v>
      </c>
      <c r="I125" s="11" t="s">
        <v>1912</v>
      </c>
      <c r="J125" s="11" t="s">
        <v>1913</v>
      </c>
      <c r="K125" s="11" t="s">
        <v>1914</v>
      </c>
      <c r="L125" s="11" t="s">
        <v>1912</v>
      </c>
      <c r="M125" s="8" t="s">
        <v>1915</v>
      </c>
      <c r="N125" s="6" t="s">
        <v>57</v>
      </c>
      <c r="O125" s="6" t="s">
        <v>58</v>
      </c>
      <c r="P125" s="6"/>
      <c r="Q125" s="9" t="s">
        <v>80</v>
      </c>
      <c r="R125" s="8" t="s">
        <v>133</v>
      </c>
      <c r="S125" s="10" t="b">
        <v>1</v>
      </c>
      <c r="T125" s="10" t="b">
        <v>0</v>
      </c>
      <c r="U125" s="12" t="b">
        <v>0</v>
      </c>
      <c r="V125" s="6" t="s">
        <v>63</v>
      </c>
      <c r="W125" s="6" t="s">
        <v>104</v>
      </c>
      <c r="X125" s="6" t="s">
        <v>63</v>
      </c>
      <c r="Y125" s="10" t="b">
        <v>1</v>
      </c>
      <c r="Z125" s="10" t="b">
        <v>1</v>
      </c>
      <c r="AA125" s="28" t="s">
        <v>1916</v>
      </c>
      <c r="AB125" s="9" t="s">
        <v>1917</v>
      </c>
      <c r="AC125" s="9" t="s">
        <v>62</v>
      </c>
      <c r="AD125" s="10" t="b">
        <v>1</v>
      </c>
      <c r="AE125" s="10" t="b">
        <v>1</v>
      </c>
      <c r="AF125" s="50" t="s">
        <v>1918</v>
      </c>
      <c r="AG125" s="8" t="s">
        <v>186</v>
      </c>
      <c r="AH125" s="8" t="s">
        <v>58</v>
      </c>
      <c r="AI125" s="10" t="b">
        <v>1</v>
      </c>
      <c r="AJ125" s="10" t="b">
        <v>1</v>
      </c>
      <c r="AK125" s="28" t="s">
        <v>1916</v>
      </c>
      <c r="AL125" s="9" t="s">
        <v>1917</v>
      </c>
      <c r="AM125" s="9" t="s">
        <v>62</v>
      </c>
      <c r="AN125" s="9" t="b">
        <v>1</v>
      </c>
      <c r="AO125" s="9" t="b">
        <v>1</v>
      </c>
      <c r="AP125" s="14" t="s">
        <v>1919</v>
      </c>
      <c r="AQ125" s="9" t="s">
        <v>186</v>
      </c>
      <c r="AR125" s="9" t="s">
        <v>58</v>
      </c>
      <c r="AS125" s="6"/>
      <c r="AT125" s="6"/>
      <c r="AU125" s="6"/>
      <c r="AV125" s="6"/>
      <c r="AW125" s="6"/>
      <c r="AX125" s="6"/>
      <c r="AY125" s="6"/>
      <c r="AZ125" s="6"/>
      <c r="BA125" s="6"/>
    </row>
    <row r="126" ht="22.5" customHeight="1">
      <c r="A126" s="7" t="s">
        <v>1920</v>
      </c>
      <c r="B126" s="8" t="s">
        <v>1921</v>
      </c>
      <c r="C126" s="8" t="s">
        <v>1922</v>
      </c>
      <c r="D126" s="9" t="s">
        <v>1923</v>
      </c>
      <c r="E126" s="9" t="s">
        <v>1924</v>
      </c>
      <c r="F126" s="9" t="s">
        <v>1925</v>
      </c>
      <c r="G126" s="6" t="s">
        <v>1926</v>
      </c>
      <c r="H126" s="10" t="b">
        <v>0</v>
      </c>
      <c r="I126" s="11" t="s">
        <v>1927</v>
      </c>
      <c r="J126" s="11" t="s">
        <v>1928</v>
      </c>
      <c r="K126" s="11" t="s">
        <v>1929</v>
      </c>
      <c r="L126" s="11" t="s">
        <v>1930</v>
      </c>
      <c r="M126" s="17" t="s">
        <v>1931</v>
      </c>
      <c r="N126" s="17" t="s">
        <v>103</v>
      </c>
      <c r="O126" s="6" t="s">
        <v>86</v>
      </c>
      <c r="P126" s="6"/>
      <c r="Q126" s="9" t="s">
        <v>80</v>
      </c>
      <c r="R126" s="8" t="s">
        <v>133</v>
      </c>
      <c r="S126" s="10" t="b">
        <v>0</v>
      </c>
      <c r="T126" s="15" t="b">
        <v>1</v>
      </c>
      <c r="U126" s="12" t="b">
        <v>0</v>
      </c>
      <c r="V126" s="28" t="s">
        <v>1932</v>
      </c>
      <c r="W126" s="8" t="s">
        <v>65</v>
      </c>
      <c r="X126" s="8" t="s">
        <v>65</v>
      </c>
      <c r="Y126" s="10" t="b">
        <v>1</v>
      </c>
      <c r="Z126" s="10" t="b">
        <v>1</v>
      </c>
      <c r="AA126" s="11" t="s">
        <v>1933</v>
      </c>
      <c r="AB126" s="9" t="s">
        <v>1934</v>
      </c>
      <c r="AC126" s="9" t="s">
        <v>79</v>
      </c>
      <c r="AD126" s="10" t="b">
        <v>1</v>
      </c>
      <c r="AE126" s="10" t="b">
        <v>1</v>
      </c>
      <c r="AF126" s="11" t="s">
        <v>1935</v>
      </c>
      <c r="AG126" s="6" t="s">
        <v>103</v>
      </c>
      <c r="AH126" s="6" t="s">
        <v>86</v>
      </c>
      <c r="AI126" s="10" t="b">
        <v>1</v>
      </c>
      <c r="AJ126" s="10" t="b">
        <v>1</v>
      </c>
      <c r="AK126" s="11" t="s">
        <v>1933</v>
      </c>
      <c r="AL126" s="9" t="s">
        <v>1934</v>
      </c>
      <c r="AM126" s="9" t="s">
        <v>79</v>
      </c>
      <c r="AN126" s="9" t="b">
        <v>1</v>
      </c>
      <c r="AO126" s="9" t="b">
        <v>1</v>
      </c>
      <c r="AP126" s="14" t="s">
        <v>1935</v>
      </c>
      <c r="AQ126" s="9" t="s">
        <v>103</v>
      </c>
      <c r="AR126" s="9" t="s">
        <v>86</v>
      </c>
      <c r="AS126" s="6"/>
      <c r="AT126" s="6"/>
      <c r="AU126" s="6"/>
      <c r="AV126" s="6"/>
      <c r="AW126" s="6"/>
      <c r="AX126" s="6"/>
      <c r="AY126" s="6"/>
      <c r="AZ126" s="6"/>
      <c r="BA126" s="6"/>
    </row>
    <row r="127" ht="22.5" customHeight="1">
      <c r="A127" s="7" t="s">
        <v>1936</v>
      </c>
      <c r="B127" s="8" t="s">
        <v>1937</v>
      </c>
      <c r="C127" s="8" t="s">
        <v>1938</v>
      </c>
      <c r="D127" s="9" t="s">
        <v>1939</v>
      </c>
      <c r="E127" s="9" t="s">
        <v>1940</v>
      </c>
      <c r="F127" s="9" t="s">
        <v>1941</v>
      </c>
      <c r="G127" s="6" t="s">
        <v>97</v>
      </c>
      <c r="H127" s="10" t="b">
        <v>0</v>
      </c>
      <c r="I127" s="11" t="s">
        <v>1942</v>
      </c>
      <c r="J127" s="11" t="s">
        <v>1943</v>
      </c>
      <c r="K127" s="16" t="s">
        <v>1944</v>
      </c>
      <c r="L127" s="11" t="s">
        <v>1942</v>
      </c>
      <c r="M127" s="42" t="s">
        <v>1915</v>
      </c>
      <c r="N127" s="6" t="s">
        <v>186</v>
      </c>
      <c r="O127" s="8" t="s">
        <v>58</v>
      </c>
      <c r="P127" s="8"/>
      <c r="Q127" s="9" t="s">
        <v>59</v>
      </c>
      <c r="R127" s="8" t="s">
        <v>59</v>
      </c>
      <c r="S127" s="15" t="b">
        <v>1</v>
      </c>
      <c r="T127" s="10" t="b">
        <v>0</v>
      </c>
      <c r="U127" s="10" t="b">
        <v>0</v>
      </c>
      <c r="V127" s="8" t="s">
        <v>63</v>
      </c>
      <c r="W127" s="8" t="s">
        <v>104</v>
      </c>
      <c r="X127" s="8" t="s">
        <v>63</v>
      </c>
      <c r="Y127" s="12" t="b">
        <v>0</v>
      </c>
      <c r="Z127" s="10" t="s">
        <v>63</v>
      </c>
      <c r="AA127" s="13" t="s">
        <v>63</v>
      </c>
      <c r="AB127" s="10" t="s">
        <v>63</v>
      </c>
      <c r="AC127" s="10" t="s">
        <v>63</v>
      </c>
      <c r="AD127" s="12" t="b">
        <v>0</v>
      </c>
      <c r="AE127" s="10" t="s">
        <v>63</v>
      </c>
      <c r="AF127" s="13" t="s">
        <v>63</v>
      </c>
      <c r="AG127" s="10" t="s">
        <v>63</v>
      </c>
      <c r="AH127" s="10" t="s">
        <v>63</v>
      </c>
      <c r="AI127" s="12" t="b">
        <v>0</v>
      </c>
      <c r="AJ127" s="10" t="s">
        <v>63</v>
      </c>
      <c r="AK127" s="13" t="s">
        <v>63</v>
      </c>
      <c r="AL127" s="10" t="s">
        <v>63</v>
      </c>
      <c r="AM127" s="10" t="s">
        <v>63</v>
      </c>
      <c r="AN127" s="9" t="b">
        <v>1</v>
      </c>
      <c r="AO127" s="9" t="b">
        <v>0</v>
      </c>
      <c r="AP127" s="14" t="s">
        <v>1945</v>
      </c>
      <c r="AQ127" s="9" t="s">
        <v>65</v>
      </c>
      <c r="AR127" s="9" t="s">
        <v>65</v>
      </c>
      <c r="AS127" s="6"/>
      <c r="AT127" s="6"/>
      <c r="AU127" s="6"/>
      <c r="AV127" s="6"/>
      <c r="AW127" s="6"/>
      <c r="AX127" s="6"/>
      <c r="AY127" s="6"/>
      <c r="AZ127" s="6"/>
      <c r="BA127" s="6"/>
    </row>
    <row r="128" ht="22.5" customHeight="1">
      <c r="A128" s="7" t="s">
        <v>1946</v>
      </c>
      <c r="B128" s="8" t="s">
        <v>1947</v>
      </c>
      <c r="C128" s="8" t="s">
        <v>1948</v>
      </c>
      <c r="D128" s="9" t="s">
        <v>1949</v>
      </c>
      <c r="E128" s="33" t="s">
        <v>1950</v>
      </c>
      <c r="F128" s="9" t="s">
        <v>1951</v>
      </c>
      <c r="G128" s="6" t="s">
        <v>1952</v>
      </c>
      <c r="H128" s="10" t="b">
        <v>0</v>
      </c>
      <c r="I128" s="11" t="s">
        <v>1953</v>
      </c>
      <c r="J128" s="49" t="s">
        <v>1954</v>
      </c>
      <c r="K128" s="47" t="s">
        <v>1955</v>
      </c>
      <c r="L128" s="49" t="s">
        <v>1956</v>
      </c>
      <c r="M128" s="26" t="s">
        <v>1957</v>
      </c>
      <c r="N128" s="6" t="s">
        <v>103</v>
      </c>
      <c r="O128" s="6" t="s">
        <v>86</v>
      </c>
      <c r="P128" s="6"/>
      <c r="Q128" s="9" t="s">
        <v>80</v>
      </c>
      <c r="R128" s="9" t="s">
        <v>312</v>
      </c>
      <c r="S128" s="10" t="b">
        <v>0</v>
      </c>
      <c r="T128" s="10" t="b">
        <v>1</v>
      </c>
      <c r="U128" s="10" t="b">
        <v>1</v>
      </c>
      <c r="V128" s="11" t="s">
        <v>1958</v>
      </c>
      <c r="W128" s="9" t="s">
        <v>1959</v>
      </c>
      <c r="X128" s="9" t="s">
        <v>79</v>
      </c>
      <c r="Y128" s="10" t="b">
        <v>1</v>
      </c>
      <c r="Z128" s="10" t="b">
        <v>1</v>
      </c>
      <c r="AA128" s="51" t="s">
        <v>1960</v>
      </c>
      <c r="AB128" s="9" t="s">
        <v>967</v>
      </c>
      <c r="AC128" s="9" t="s">
        <v>469</v>
      </c>
      <c r="AD128" s="10" t="b">
        <v>1</v>
      </c>
      <c r="AE128" s="10" t="b">
        <v>1</v>
      </c>
      <c r="AF128" s="14" t="s">
        <v>1961</v>
      </c>
      <c r="AG128" s="6" t="s">
        <v>268</v>
      </c>
      <c r="AH128" s="6" t="s">
        <v>170</v>
      </c>
      <c r="AI128" s="10" t="b">
        <v>1</v>
      </c>
      <c r="AJ128" s="10" t="b">
        <v>1</v>
      </c>
      <c r="AK128" s="51" t="s">
        <v>1960</v>
      </c>
      <c r="AL128" s="9" t="s">
        <v>967</v>
      </c>
      <c r="AM128" s="9" t="s">
        <v>469</v>
      </c>
      <c r="AN128" s="9" t="b">
        <v>1</v>
      </c>
      <c r="AO128" s="9" t="b">
        <v>1</v>
      </c>
      <c r="AP128" s="14" t="s">
        <v>1962</v>
      </c>
      <c r="AQ128" s="9" t="s">
        <v>103</v>
      </c>
      <c r="AR128" s="9" t="s">
        <v>86</v>
      </c>
      <c r="AS128" s="6"/>
      <c r="AT128" s="6"/>
      <c r="AU128" s="6"/>
      <c r="AV128" s="6"/>
      <c r="AW128" s="6"/>
      <c r="AX128" s="6"/>
      <c r="AY128" s="6"/>
      <c r="AZ128" s="6"/>
      <c r="BA128" s="6"/>
    </row>
    <row r="129" ht="22.5" customHeight="1">
      <c r="A129" s="7" t="s">
        <v>1963</v>
      </c>
      <c r="B129" s="8" t="s">
        <v>1964</v>
      </c>
      <c r="C129" s="8" t="s">
        <v>1965</v>
      </c>
      <c r="D129" s="6" t="s">
        <v>1966</v>
      </c>
      <c r="E129" s="6" t="s">
        <v>1967</v>
      </c>
      <c r="F129" s="6" t="s">
        <v>1968</v>
      </c>
      <c r="G129" s="6" t="s">
        <v>1969</v>
      </c>
      <c r="H129" s="12" t="b">
        <v>1</v>
      </c>
      <c r="I129" s="11" t="s">
        <v>1970</v>
      </c>
      <c r="J129" s="11" t="s">
        <v>1971</v>
      </c>
      <c r="K129" s="11" t="s">
        <v>1972</v>
      </c>
      <c r="L129" s="11" t="s">
        <v>1970</v>
      </c>
      <c r="M129" s="9" t="s">
        <v>1973</v>
      </c>
      <c r="N129" s="6" t="s">
        <v>186</v>
      </c>
      <c r="O129" s="6" t="s">
        <v>58</v>
      </c>
      <c r="P129" s="6"/>
      <c r="Q129" s="8" t="s">
        <v>80</v>
      </c>
      <c r="R129" s="6" t="s">
        <v>133</v>
      </c>
      <c r="S129" s="10" t="b">
        <v>0</v>
      </c>
      <c r="T129" s="10" t="b">
        <v>1</v>
      </c>
      <c r="U129" s="10" t="b">
        <v>0</v>
      </c>
      <c r="V129" s="11" t="s">
        <v>1974</v>
      </c>
      <c r="W129" s="6" t="s">
        <v>65</v>
      </c>
      <c r="X129" s="6" t="s">
        <v>65</v>
      </c>
      <c r="Y129" s="10" t="b">
        <v>1</v>
      </c>
      <c r="Z129" s="10" t="b">
        <v>0</v>
      </c>
      <c r="AA129" s="11" t="s">
        <v>1975</v>
      </c>
      <c r="AB129" s="9" t="s">
        <v>65</v>
      </c>
      <c r="AC129" s="9" t="s">
        <v>65</v>
      </c>
      <c r="AD129" s="10" t="b">
        <v>1</v>
      </c>
      <c r="AE129" s="10" t="b">
        <v>0</v>
      </c>
      <c r="AF129" s="11" t="s">
        <v>1976</v>
      </c>
      <c r="AG129" s="9" t="s">
        <v>103</v>
      </c>
      <c r="AH129" s="9" t="s">
        <v>86</v>
      </c>
      <c r="AI129" s="10" t="b">
        <v>1</v>
      </c>
      <c r="AJ129" s="10" t="b">
        <v>0</v>
      </c>
      <c r="AK129" s="11" t="s">
        <v>1975</v>
      </c>
      <c r="AL129" s="9" t="s">
        <v>65</v>
      </c>
      <c r="AM129" s="9" t="s">
        <v>65</v>
      </c>
      <c r="AN129" s="9" t="b">
        <v>1</v>
      </c>
      <c r="AO129" s="9" t="b">
        <v>0</v>
      </c>
      <c r="AP129" s="14" t="s">
        <v>1977</v>
      </c>
      <c r="AQ129" s="9" t="s">
        <v>65</v>
      </c>
      <c r="AR129" s="9" t="s">
        <v>65</v>
      </c>
      <c r="AS129" s="6"/>
      <c r="AT129" s="6"/>
      <c r="AU129" s="6"/>
      <c r="AV129" s="6"/>
      <c r="AW129" s="6"/>
      <c r="AX129" s="6"/>
      <c r="AY129" s="6"/>
      <c r="AZ129" s="6"/>
      <c r="BA129" s="6"/>
    </row>
    <row r="130" ht="22.5" customHeight="1">
      <c r="A130" s="7" t="s">
        <v>1978</v>
      </c>
      <c r="B130" s="8" t="s">
        <v>1979</v>
      </c>
      <c r="C130" s="8" t="s">
        <v>1980</v>
      </c>
      <c r="D130" s="9" t="s">
        <v>1981</v>
      </c>
      <c r="E130" s="9" t="s">
        <v>1982</v>
      </c>
      <c r="F130" s="9" t="s">
        <v>1983</v>
      </c>
      <c r="G130" s="6" t="s">
        <v>1984</v>
      </c>
      <c r="H130" s="10" t="b">
        <v>0</v>
      </c>
      <c r="I130" s="11" t="s">
        <v>1985</v>
      </c>
      <c r="J130" s="11" t="s">
        <v>1986</v>
      </c>
      <c r="K130" s="11" t="s">
        <v>1987</v>
      </c>
      <c r="L130" s="11" t="s">
        <v>1988</v>
      </c>
      <c r="M130" s="8" t="s">
        <v>1989</v>
      </c>
      <c r="N130" s="6" t="s">
        <v>1744</v>
      </c>
      <c r="O130" s="6" t="s">
        <v>86</v>
      </c>
      <c r="P130" s="6"/>
      <c r="Q130" s="9" t="s">
        <v>80</v>
      </c>
      <c r="R130" s="8" t="s">
        <v>133</v>
      </c>
      <c r="S130" s="10" t="b">
        <v>0</v>
      </c>
      <c r="T130" s="10" t="b">
        <v>1</v>
      </c>
      <c r="U130" s="10" t="b">
        <v>1</v>
      </c>
      <c r="V130" s="14" t="s">
        <v>1990</v>
      </c>
      <c r="W130" s="9" t="s">
        <v>1991</v>
      </c>
      <c r="X130" s="9" t="s">
        <v>79</v>
      </c>
      <c r="Y130" s="10" t="b">
        <v>1</v>
      </c>
      <c r="Z130" s="10" t="b">
        <v>1</v>
      </c>
      <c r="AA130" s="14" t="s">
        <v>1992</v>
      </c>
      <c r="AB130" s="9" t="s">
        <v>1993</v>
      </c>
      <c r="AC130" s="9" t="s">
        <v>79</v>
      </c>
      <c r="AD130" s="10" t="b">
        <v>1</v>
      </c>
      <c r="AE130" s="10" t="b">
        <v>1</v>
      </c>
      <c r="AF130" s="14" t="s">
        <v>1994</v>
      </c>
      <c r="AG130" s="8" t="s">
        <v>103</v>
      </c>
      <c r="AH130" s="8" t="s">
        <v>86</v>
      </c>
      <c r="AI130" s="10" t="b">
        <v>1</v>
      </c>
      <c r="AJ130" s="10" t="b">
        <v>1</v>
      </c>
      <c r="AK130" s="14" t="s">
        <v>1992</v>
      </c>
      <c r="AL130" s="9" t="s">
        <v>1993</v>
      </c>
      <c r="AM130" s="9" t="s">
        <v>79</v>
      </c>
      <c r="AN130" s="9" t="b">
        <v>1</v>
      </c>
      <c r="AO130" s="9" t="b">
        <v>1</v>
      </c>
      <c r="AP130" s="14" t="s">
        <v>1995</v>
      </c>
      <c r="AQ130" s="9" t="s">
        <v>103</v>
      </c>
      <c r="AR130" s="9" t="s">
        <v>86</v>
      </c>
      <c r="AS130" s="6"/>
      <c r="AT130" s="6"/>
      <c r="AU130" s="6"/>
      <c r="AV130" s="6"/>
      <c r="AW130" s="6"/>
      <c r="AX130" s="6"/>
      <c r="AY130" s="6"/>
      <c r="AZ130" s="6"/>
      <c r="BA130" s="6"/>
    </row>
    <row r="131" ht="22.5" customHeight="1">
      <c r="A131" s="7" t="s">
        <v>1996</v>
      </c>
      <c r="B131" s="8" t="s">
        <v>1997</v>
      </c>
      <c r="C131" s="8" t="s">
        <v>1998</v>
      </c>
      <c r="D131" s="9" t="s">
        <v>1999</v>
      </c>
      <c r="E131" s="9" t="s">
        <v>2000</v>
      </c>
      <c r="F131" s="9" t="s">
        <v>2001</v>
      </c>
      <c r="G131" s="6" t="s">
        <v>2002</v>
      </c>
      <c r="H131" s="12" t="b">
        <v>1</v>
      </c>
      <c r="I131" s="28" t="s">
        <v>2003</v>
      </c>
      <c r="J131" s="28" t="s">
        <v>2004</v>
      </c>
      <c r="K131" s="11" t="s">
        <v>2005</v>
      </c>
      <c r="L131" s="28" t="s">
        <v>2004</v>
      </c>
      <c r="M131" s="9" t="s">
        <v>2006</v>
      </c>
      <c r="N131" s="6" t="s">
        <v>268</v>
      </c>
      <c r="O131" s="6" t="s">
        <v>170</v>
      </c>
      <c r="P131" s="8"/>
      <c r="Q131" s="9" t="s">
        <v>59</v>
      </c>
      <c r="R131" s="8" t="s">
        <v>59</v>
      </c>
      <c r="S131" s="10" t="b">
        <v>0</v>
      </c>
      <c r="T131" s="10" t="b">
        <v>1</v>
      </c>
      <c r="U131" s="10" t="b">
        <v>0</v>
      </c>
      <c r="V131" s="11" t="s">
        <v>2007</v>
      </c>
      <c r="W131" s="6" t="s">
        <v>2008</v>
      </c>
      <c r="X131" s="6" t="s">
        <v>79</v>
      </c>
      <c r="Y131" s="12" t="b">
        <v>0</v>
      </c>
      <c r="Z131" s="10" t="s">
        <v>63</v>
      </c>
      <c r="AA131" s="13" t="s">
        <v>63</v>
      </c>
      <c r="AB131" s="10" t="s">
        <v>63</v>
      </c>
      <c r="AC131" s="10" t="s">
        <v>63</v>
      </c>
      <c r="AD131" s="12" t="b">
        <v>0</v>
      </c>
      <c r="AE131" s="10" t="s">
        <v>63</v>
      </c>
      <c r="AF131" s="13" t="s">
        <v>63</v>
      </c>
      <c r="AG131" s="10" t="s">
        <v>63</v>
      </c>
      <c r="AH131" s="10" t="s">
        <v>63</v>
      </c>
      <c r="AI131" s="12" t="b">
        <v>0</v>
      </c>
      <c r="AJ131" s="10" t="s">
        <v>63</v>
      </c>
      <c r="AK131" s="13" t="s">
        <v>63</v>
      </c>
      <c r="AL131" s="10" t="s">
        <v>63</v>
      </c>
      <c r="AM131" s="10" t="s">
        <v>63</v>
      </c>
      <c r="AN131" s="9" t="b">
        <v>1</v>
      </c>
      <c r="AO131" s="9" t="b">
        <v>0</v>
      </c>
      <c r="AP131" s="14" t="s">
        <v>2009</v>
      </c>
      <c r="AQ131" s="9" t="s">
        <v>65</v>
      </c>
      <c r="AR131" s="9" t="s">
        <v>65</v>
      </c>
      <c r="AS131" s="6"/>
      <c r="AT131" s="6"/>
      <c r="AU131" s="6"/>
      <c r="AV131" s="6"/>
      <c r="AW131" s="6"/>
      <c r="AX131" s="6"/>
      <c r="AY131" s="6"/>
      <c r="AZ131" s="6"/>
      <c r="BA131" s="6"/>
    </row>
    <row r="132" ht="22.5" customHeight="1">
      <c r="A132" s="7" t="s">
        <v>2010</v>
      </c>
      <c r="B132" s="8" t="s">
        <v>2011</v>
      </c>
      <c r="C132" s="8" t="s">
        <v>2012</v>
      </c>
      <c r="D132" s="9" t="s">
        <v>2013</v>
      </c>
      <c r="E132" s="9" t="s">
        <v>2014</v>
      </c>
      <c r="F132" s="9" t="s">
        <v>2015</v>
      </c>
      <c r="G132" s="6" t="s">
        <v>2016</v>
      </c>
      <c r="H132" s="10" t="b">
        <v>0</v>
      </c>
      <c r="I132" s="11" t="s">
        <v>2017</v>
      </c>
      <c r="J132" s="11" t="s">
        <v>2018</v>
      </c>
      <c r="K132" s="11" t="s">
        <v>2019</v>
      </c>
      <c r="L132" s="11" t="s">
        <v>2020</v>
      </c>
      <c r="M132" s="6" t="s">
        <v>2021</v>
      </c>
      <c r="N132" s="6" t="s">
        <v>186</v>
      </c>
      <c r="O132" s="6" t="s">
        <v>58</v>
      </c>
      <c r="P132" s="6"/>
      <c r="Q132" s="9" t="s">
        <v>80</v>
      </c>
      <c r="R132" s="6" t="s">
        <v>81</v>
      </c>
      <c r="S132" s="10" t="b">
        <v>0</v>
      </c>
      <c r="T132" s="10" t="b">
        <v>0</v>
      </c>
      <c r="U132" s="15" t="b">
        <v>0</v>
      </c>
      <c r="V132" s="8" t="s">
        <v>63</v>
      </c>
      <c r="W132" s="8" t="s">
        <v>104</v>
      </c>
      <c r="X132" s="8" t="s">
        <v>63</v>
      </c>
      <c r="Y132" s="10" t="b">
        <v>1</v>
      </c>
      <c r="Z132" s="10" t="b">
        <v>1</v>
      </c>
      <c r="AA132" s="11" t="s">
        <v>2022</v>
      </c>
      <c r="AB132" s="6" t="s">
        <v>186</v>
      </c>
      <c r="AC132" s="6" t="s">
        <v>58</v>
      </c>
      <c r="AD132" s="10" t="b">
        <v>1</v>
      </c>
      <c r="AE132" s="10" t="b">
        <v>1</v>
      </c>
      <c r="AF132" s="11" t="s">
        <v>2023</v>
      </c>
      <c r="AG132" s="6" t="s">
        <v>186</v>
      </c>
      <c r="AH132" s="6" t="s">
        <v>58</v>
      </c>
      <c r="AI132" s="10" t="b">
        <v>1</v>
      </c>
      <c r="AJ132" s="10" t="b">
        <v>1</v>
      </c>
      <c r="AK132" s="11" t="s">
        <v>2022</v>
      </c>
      <c r="AL132" s="6" t="s">
        <v>186</v>
      </c>
      <c r="AM132" s="6" t="s">
        <v>58</v>
      </c>
      <c r="AN132" s="9" t="b">
        <v>1</v>
      </c>
      <c r="AO132" s="9" t="b">
        <v>0</v>
      </c>
      <c r="AP132" s="14" t="s">
        <v>2024</v>
      </c>
      <c r="AQ132" s="9" t="s">
        <v>65</v>
      </c>
      <c r="AR132" s="9" t="s">
        <v>65</v>
      </c>
      <c r="AS132" s="6"/>
      <c r="AT132" s="6"/>
      <c r="AU132" s="6"/>
      <c r="AV132" s="6"/>
      <c r="AW132" s="6"/>
      <c r="AX132" s="6"/>
      <c r="AY132" s="6"/>
      <c r="AZ132" s="6"/>
      <c r="BA132" s="6"/>
    </row>
    <row r="133" ht="22.5" customHeight="1">
      <c r="A133" s="7" t="s">
        <v>2025</v>
      </c>
      <c r="B133" s="8" t="s">
        <v>2026</v>
      </c>
      <c r="C133" s="8" t="s">
        <v>2027</v>
      </c>
      <c r="D133" s="9" t="s">
        <v>2028</v>
      </c>
      <c r="E133" s="9" t="s">
        <v>2029</v>
      </c>
      <c r="F133" s="9" t="s">
        <v>2030</v>
      </c>
      <c r="G133" s="6" t="s">
        <v>2031</v>
      </c>
      <c r="H133" s="10" t="b">
        <v>1</v>
      </c>
      <c r="I133" s="11" t="s">
        <v>2032</v>
      </c>
      <c r="J133" s="11" t="s">
        <v>2033</v>
      </c>
      <c r="K133" s="11" t="s">
        <v>2034</v>
      </c>
      <c r="L133" s="11" t="s">
        <v>2032</v>
      </c>
      <c r="M133" s="6" t="s">
        <v>2035</v>
      </c>
      <c r="N133" s="6" t="s">
        <v>57</v>
      </c>
      <c r="O133" s="6" t="s">
        <v>58</v>
      </c>
      <c r="P133" s="6"/>
      <c r="Q133" s="9" t="s">
        <v>80</v>
      </c>
      <c r="R133" s="6" t="s">
        <v>81</v>
      </c>
      <c r="S133" s="10" t="b">
        <v>1</v>
      </c>
      <c r="T133" s="15" t="b">
        <v>1</v>
      </c>
      <c r="U133" s="15" t="b">
        <v>0</v>
      </c>
      <c r="V133" s="28" t="s">
        <v>2036</v>
      </c>
      <c r="W133" s="8" t="s">
        <v>1812</v>
      </c>
      <c r="X133" s="8" t="s">
        <v>79</v>
      </c>
      <c r="Y133" s="10" t="b">
        <v>1</v>
      </c>
      <c r="Z133" s="10" t="b">
        <v>1</v>
      </c>
      <c r="AA133" s="14" t="s">
        <v>2037</v>
      </c>
      <c r="AB133" s="6" t="s">
        <v>186</v>
      </c>
      <c r="AC133" s="6" t="s">
        <v>58</v>
      </c>
      <c r="AD133" s="10" t="b">
        <v>1</v>
      </c>
      <c r="AE133" s="9" t="b">
        <v>0</v>
      </c>
      <c r="AF133" s="11" t="s">
        <v>2038</v>
      </c>
      <c r="AG133" s="6" t="s">
        <v>1812</v>
      </c>
      <c r="AH133" s="6" t="s">
        <v>79</v>
      </c>
      <c r="AI133" s="10" t="b">
        <v>1</v>
      </c>
      <c r="AJ133" s="10" t="b">
        <v>1</v>
      </c>
      <c r="AK133" s="14" t="s">
        <v>2037</v>
      </c>
      <c r="AL133" s="6" t="s">
        <v>186</v>
      </c>
      <c r="AM133" s="6" t="s">
        <v>58</v>
      </c>
      <c r="AN133" s="9" t="b">
        <v>1</v>
      </c>
      <c r="AO133" s="9" t="b">
        <v>0</v>
      </c>
      <c r="AP133" s="14" t="s">
        <v>2039</v>
      </c>
      <c r="AQ133" s="9" t="s">
        <v>65</v>
      </c>
      <c r="AR133" s="9" t="s">
        <v>65</v>
      </c>
      <c r="AS133" s="6"/>
      <c r="AT133" s="6"/>
      <c r="AU133" s="6"/>
      <c r="AV133" s="6"/>
      <c r="AW133" s="6"/>
      <c r="AX133" s="6"/>
      <c r="AY133" s="6"/>
      <c r="AZ133" s="6"/>
      <c r="BA133" s="6"/>
    </row>
    <row r="134" ht="22.5" customHeight="1">
      <c r="A134" s="7" t="s">
        <v>2040</v>
      </c>
      <c r="B134" s="8" t="s">
        <v>2041</v>
      </c>
      <c r="C134" s="8" t="s">
        <v>2042</v>
      </c>
      <c r="D134" s="9" t="s">
        <v>2043</v>
      </c>
      <c r="E134" s="9" t="s">
        <v>2044</v>
      </c>
      <c r="F134" s="9" t="s">
        <v>2045</v>
      </c>
      <c r="G134" s="6" t="s">
        <v>180</v>
      </c>
      <c r="H134" s="10" t="b">
        <v>1</v>
      </c>
      <c r="I134" s="11" t="s">
        <v>2046</v>
      </c>
      <c r="J134" s="11" t="s">
        <v>2047</v>
      </c>
      <c r="K134" s="11" t="s">
        <v>2048</v>
      </c>
      <c r="L134" s="28" t="s">
        <v>2047</v>
      </c>
      <c r="M134" s="6" t="s">
        <v>2049</v>
      </c>
      <c r="N134" s="6" t="s">
        <v>169</v>
      </c>
      <c r="O134" s="6" t="s">
        <v>170</v>
      </c>
      <c r="P134" s="6"/>
      <c r="Q134" s="9" t="s">
        <v>59</v>
      </c>
      <c r="R134" s="8" t="s">
        <v>59</v>
      </c>
      <c r="S134" s="10" t="b">
        <v>0</v>
      </c>
      <c r="T134" s="15" t="b">
        <v>1</v>
      </c>
      <c r="U134" s="10" t="b">
        <v>0</v>
      </c>
      <c r="V134" s="28" t="s">
        <v>2050</v>
      </c>
      <c r="W134" s="9" t="s">
        <v>2051</v>
      </c>
      <c r="X134" s="9" t="s">
        <v>62</v>
      </c>
      <c r="Y134" s="12" t="b">
        <v>0</v>
      </c>
      <c r="Z134" s="10" t="s">
        <v>63</v>
      </c>
      <c r="AA134" s="13" t="s">
        <v>63</v>
      </c>
      <c r="AB134" s="10" t="s">
        <v>63</v>
      </c>
      <c r="AC134" s="10" t="s">
        <v>63</v>
      </c>
      <c r="AD134" s="12" t="b">
        <v>0</v>
      </c>
      <c r="AE134" s="10" t="s">
        <v>63</v>
      </c>
      <c r="AF134" s="13" t="s">
        <v>63</v>
      </c>
      <c r="AG134" s="10" t="s">
        <v>63</v>
      </c>
      <c r="AH134" s="10" t="s">
        <v>63</v>
      </c>
      <c r="AI134" s="12" t="b">
        <v>0</v>
      </c>
      <c r="AJ134" s="10" t="s">
        <v>63</v>
      </c>
      <c r="AK134" s="13" t="s">
        <v>63</v>
      </c>
      <c r="AL134" s="10" t="s">
        <v>63</v>
      </c>
      <c r="AM134" s="10" t="s">
        <v>63</v>
      </c>
      <c r="AN134" s="9" t="b">
        <v>1</v>
      </c>
      <c r="AO134" s="9" t="b">
        <v>0</v>
      </c>
      <c r="AP134" s="14" t="s">
        <v>2052</v>
      </c>
      <c r="AQ134" s="9" t="s">
        <v>65</v>
      </c>
      <c r="AR134" s="9" t="s">
        <v>65</v>
      </c>
      <c r="AS134" s="6"/>
      <c r="AT134" s="6"/>
      <c r="AU134" s="6"/>
      <c r="AV134" s="6"/>
      <c r="AW134" s="6"/>
      <c r="AX134" s="6"/>
      <c r="AY134" s="6"/>
      <c r="AZ134" s="6"/>
      <c r="BA134" s="6"/>
    </row>
    <row r="135" ht="22.5" customHeight="1">
      <c r="A135" s="7" t="s">
        <v>2053</v>
      </c>
      <c r="B135" s="8" t="s">
        <v>2054</v>
      </c>
      <c r="C135" s="8" t="s">
        <v>2055</v>
      </c>
      <c r="D135" s="9" t="s">
        <v>2056</v>
      </c>
      <c r="E135" s="9" t="s">
        <v>2057</v>
      </c>
      <c r="F135" s="9" t="s">
        <v>2058</v>
      </c>
      <c r="G135" s="6" t="s">
        <v>2059</v>
      </c>
      <c r="H135" s="10" t="b">
        <v>1</v>
      </c>
      <c r="I135" s="11" t="s">
        <v>2060</v>
      </c>
      <c r="J135" s="11" t="s">
        <v>2061</v>
      </c>
      <c r="K135" s="11" t="s">
        <v>2062</v>
      </c>
      <c r="L135" s="11" t="s">
        <v>2060</v>
      </c>
      <c r="M135" s="9" t="s">
        <v>2063</v>
      </c>
      <c r="N135" s="6" t="s">
        <v>57</v>
      </c>
      <c r="O135" s="6" t="s">
        <v>58</v>
      </c>
      <c r="P135" s="6"/>
      <c r="Q135" s="9" t="s">
        <v>59</v>
      </c>
      <c r="R135" s="8" t="s">
        <v>59</v>
      </c>
      <c r="S135" s="10" t="b">
        <v>1</v>
      </c>
      <c r="T135" s="10" t="b">
        <v>0</v>
      </c>
      <c r="U135" s="12" t="s">
        <v>63</v>
      </c>
      <c r="V135" s="6" t="s">
        <v>63</v>
      </c>
      <c r="W135" s="9" t="s">
        <v>63</v>
      </c>
      <c r="X135" s="6" t="s">
        <v>63</v>
      </c>
      <c r="Y135" s="12" t="b">
        <v>0</v>
      </c>
      <c r="Z135" s="10" t="s">
        <v>63</v>
      </c>
      <c r="AA135" s="13" t="s">
        <v>63</v>
      </c>
      <c r="AB135" s="10" t="s">
        <v>63</v>
      </c>
      <c r="AC135" s="10" t="s">
        <v>63</v>
      </c>
      <c r="AD135" s="12" t="b">
        <v>0</v>
      </c>
      <c r="AE135" s="10" t="s">
        <v>63</v>
      </c>
      <c r="AF135" s="13" t="s">
        <v>63</v>
      </c>
      <c r="AG135" s="10" t="s">
        <v>63</v>
      </c>
      <c r="AH135" s="10" t="s">
        <v>63</v>
      </c>
      <c r="AI135" s="12" t="b">
        <v>0</v>
      </c>
      <c r="AJ135" s="10" t="s">
        <v>63</v>
      </c>
      <c r="AK135" s="13" t="s">
        <v>63</v>
      </c>
      <c r="AL135" s="10" t="s">
        <v>63</v>
      </c>
      <c r="AM135" s="10" t="s">
        <v>63</v>
      </c>
      <c r="AN135" s="9" t="b">
        <v>1</v>
      </c>
      <c r="AO135" s="9" t="b">
        <v>0</v>
      </c>
      <c r="AP135" s="14" t="s">
        <v>2064</v>
      </c>
      <c r="AQ135" s="9" t="s">
        <v>65</v>
      </c>
      <c r="AR135" s="9" t="s">
        <v>65</v>
      </c>
      <c r="AS135" s="6"/>
      <c r="AT135" s="6"/>
      <c r="AU135" s="6"/>
      <c r="AV135" s="6"/>
      <c r="AW135" s="6"/>
      <c r="AX135" s="6"/>
      <c r="AY135" s="6"/>
      <c r="AZ135" s="6"/>
      <c r="BA135" s="6"/>
    </row>
    <row r="136" ht="22.5" customHeight="1">
      <c r="A136" s="7" t="s">
        <v>2065</v>
      </c>
      <c r="B136" s="8" t="s">
        <v>2066</v>
      </c>
      <c r="C136" s="8" t="s">
        <v>2067</v>
      </c>
      <c r="D136" s="6" t="s">
        <v>2068</v>
      </c>
      <c r="E136" s="6" t="s">
        <v>2069</v>
      </c>
      <c r="F136" s="6" t="s">
        <v>2070</v>
      </c>
      <c r="G136" s="6" t="s">
        <v>180</v>
      </c>
      <c r="H136" s="12" t="b">
        <v>1</v>
      </c>
      <c r="I136" s="11" t="s">
        <v>2071</v>
      </c>
      <c r="J136" s="11" t="s">
        <v>2072</v>
      </c>
      <c r="K136" s="11" t="s">
        <v>2073</v>
      </c>
      <c r="L136" s="11" t="s">
        <v>2074</v>
      </c>
      <c r="M136" s="9" t="s">
        <v>2075</v>
      </c>
      <c r="N136" s="6" t="s">
        <v>268</v>
      </c>
      <c r="O136" s="6" t="s">
        <v>170</v>
      </c>
      <c r="P136" s="6"/>
      <c r="Q136" s="8" t="s">
        <v>59</v>
      </c>
      <c r="R136" s="8" t="s">
        <v>59</v>
      </c>
      <c r="S136" s="10" t="b">
        <v>1</v>
      </c>
      <c r="T136" s="10" t="b">
        <v>1</v>
      </c>
      <c r="U136" s="10" t="b">
        <v>0</v>
      </c>
      <c r="V136" s="11" t="s">
        <v>2076</v>
      </c>
      <c r="W136" s="9" t="s">
        <v>188</v>
      </c>
      <c r="X136" s="6" t="s">
        <v>189</v>
      </c>
      <c r="Y136" s="12" t="b">
        <v>0</v>
      </c>
      <c r="Z136" s="10" t="s">
        <v>63</v>
      </c>
      <c r="AA136" s="13" t="s">
        <v>63</v>
      </c>
      <c r="AB136" s="10" t="s">
        <v>63</v>
      </c>
      <c r="AC136" s="10" t="s">
        <v>63</v>
      </c>
      <c r="AD136" s="12" t="b">
        <v>0</v>
      </c>
      <c r="AE136" s="10" t="s">
        <v>63</v>
      </c>
      <c r="AF136" s="13" t="s">
        <v>63</v>
      </c>
      <c r="AG136" s="10" t="s">
        <v>63</v>
      </c>
      <c r="AH136" s="10" t="s">
        <v>63</v>
      </c>
      <c r="AI136" s="12" t="b">
        <v>0</v>
      </c>
      <c r="AJ136" s="10" t="s">
        <v>63</v>
      </c>
      <c r="AK136" s="13" t="s">
        <v>63</v>
      </c>
      <c r="AL136" s="10" t="s">
        <v>63</v>
      </c>
      <c r="AM136" s="10" t="s">
        <v>63</v>
      </c>
      <c r="AN136" s="9" t="b">
        <v>1</v>
      </c>
      <c r="AO136" s="9" t="b">
        <v>1</v>
      </c>
      <c r="AP136" s="14" t="s">
        <v>2077</v>
      </c>
      <c r="AQ136" s="9" t="s">
        <v>186</v>
      </c>
      <c r="AR136" s="9" t="s">
        <v>58</v>
      </c>
      <c r="AS136" s="6"/>
      <c r="AT136" s="6"/>
      <c r="AU136" s="6"/>
      <c r="AV136" s="6"/>
      <c r="AW136" s="6"/>
      <c r="AX136" s="6"/>
      <c r="AY136" s="6"/>
      <c r="AZ136" s="6"/>
      <c r="BA136" s="6"/>
    </row>
    <row r="137" ht="22.5" customHeight="1">
      <c r="A137" s="7" t="s">
        <v>2078</v>
      </c>
      <c r="B137" s="8" t="s">
        <v>2079</v>
      </c>
      <c r="C137" s="8" t="s">
        <v>2080</v>
      </c>
      <c r="D137" s="9" t="s">
        <v>2081</v>
      </c>
      <c r="E137" s="9" t="s">
        <v>2082</v>
      </c>
      <c r="F137" s="9" t="s">
        <v>2083</v>
      </c>
      <c r="G137" s="6" t="s">
        <v>245</v>
      </c>
      <c r="H137" s="10" t="b">
        <v>1</v>
      </c>
      <c r="I137" s="11" t="s">
        <v>2084</v>
      </c>
      <c r="J137" s="11" t="s">
        <v>2085</v>
      </c>
      <c r="K137" s="11" t="s">
        <v>2086</v>
      </c>
      <c r="L137" s="49" t="s">
        <v>2084</v>
      </c>
      <c r="M137" s="26" t="s">
        <v>2087</v>
      </c>
      <c r="N137" s="6" t="s">
        <v>57</v>
      </c>
      <c r="O137" s="6" t="s">
        <v>58</v>
      </c>
      <c r="P137" s="6"/>
      <c r="Q137" s="9" t="s">
        <v>59</v>
      </c>
      <c r="R137" s="8" t="s">
        <v>59</v>
      </c>
      <c r="S137" s="10" t="b">
        <v>0</v>
      </c>
      <c r="T137" s="10" t="b">
        <v>1</v>
      </c>
      <c r="U137" s="10" t="b">
        <v>1</v>
      </c>
      <c r="V137" s="11" t="s">
        <v>2088</v>
      </c>
      <c r="W137" s="6" t="s">
        <v>186</v>
      </c>
      <c r="X137" s="6" t="s">
        <v>58</v>
      </c>
      <c r="Y137" s="12" t="b">
        <v>0</v>
      </c>
      <c r="Z137" s="10" t="s">
        <v>63</v>
      </c>
      <c r="AA137" s="13" t="s">
        <v>63</v>
      </c>
      <c r="AB137" s="10" t="s">
        <v>63</v>
      </c>
      <c r="AC137" s="10" t="s">
        <v>63</v>
      </c>
      <c r="AD137" s="12" t="b">
        <v>0</v>
      </c>
      <c r="AE137" s="10" t="s">
        <v>63</v>
      </c>
      <c r="AF137" s="13" t="s">
        <v>63</v>
      </c>
      <c r="AG137" s="10" t="s">
        <v>63</v>
      </c>
      <c r="AH137" s="10" t="s">
        <v>63</v>
      </c>
      <c r="AI137" s="12" t="b">
        <v>0</v>
      </c>
      <c r="AJ137" s="10" t="s">
        <v>63</v>
      </c>
      <c r="AK137" s="13" t="s">
        <v>63</v>
      </c>
      <c r="AL137" s="10" t="s">
        <v>63</v>
      </c>
      <c r="AM137" s="10" t="s">
        <v>63</v>
      </c>
      <c r="AN137" s="9" t="b">
        <v>1</v>
      </c>
      <c r="AO137" s="9" t="b">
        <v>0</v>
      </c>
      <c r="AP137" s="14" t="s">
        <v>2089</v>
      </c>
      <c r="AQ137" s="9" t="s">
        <v>65</v>
      </c>
      <c r="AR137" s="9" t="s">
        <v>65</v>
      </c>
      <c r="AS137" s="6"/>
      <c r="AT137" s="6"/>
      <c r="AU137" s="6"/>
      <c r="AV137" s="6"/>
      <c r="AW137" s="6"/>
      <c r="AX137" s="6"/>
      <c r="AY137" s="6"/>
      <c r="AZ137" s="6"/>
      <c r="BA137" s="6"/>
    </row>
    <row r="138" ht="22.5" customHeight="1">
      <c r="A138" s="7" t="s">
        <v>2090</v>
      </c>
      <c r="B138" s="8" t="s">
        <v>2091</v>
      </c>
      <c r="C138" s="8" t="s">
        <v>2092</v>
      </c>
      <c r="D138" s="9" t="s">
        <v>2093</v>
      </c>
      <c r="E138" s="9" t="s">
        <v>2094</v>
      </c>
      <c r="F138" s="9" t="s">
        <v>2095</v>
      </c>
      <c r="G138" s="6" t="s">
        <v>2096</v>
      </c>
      <c r="H138" s="10" t="b">
        <v>1</v>
      </c>
      <c r="I138" s="11" t="s">
        <v>2097</v>
      </c>
      <c r="J138" s="11" t="s">
        <v>2098</v>
      </c>
      <c r="K138" s="11" t="s">
        <v>2099</v>
      </c>
      <c r="L138" s="11" t="s">
        <v>2100</v>
      </c>
      <c r="M138" s="6" t="s">
        <v>2101</v>
      </c>
      <c r="N138" s="6" t="s">
        <v>2102</v>
      </c>
      <c r="O138" s="6" t="s">
        <v>86</v>
      </c>
      <c r="P138" s="6"/>
      <c r="Q138" s="9" t="s">
        <v>59</v>
      </c>
      <c r="R138" s="8" t="s">
        <v>59</v>
      </c>
      <c r="S138" s="10" t="b">
        <v>0</v>
      </c>
      <c r="T138" s="15" t="b">
        <v>1</v>
      </c>
      <c r="U138" s="10" t="b">
        <v>0</v>
      </c>
      <c r="V138" s="28" t="s">
        <v>2103</v>
      </c>
      <c r="W138" s="8" t="s">
        <v>186</v>
      </c>
      <c r="X138" s="8" t="s">
        <v>58</v>
      </c>
      <c r="Y138" s="12" t="b">
        <v>0</v>
      </c>
      <c r="Z138" s="10" t="s">
        <v>63</v>
      </c>
      <c r="AA138" s="13" t="s">
        <v>63</v>
      </c>
      <c r="AB138" s="10" t="s">
        <v>63</v>
      </c>
      <c r="AC138" s="10" t="s">
        <v>63</v>
      </c>
      <c r="AD138" s="12" t="b">
        <v>0</v>
      </c>
      <c r="AE138" s="10" t="s">
        <v>63</v>
      </c>
      <c r="AF138" s="13" t="s">
        <v>63</v>
      </c>
      <c r="AG138" s="10" t="s">
        <v>63</v>
      </c>
      <c r="AH138" s="10" t="s">
        <v>63</v>
      </c>
      <c r="AI138" s="12" t="b">
        <v>0</v>
      </c>
      <c r="AJ138" s="10" t="s">
        <v>63</v>
      </c>
      <c r="AK138" s="13" t="s">
        <v>63</v>
      </c>
      <c r="AL138" s="10" t="s">
        <v>63</v>
      </c>
      <c r="AM138" s="10" t="s">
        <v>63</v>
      </c>
      <c r="AN138" s="9" t="b">
        <v>1</v>
      </c>
      <c r="AO138" s="9" t="b">
        <v>0</v>
      </c>
      <c r="AP138" s="14" t="s">
        <v>2104</v>
      </c>
      <c r="AQ138" s="9" t="s">
        <v>65</v>
      </c>
      <c r="AR138" s="9" t="s">
        <v>65</v>
      </c>
      <c r="AS138" s="6"/>
      <c r="AT138" s="6"/>
      <c r="AU138" s="6"/>
      <c r="AV138" s="6"/>
      <c r="AW138" s="6"/>
      <c r="AX138" s="6"/>
      <c r="AY138" s="6"/>
      <c r="AZ138" s="6"/>
      <c r="BA138" s="6"/>
    </row>
    <row r="139" ht="22.5" customHeight="1">
      <c r="A139" s="7" t="s">
        <v>2105</v>
      </c>
      <c r="B139" s="8" t="s">
        <v>2106</v>
      </c>
      <c r="C139" s="8" t="s">
        <v>2107</v>
      </c>
      <c r="D139" s="9" t="s">
        <v>2108</v>
      </c>
      <c r="E139" s="9" t="s">
        <v>2109</v>
      </c>
      <c r="F139" s="9" t="s">
        <v>2110</v>
      </c>
      <c r="G139" s="6" t="s">
        <v>2111</v>
      </c>
      <c r="H139" s="10" t="b">
        <v>1</v>
      </c>
      <c r="I139" s="11" t="s">
        <v>2112</v>
      </c>
      <c r="J139" s="11" t="s">
        <v>2113</v>
      </c>
      <c r="K139" s="11" t="s">
        <v>2114</v>
      </c>
      <c r="L139" s="11" t="s">
        <v>2112</v>
      </c>
      <c r="M139" s="9" t="s">
        <v>2115</v>
      </c>
      <c r="N139" s="6" t="s">
        <v>57</v>
      </c>
      <c r="O139" s="6" t="s">
        <v>58</v>
      </c>
      <c r="P139" s="6"/>
      <c r="Q139" s="9" t="s">
        <v>59</v>
      </c>
      <c r="R139" s="8" t="s">
        <v>59</v>
      </c>
      <c r="S139" s="10" t="b">
        <v>1</v>
      </c>
      <c r="T139" s="15" t="b">
        <v>0</v>
      </c>
      <c r="U139" s="15" t="b">
        <v>0</v>
      </c>
      <c r="V139" s="8" t="s">
        <v>63</v>
      </c>
      <c r="W139" s="8" t="s">
        <v>104</v>
      </c>
      <c r="X139" s="8" t="s">
        <v>63</v>
      </c>
      <c r="Y139" s="12" t="b">
        <v>0</v>
      </c>
      <c r="Z139" s="10" t="s">
        <v>63</v>
      </c>
      <c r="AA139" s="13" t="s">
        <v>63</v>
      </c>
      <c r="AB139" s="10" t="s">
        <v>63</v>
      </c>
      <c r="AC139" s="10" t="s">
        <v>63</v>
      </c>
      <c r="AD139" s="12" t="b">
        <v>0</v>
      </c>
      <c r="AE139" s="10" t="s">
        <v>63</v>
      </c>
      <c r="AF139" s="13" t="s">
        <v>63</v>
      </c>
      <c r="AG139" s="10" t="s">
        <v>63</v>
      </c>
      <c r="AH139" s="10" t="s">
        <v>63</v>
      </c>
      <c r="AI139" s="12" t="b">
        <v>0</v>
      </c>
      <c r="AJ139" s="10" t="s">
        <v>63</v>
      </c>
      <c r="AK139" s="13" t="s">
        <v>63</v>
      </c>
      <c r="AL139" s="10" t="s">
        <v>63</v>
      </c>
      <c r="AM139" s="10" t="s">
        <v>63</v>
      </c>
      <c r="AN139" s="9" t="b">
        <v>1</v>
      </c>
      <c r="AO139" s="9" t="b">
        <v>0</v>
      </c>
      <c r="AP139" s="14" t="s">
        <v>2116</v>
      </c>
      <c r="AQ139" s="9" t="s">
        <v>65</v>
      </c>
      <c r="AR139" s="9" t="s">
        <v>65</v>
      </c>
      <c r="AS139" s="6"/>
      <c r="AT139" s="6"/>
      <c r="AU139" s="6"/>
      <c r="AV139" s="6"/>
      <c r="AW139" s="6"/>
      <c r="AX139" s="6"/>
      <c r="AY139" s="6"/>
      <c r="AZ139" s="6"/>
      <c r="BA139" s="6"/>
    </row>
    <row r="140" ht="22.5" customHeight="1">
      <c r="A140" s="7" t="s">
        <v>2117</v>
      </c>
      <c r="B140" s="8" t="s">
        <v>2118</v>
      </c>
      <c r="C140" s="8" t="s">
        <v>2119</v>
      </c>
      <c r="D140" s="9" t="s">
        <v>2120</v>
      </c>
      <c r="E140" s="9" t="s">
        <v>2121</v>
      </c>
      <c r="F140" s="9" t="s">
        <v>2122</v>
      </c>
      <c r="G140" s="6" t="s">
        <v>2123</v>
      </c>
      <c r="H140" s="10" t="b">
        <v>1</v>
      </c>
      <c r="I140" s="11" t="s">
        <v>2124</v>
      </c>
      <c r="J140" s="11" t="s">
        <v>2125</v>
      </c>
      <c r="K140" s="11" t="s">
        <v>2126</v>
      </c>
      <c r="L140" s="11" t="s">
        <v>2127</v>
      </c>
      <c r="M140" s="45" t="s">
        <v>512</v>
      </c>
      <c r="N140" s="6" t="s">
        <v>169</v>
      </c>
      <c r="O140" s="6" t="s">
        <v>170</v>
      </c>
      <c r="P140" s="6"/>
      <c r="Q140" s="9" t="s">
        <v>80</v>
      </c>
      <c r="R140" s="8" t="s">
        <v>81</v>
      </c>
      <c r="S140" s="10" t="b">
        <v>0</v>
      </c>
      <c r="T140" s="15" t="b">
        <v>1</v>
      </c>
      <c r="U140" s="15" t="b">
        <v>0</v>
      </c>
      <c r="V140" s="28" t="s">
        <v>2128</v>
      </c>
      <c r="W140" s="9" t="s">
        <v>1331</v>
      </c>
      <c r="X140" s="9" t="s">
        <v>79</v>
      </c>
      <c r="Y140" s="10" t="b">
        <v>1</v>
      </c>
      <c r="Z140" s="12" t="b">
        <v>0</v>
      </c>
      <c r="AA140" s="28" t="s">
        <v>2129</v>
      </c>
      <c r="AB140" s="8" t="s">
        <v>103</v>
      </c>
      <c r="AC140" s="8" t="s">
        <v>86</v>
      </c>
      <c r="AD140" s="10" t="b">
        <v>1</v>
      </c>
      <c r="AE140" s="12" t="b">
        <v>0</v>
      </c>
      <c r="AF140" s="28" t="s">
        <v>2130</v>
      </c>
      <c r="AG140" s="8" t="s">
        <v>103</v>
      </c>
      <c r="AH140" s="8" t="s">
        <v>86</v>
      </c>
      <c r="AI140" s="10" t="b">
        <v>1</v>
      </c>
      <c r="AJ140" s="12" t="b">
        <v>0</v>
      </c>
      <c r="AK140" s="28" t="s">
        <v>2129</v>
      </c>
      <c r="AL140" s="8" t="s">
        <v>103</v>
      </c>
      <c r="AM140" s="8" t="s">
        <v>86</v>
      </c>
      <c r="AN140" s="9" t="b">
        <v>1</v>
      </c>
      <c r="AO140" s="9" t="b">
        <v>0</v>
      </c>
      <c r="AP140" s="14" t="s">
        <v>2131</v>
      </c>
      <c r="AQ140" s="9" t="s">
        <v>65</v>
      </c>
      <c r="AR140" s="9" t="s">
        <v>65</v>
      </c>
      <c r="AS140" s="6"/>
      <c r="AT140" s="6"/>
      <c r="AU140" s="6"/>
      <c r="AV140" s="6"/>
      <c r="AW140" s="6"/>
      <c r="AX140" s="6"/>
      <c r="AY140" s="6"/>
      <c r="AZ140" s="6"/>
      <c r="BA140" s="6"/>
    </row>
    <row r="141" ht="22.5" customHeight="1">
      <c r="A141" s="7" t="s">
        <v>2132</v>
      </c>
      <c r="B141" s="8" t="s">
        <v>2133</v>
      </c>
      <c r="C141" s="8" t="s">
        <v>2134</v>
      </c>
      <c r="D141" s="6" t="s">
        <v>2135</v>
      </c>
      <c r="E141" s="6" t="s">
        <v>2136</v>
      </c>
      <c r="F141" s="6" t="s">
        <v>2137</v>
      </c>
      <c r="G141" s="6" t="s">
        <v>2138</v>
      </c>
      <c r="H141" s="10" t="b">
        <v>0</v>
      </c>
      <c r="I141" s="11" t="s">
        <v>2139</v>
      </c>
      <c r="J141" s="11" t="s">
        <v>2140</v>
      </c>
      <c r="K141" s="11" t="s">
        <v>2141</v>
      </c>
      <c r="L141" s="11" t="s">
        <v>2139</v>
      </c>
      <c r="M141" s="8" t="s">
        <v>2142</v>
      </c>
      <c r="N141" s="6" t="s">
        <v>186</v>
      </c>
      <c r="O141" s="6" t="s">
        <v>58</v>
      </c>
      <c r="P141" s="6"/>
      <c r="Q141" s="8" t="s">
        <v>80</v>
      </c>
      <c r="R141" s="8" t="s">
        <v>81</v>
      </c>
      <c r="S141" s="10" t="b">
        <v>0</v>
      </c>
      <c r="T141" s="15" t="b">
        <v>1</v>
      </c>
      <c r="U141" s="15" t="b">
        <v>1</v>
      </c>
      <c r="V141" s="14" t="s">
        <v>2143</v>
      </c>
      <c r="W141" s="8" t="s">
        <v>268</v>
      </c>
      <c r="X141" s="8" t="s">
        <v>170</v>
      </c>
      <c r="Y141" s="10" t="b">
        <v>1</v>
      </c>
      <c r="Z141" s="15" t="b">
        <v>1</v>
      </c>
      <c r="AA141" s="28" t="s">
        <v>2144</v>
      </c>
      <c r="AB141" s="9" t="s">
        <v>696</v>
      </c>
      <c r="AC141" s="9" t="s">
        <v>62</v>
      </c>
      <c r="AD141" s="12" t="b">
        <v>0</v>
      </c>
      <c r="AE141" s="12" t="b">
        <v>0</v>
      </c>
      <c r="AF141" s="8" t="s">
        <v>63</v>
      </c>
      <c r="AG141" s="52" t="s">
        <v>104</v>
      </c>
      <c r="AH141" s="8" t="s">
        <v>63</v>
      </c>
      <c r="AI141" s="10" t="b">
        <v>1</v>
      </c>
      <c r="AJ141" s="15" t="b">
        <v>1</v>
      </c>
      <c r="AK141" s="28" t="s">
        <v>2144</v>
      </c>
      <c r="AL141" s="9" t="s">
        <v>696</v>
      </c>
      <c r="AM141" s="9" t="s">
        <v>62</v>
      </c>
      <c r="AN141" s="9" t="b">
        <v>1</v>
      </c>
      <c r="AO141" s="9" t="b">
        <v>1</v>
      </c>
      <c r="AP141" s="14" t="s">
        <v>2145</v>
      </c>
      <c r="AQ141" s="9" t="s">
        <v>103</v>
      </c>
      <c r="AR141" s="9" t="s">
        <v>86</v>
      </c>
      <c r="AS141" s="6"/>
      <c r="AT141" s="6"/>
      <c r="AU141" s="6"/>
      <c r="AV141" s="6"/>
      <c r="AW141" s="6"/>
      <c r="AX141" s="6"/>
      <c r="AY141" s="6"/>
      <c r="AZ141" s="6"/>
      <c r="BA141" s="6"/>
    </row>
    <row r="142" ht="22.5" customHeight="1">
      <c r="A142" s="7" t="s">
        <v>2146</v>
      </c>
      <c r="B142" s="8" t="s">
        <v>2147</v>
      </c>
      <c r="C142" s="8" t="s">
        <v>2148</v>
      </c>
      <c r="D142" s="9" t="s">
        <v>2149</v>
      </c>
      <c r="E142" s="9" t="s">
        <v>2150</v>
      </c>
      <c r="F142" s="9" t="s">
        <v>2151</v>
      </c>
      <c r="G142" s="6" t="s">
        <v>2152</v>
      </c>
      <c r="H142" s="10" t="b">
        <v>1</v>
      </c>
      <c r="I142" s="11" t="s">
        <v>2153</v>
      </c>
      <c r="J142" s="11" t="s">
        <v>2154</v>
      </c>
      <c r="K142" s="11" t="s">
        <v>2155</v>
      </c>
      <c r="L142" s="28" t="s">
        <v>2153</v>
      </c>
      <c r="M142" s="8" t="s">
        <v>2156</v>
      </c>
      <c r="N142" s="6" t="s">
        <v>57</v>
      </c>
      <c r="O142" s="6" t="s">
        <v>58</v>
      </c>
      <c r="P142" s="6"/>
      <c r="Q142" s="9" t="s">
        <v>59</v>
      </c>
      <c r="R142" s="8" t="s">
        <v>59</v>
      </c>
      <c r="S142" s="10" t="b">
        <v>0</v>
      </c>
      <c r="T142" s="15" t="b">
        <v>1</v>
      </c>
      <c r="U142" s="15" t="b">
        <v>1</v>
      </c>
      <c r="V142" s="28" t="s">
        <v>2157</v>
      </c>
      <c r="W142" s="9" t="s">
        <v>454</v>
      </c>
      <c r="X142" s="9" t="s">
        <v>62</v>
      </c>
      <c r="Y142" s="12" t="b">
        <v>0</v>
      </c>
      <c r="Z142" s="10" t="s">
        <v>63</v>
      </c>
      <c r="AA142" s="13" t="s">
        <v>63</v>
      </c>
      <c r="AB142" s="10" t="s">
        <v>63</v>
      </c>
      <c r="AC142" s="10" t="s">
        <v>63</v>
      </c>
      <c r="AD142" s="12" t="b">
        <v>0</v>
      </c>
      <c r="AE142" s="10" t="s">
        <v>63</v>
      </c>
      <c r="AF142" s="13" t="s">
        <v>63</v>
      </c>
      <c r="AG142" s="10" t="s">
        <v>63</v>
      </c>
      <c r="AH142" s="10" t="s">
        <v>63</v>
      </c>
      <c r="AI142" s="12" t="b">
        <v>0</v>
      </c>
      <c r="AJ142" s="10" t="s">
        <v>63</v>
      </c>
      <c r="AK142" s="13" t="s">
        <v>63</v>
      </c>
      <c r="AL142" s="10" t="s">
        <v>63</v>
      </c>
      <c r="AM142" s="10" t="s">
        <v>63</v>
      </c>
      <c r="AN142" s="9" t="b">
        <v>1</v>
      </c>
      <c r="AO142" s="9" t="b">
        <v>0</v>
      </c>
      <c r="AP142" s="14" t="s">
        <v>2158</v>
      </c>
      <c r="AQ142" s="9" t="s">
        <v>65</v>
      </c>
      <c r="AR142" s="9" t="s">
        <v>65</v>
      </c>
      <c r="AS142" s="6"/>
      <c r="AT142" s="6"/>
      <c r="AU142" s="6"/>
      <c r="AV142" s="6"/>
      <c r="AW142" s="6"/>
      <c r="AX142" s="6"/>
      <c r="AY142" s="6"/>
      <c r="AZ142" s="6"/>
      <c r="BA142" s="6"/>
    </row>
    <row r="143" ht="22.5" customHeight="1">
      <c r="A143" s="7" t="s">
        <v>2159</v>
      </c>
      <c r="B143" s="8" t="s">
        <v>2160</v>
      </c>
      <c r="C143" s="8" t="s">
        <v>2161</v>
      </c>
      <c r="D143" s="9" t="s">
        <v>2162</v>
      </c>
      <c r="E143" s="9" t="s">
        <v>2163</v>
      </c>
      <c r="F143" s="9" t="s">
        <v>2164</v>
      </c>
      <c r="G143" s="6" t="s">
        <v>2165</v>
      </c>
      <c r="H143" s="10" t="b">
        <v>1</v>
      </c>
      <c r="I143" s="11" t="s">
        <v>2166</v>
      </c>
      <c r="J143" s="11" t="s">
        <v>2167</v>
      </c>
      <c r="K143" s="11" t="s">
        <v>2168</v>
      </c>
      <c r="L143" s="11" t="s">
        <v>2166</v>
      </c>
      <c r="M143" s="6" t="s">
        <v>2169</v>
      </c>
      <c r="N143" s="6" t="s">
        <v>57</v>
      </c>
      <c r="O143" s="6" t="s">
        <v>58</v>
      </c>
      <c r="P143" s="6"/>
      <c r="Q143" s="9" t="s">
        <v>80</v>
      </c>
      <c r="R143" s="6" t="s">
        <v>133</v>
      </c>
      <c r="S143" s="10" t="b">
        <v>0</v>
      </c>
      <c r="T143" s="10" t="b">
        <v>0</v>
      </c>
      <c r="U143" s="15" t="b">
        <v>0</v>
      </c>
      <c r="V143" s="6" t="s">
        <v>63</v>
      </c>
      <c r="W143" s="6" t="s">
        <v>104</v>
      </c>
      <c r="X143" s="6" t="s">
        <v>63</v>
      </c>
      <c r="Y143" s="10" t="b">
        <v>1</v>
      </c>
      <c r="Z143" s="10" t="b">
        <v>1</v>
      </c>
      <c r="AA143" s="11" t="s">
        <v>2170</v>
      </c>
      <c r="AB143" s="9" t="s">
        <v>454</v>
      </c>
      <c r="AC143" s="9" t="s">
        <v>62</v>
      </c>
      <c r="AD143" s="10" t="b">
        <v>1</v>
      </c>
      <c r="AE143" s="10" t="b">
        <v>1</v>
      </c>
      <c r="AF143" s="11" t="s">
        <v>2171</v>
      </c>
      <c r="AG143" s="6" t="s">
        <v>186</v>
      </c>
      <c r="AH143" s="6" t="s">
        <v>58</v>
      </c>
      <c r="AI143" s="10" t="b">
        <v>1</v>
      </c>
      <c r="AJ143" s="10" t="b">
        <v>1</v>
      </c>
      <c r="AK143" s="11" t="s">
        <v>2170</v>
      </c>
      <c r="AL143" s="9" t="s">
        <v>454</v>
      </c>
      <c r="AM143" s="9" t="s">
        <v>62</v>
      </c>
      <c r="AN143" s="9" t="b">
        <v>1</v>
      </c>
      <c r="AO143" s="9" t="b">
        <v>0</v>
      </c>
      <c r="AP143" s="14" t="s">
        <v>2172</v>
      </c>
      <c r="AQ143" s="9" t="s">
        <v>65</v>
      </c>
      <c r="AR143" s="9" t="s">
        <v>65</v>
      </c>
      <c r="AS143" s="6"/>
      <c r="AT143" s="6"/>
      <c r="AU143" s="6"/>
      <c r="AV143" s="6"/>
      <c r="AW143" s="6"/>
      <c r="AX143" s="6"/>
      <c r="AY143" s="6"/>
      <c r="AZ143" s="6"/>
      <c r="BA143" s="6"/>
    </row>
    <row r="144" ht="22.5" customHeight="1">
      <c r="A144" s="7" t="s">
        <v>2173</v>
      </c>
      <c r="B144" s="8" t="s">
        <v>2174</v>
      </c>
      <c r="C144" s="8" t="s">
        <v>2175</v>
      </c>
      <c r="D144" s="9" t="s">
        <v>2176</v>
      </c>
      <c r="E144" s="9" t="s">
        <v>2177</v>
      </c>
      <c r="F144" s="9" t="s">
        <v>2178</v>
      </c>
      <c r="G144" s="6" t="s">
        <v>2179</v>
      </c>
      <c r="H144" s="10" t="b">
        <v>0</v>
      </c>
      <c r="I144" s="11" t="s">
        <v>2180</v>
      </c>
      <c r="J144" s="11" t="s">
        <v>2181</v>
      </c>
      <c r="K144" s="11" t="s">
        <v>2182</v>
      </c>
      <c r="L144" s="11" t="s">
        <v>2181</v>
      </c>
      <c r="M144" s="6" t="s">
        <v>2183</v>
      </c>
      <c r="N144" s="6" t="s">
        <v>169</v>
      </c>
      <c r="O144" s="6" t="s">
        <v>170</v>
      </c>
      <c r="P144" s="6"/>
      <c r="Q144" s="9" t="s">
        <v>80</v>
      </c>
      <c r="R144" s="8" t="s">
        <v>81</v>
      </c>
      <c r="S144" s="10" t="b">
        <v>0</v>
      </c>
      <c r="T144" s="10" t="b">
        <v>0</v>
      </c>
      <c r="U144" s="15" t="b">
        <v>0</v>
      </c>
      <c r="V144" s="8" t="s">
        <v>63</v>
      </c>
      <c r="W144" s="8" t="s">
        <v>104</v>
      </c>
      <c r="X144" s="8" t="s">
        <v>63</v>
      </c>
      <c r="Y144" s="10" t="b">
        <v>1</v>
      </c>
      <c r="Z144" s="10" t="b">
        <v>1</v>
      </c>
      <c r="AA144" s="28" t="s">
        <v>2184</v>
      </c>
      <c r="AB144" s="9" t="s">
        <v>103</v>
      </c>
      <c r="AC144" s="9" t="s">
        <v>86</v>
      </c>
      <c r="AD144" s="10" t="b">
        <v>1</v>
      </c>
      <c r="AE144" s="10" t="b">
        <v>1</v>
      </c>
      <c r="AF144" s="28" t="s">
        <v>2185</v>
      </c>
      <c r="AG144" s="8" t="s">
        <v>268</v>
      </c>
      <c r="AH144" s="8" t="s">
        <v>170</v>
      </c>
      <c r="AI144" s="10" t="b">
        <v>1</v>
      </c>
      <c r="AJ144" s="10" t="b">
        <v>1</v>
      </c>
      <c r="AK144" s="28" t="s">
        <v>2184</v>
      </c>
      <c r="AL144" s="9" t="s">
        <v>103</v>
      </c>
      <c r="AM144" s="9" t="s">
        <v>86</v>
      </c>
      <c r="AN144" s="9" t="b">
        <v>1</v>
      </c>
      <c r="AO144" s="9" t="b">
        <v>1</v>
      </c>
      <c r="AP144" s="14" t="s">
        <v>2186</v>
      </c>
      <c r="AQ144" s="9" t="s">
        <v>103</v>
      </c>
      <c r="AR144" s="9" t="s">
        <v>86</v>
      </c>
      <c r="AS144" s="6"/>
      <c r="AT144" s="6"/>
      <c r="AU144" s="6"/>
      <c r="AV144" s="6"/>
      <c r="AW144" s="6"/>
      <c r="AX144" s="6"/>
      <c r="AY144" s="6"/>
      <c r="AZ144" s="6"/>
      <c r="BA144" s="6"/>
    </row>
    <row r="145" ht="22.5" customHeight="1">
      <c r="A145" s="7" t="s">
        <v>2187</v>
      </c>
      <c r="B145" s="8" t="s">
        <v>2188</v>
      </c>
      <c r="C145" s="8" t="s">
        <v>2189</v>
      </c>
      <c r="D145" s="9" t="s">
        <v>2190</v>
      </c>
      <c r="E145" s="9" t="s">
        <v>2191</v>
      </c>
      <c r="F145" s="9" t="s">
        <v>2192</v>
      </c>
      <c r="G145" s="6" t="s">
        <v>2193</v>
      </c>
      <c r="H145" s="10" t="b">
        <v>1</v>
      </c>
      <c r="I145" s="11" t="s">
        <v>2194</v>
      </c>
      <c r="J145" s="11" t="s">
        <v>2195</v>
      </c>
      <c r="K145" s="11" t="s">
        <v>2196</v>
      </c>
      <c r="L145" s="11" t="s">
        <v>2194</v>
      </c>
      <c r="M145" s="9" t="s">
        <v>2197</v>
      </c>
      <c r="N145" s="6" t="s">
        <v>57</v>
      </c>
      <c r="O145" s="6" t="s">
        <v>58</v>
      </c>
      <c r="P145" s="6"/>
      <c r="Q145" s="9" t="s">
        <v>80</v>
      </c>
      <c r="R145" s="8" t="s">
        <v>1008</v>
      </c>
      <c r="S145" s="10" t="b">
        <v>0</v>
      </c>
      <c r="T145" s="10" t="b">
        <v>1</v>
      </c>
      <c r="U145" s="10" t="b">
        <v>1</v>
      </c>
      <c r="V145" s="11" t="s">
        <v>2198</v>
      </c>
      <c r="W145" s="6" t="s">
        <v>186</v>
      </c>
      <c r="X145" s="6" t="s">
        <v>58</v>
      </c>
      <c r="Y145" s="10" t="b">
        <v>1</v>
      </c>
      <c r="Z145" s="10" t="b">
        <v>1</v>
      </c>
      <c r="AA145" s="28" t="s">
        <v>2199</v>
      </c>
      <c r="AB145" s="8" t="s">
        <v>186</v>
      </c>
      <c r="AC145" s="8" t="s">
        <v>58</v>
      </c>
      <c r="AD145" s="10" t="b">
        <v>1</v>
      </c>
      <c r="AE145" s="15" t="b">
        <v>1</v>
      </c>
      <c r="AF145" s="28" t="s">
        <v>2200</v>
      </c>
      <c r="AG145" s="8" t="s">
        <v>186</v>
      </c>
      <c r="AH145" s="8" t="s">
        <v>58</v>
      </c>
      <c r="AI145" s="10" t="b">
        <v>1</v>
      </c>
      <c r="AJ145" s="15" t="b">
        <v>1</v>
      </c>
      <c r="AK145" s="28" t="s">
        <v>2199</v>
      </c>
      <c r="AL145" s="8" t="s">
        <v>186</v>
      </c>
      <c r="AM145" s="8" t="s">
        <v>58</v>
      </c>
      <c r="AN145" s="9" t="b">
        <v>1</v>
      </c>
      <c r="AO145" s="9" t="b">
        <v>0</v>
      </c>
      <c r="AP145" s="14" t="s">
        <v>2201</v>
      </c>
      <c r="AQ145" s="9" t="s">
        <v>65</v>
      </c>
      <c r="AR145" s="9" t="s">
        <v>65</v>
      </c>
      <c r="AS145" s="6"/>
      <c r="AT145" s="6"/>
      <c r="AU145" s="6"/>
      <c r="AV145" s="6"/>
      <c r="AW145" s="6"/>
      <c r="AX145" s="6"/>
      <c r="AY145" s="6"/>
      <c r="AZ145" s="6"/>
      <c r="BA145" s="6"/>
    </row>
    <row r="146" ht="22.5" customHeight="1">
      <c r="A146" s="7" t="s">
        <v>2202</v>
      </c>
      <c r="B146" s="8" t="s">
        <v>2203</v>
      </c>
      <c r="C146" s="8" t="s">
        <v>2204</v>
      </c>
      <c r="D146" s="9" t="s">
        <v>2205</v>
      </c>
      <c r="E146" s="9" t="s">
        <v>2206</v>
      </c>
      <c r="F146" s="9" t="s">
        <v>2207</v>
      </c>
      <c r="G146" s="6" t="s">
        <v>2208</v>
      </c>
      <c r="H146" s="10" t="b">
        <v>1</v>
      </c>
      <c r="I146" s="11" t="s">
        <v>2209</v>
      </c>
      <c r="J146" s="11" t="s">
        <v>2210</v>
      </c>
      <c r="K146" s="11" t="s">
        <v>2211</v>
      </c>
      <c r="L146" s="11" t="s">
        <v>2209</v>
      </c>
      <c r="M146" s="6" t="s">
        <v>2212</v>
      </c>
      <c r="N146" s="6" t="s">
        <v>57</v>
      </c>
      <c r="O146" s="6" t="s">
        <v>58</v>
      </c>
      <c r="P146" s="6"/>
      <c r="Q146" s="9" t="s">
        <v>80</v>
      </c>
      <c r="R146" s="9" t="s">
        <v>312</v>
      </c>
      <c r="S146" s="10" t="b">
        <v>1</v>
      </c>
      <c r="T146" s="15" t="b">
        <v>1</v>
      </c>
      <c r="U146" s="15" t="b">
        <v>0</v>
      </c>
      <c r="V146" s="28" t="s">
        <v>2213</v>
      </c>
      <c r="W146" s="8" t="s">
        <v>65</v>
      </c>
      <c r="X146" s="8" t="s">
        <v>65</v>
      </c>
      <c r="Y146" s="10" t="b">
        <v>1</v>
      </c>
      <c r="Z146" s="12" t="b">
        <v>0</v>
      </c>
      <c r="AA146" s="28" t="s">
        <v>2214</v>
      </c>
      <c r="AB146" s="9" t="s">
        <v>1993</v>
      </c>
      <c r="AC146" s="9" t="s">
        <v>79</v>
      </c>
      <c r="AD146" s="10" t="b">
        <v>1</v>
      </c>
      <c r="AE146" s="12" t="b">
        <v>0</v>
      </c>
      <c r="AF146" s="28" t="s">
        <v>2215</v>
      </c>
      <c r="AG146" s="8" t="s">
        <v>65</v>
      </c>
      <c r="AH146" s="8" t="s">
        <v>65</v>
      </c>
      <c r="AI146" s="10" t="b">
        <v>1</v>
      </c>
      <c r="AJ146" s="12" t="b">
        <v>0</v>
      </c>
      <c r="AK146" s="28" t="s">
        <v>2214</v>
      </c>
      <c r="AL146" s="9" t="s">
        <v>1993</v>
      </c>
      <c r="AM146" s="9" t="s">
        <v>79</v>
      </c>
      <c r="AN146" s="9" t="b">
        <v>1</v>
      </c>
      <c r="AO146" s="9" t="b">
        <v>0</v>
      </c>
      <c r="AP146" s="14" t="s">
        <v>2216</v>
      </c>
      <c r="AQ146" s="9" t="s">
        <v>65</v>
      </c>
      <c r="AR146" s="9" t="s">
        <v>65</v>
      </c>
      <c r="AS146" s="6"/>
      <c r="AT146" s="6"/>
      <c r="AU146" s="6"/>
      <c r="AV146" s="6"/>
      <c r="AW146" s="6"/>
      <c r="AX146" s="6"/>
      <c r="AY146" s="6"/>
      <c r="AZ146" s="6"/>
      <c r="BA146" s="6"/>
    </row>
    <row r="147" ht="22.5" customHeight="1">
      <c r="A147" s="7" t="s">
        <v>2217</v>
      </c>
      <c r="B147" s="8" t="s">
        <v>2218</v>
      </c>
      <c r="C147" s="8" t="s">
        <v>2219</v>
      </c>
      <c r="D147" s="9" t="s">
        <v>2220</v>
      </c>
      <c r="E147" s="9" t="s">
        <v>2221</v>
      </c>
      <c r="F147" s="9" t="s">
        <v>2222</v>
      </c>
      <c r="G147" s="6" t="s">
        <v>2223</v>
      </c>
      <c r="H147" s="10" t="b">
        <v>1</v>
      </c>
      <c r="I147" s="11" t="s">
        <v>2224</v>
      </c>
      <c r="J147" s="11" t="s">
        <v>2225</v>
      </c>
      <c r="K147" s="11" t="s">
        <v>2226</v>
      </c>
      <c r="L147" s="11" t="s">
        <v>2227</v>
      </c>
      <c r="M147" s="6" t="s">
        <v>2228</v>
      </c>
      <c r="N147" s="8" t="s">
        <v>2229</v>
      </c>
      <c r="O147" s="8" t="s">
        <v>79</v>
      </c>
      <c r="P147" s="8"/>
      <c r="Q147" s="9" t="s">
        <v>80</v>
      </c>
      <c r="R147" s="8" t="s">
        <v>81</v>
      </c>
      <c r="S147" s="15" t="b">
        <v>0</v>
      </c>
      <c r="T147" s="15" t="b">
        <v>1</v>
      </c>
      <c r="U147" s="15" t="b">
        <v>0</v>
      </c>
      <c r="V147" s="28" t="s">
        <v>2230</v>
      </c>
      <c r="W147" s="9" t="s">
        <v>2231</v>
      </c>
      <c r="X147" s="9" t="s">
        <v>469</v>
      </c>
      <c r="Y147" s="10" t="b">
        <v>1</v>
      </c>
      <c r="Z147" s="12" t="b">
        <v>0</v>
      </c>
      <c r="AA147" s="28" t="s">
        <v>2232</v>
      </c>
      <c r="AB147" s="8" t="s">
        <v>65</v>
      </c>
      <c r="AC147" s="8" t="s">
        <v>65</v>
      </c>
      <c r="AD147" s="10" t="b">
        <v>1</v>
      </c>
      <c r="AE147" s="12" t="b">
        <v>0</v>
      </c>
      <c r="AF147" s="28" t="s">
        <v>2233</v>
      </c>
      <c r="AG147" s="8" t="s">
        <v>268</v>
      </c>
      <c r="AH147" s="8" t="s">
        <v>170</v>
      </c>
      <c r="AI147" s="10" t="b">
        <v>1</v>
      </c>
      <c r="AJ147" s="12" t="b">
        <v>0</v>
      </c>
      <c r="AK147" s="28" t="s">
        <v>2234</v>
      </c>
      <c r="AL147" s="9" t="s">
        <v>65</v>
      </c>
      <c r="AM147" s="9" t="s">
        <v>65</v>
      </c>
      <c r="AN147" s="9" t="b">
        <v>1</v>
      </c>
      <c r="AO147" s="9" t="b">
        <v>0</v>
      </c>
      <c r="AP147" s="14" t="s">
        <v>2235</v>
      </c>
      <c r="AQ147" s="9" t="s">
        <v>65</v>
      </c>
      <c r="AR147" s="9" t="s">
        <v>65</v>
      </c>
      <c r="AS147" s="6"/>
      <c r="AT147" s="6"/>
      <c r="AU147" s="6"/>
      <c r="AV147" s="6"/>
      <c r="AW147" s="6"/>
      <c r="AX147" s="6"/>
      <c r="AY147" s="6"/>
      <c r="AZ147" s="6"/>
      <c r="BA147" s="6"/>
    </row>
    <row r="148" ht="22.5" customHeight="1">
      <c r="A148" s="7" t="s">
        <v>2236</v>
      </c>
      <c r="B148" s="8" t="s">
        <v>2237</v>
      </c>
      <c r="C148" s="8" t="s">
        <v>2238</v>
      </c>
      <c r="D148" s="9" t="s">
        <v>2239</v>
      </c>
      <c r="E148" s="9" t="s">
        <v>2240</v>
      </c>
      <c r="F148" s="9" t="s">
        <v>2241</v>
      </c>
      <c r="G148" s="6" t="s">
        <v>2242</v>
      </c>
      <c r="H148" s="10" t="b">
        <v>0</v>
      </c>
      <c r="I148" s="11" t="s">
        <v>2243</v>
      </c>
      <c r="J148" s="11" t="s">
        <v>2244</v>
      </c>
      <c r="K148" s="11" t="s">
        <v>2245</v>
      </c>
      <c r="L148" s="11" t="s">
        <v>2246</v>
      </c>
      <c r="M148" s="6" t="s">
        <v>2247</v>
      </c>
      <c r="N148" s="8" t="s">
        <v>103</v>
      </c>
      <c r="O148" s="8" t="s">
        <v>86</v>
      </c>
      <c r="P148" s="8"/>
      <c r="Q148" s="9" t="s">
        <v>80</v>
      </c>
      <c r="R148" s="9" t="s">
        <v>312</v>
      </c>
      <c r="S148" s="15" t="b">
        <v>0</v>
      </c>
      <c r="T148" s="15" t="b">
        <v>1</v>
      </c>
      <c r="U148" s="15" t="b">
        <v>0</v>
      </c>
      <c r="V148" s="28" t="s">
        <v>2248</v>
      </c>
      <c r="W148" s="8" t="s">
        <v>65</v>
      </c>
      <c r="X148" s="8" t="s">
        <v>65</v>
      </c>
      <c r="Y148" s="10" t="b">
        <v>1</v>
      </c>
      <c r="Z148" s="10" t="b">
        <v>1</v>
      </c>
      <c r="AA148" s="14" t="s">
        <v>2249</v>
      </c>
      <c r="AB148" s="9" t="s">
        <v>135</v>
      </c>
      <c r="AC148" s="9" t="s">
        <v>79</v>
      </c>
      <c r="AD148" s="10" t="b">
        <v>1</v>
      </c>
      <c r="AE148" s="10" t="b">
        <v>0</v>
      </c>
      <c r="AF148" s="28" t="s">
        <v>2250</v>
      </c>
      <c r="AG148" s="8" t="s">
        <v>65</v>
      </c>
      <c r="AH148" s="8" t="s">
        <v>65</v>
      </c>
      <c r="AI148" s="10" t="b">
        <v>1</v>
      </c>
      <c r="AJ148" s="10" t="b">
        <v>1</v>
      </c>
      <c r="AK148" s="14" t="s">
        <v>2249</v>
      </c>
      <c r="AL148" s="9" t="s">
        <v>135</v>
      </c>
      <c r="AM148" s="9" t="s">
        <v>79</v>
      </c>
      <c r="AN148" s="9" t="b">
        <v>1</v>
      </c>
      <c r="AO148" s="9" t="b">
        <v>1</v>
      </c>
      <c r="AP148" s="14" t="s">
        <v>2251</v>
      </c>
      <c r="AQ148" s="9" t="s">
        <v>103</v>
      </c>
      <c r="AR148" s="9" t="s">
        <v>86</v>
      </c>
      <c r="AS148" s="6"/>
      <c r="AT148" s="6"/>
      <c r="AU148" s="6"/>
      <c r="AV148" s="6"/>
      <c r="AW148" s="6"/>
      <c r="AX148" s="6"/>
      <c r="AY148" s="6"/>
      <c r="AZ148" s="6"/>
      <c r="BA148" s="6"/>
    </row>
    <row r="149" ht="22.5" customHeight="1">
      <c r="A149" s="7" t="s">
        <v>2252</v>
      </c>
      <c r="B149" s="8" t="s">
        <v>2253</v>
      </c>
      <c r="C149" s="8" t="s">
        <v>2254</v>
      </c>
      <c r="D149" s="9" t="s">
        <v>2255</v>
      </c>
      <c r="E149" s="9" t="s">
        <v>2256</v>
      </c>
      <c r="F149" s="9" t="s">
        <v>2257</v>
      </c>
      <c r="G149" s="6" t="s">
        <v>2258</v>
      </c>
      <c r="H149" s="10" t="b">
        <v>0</v>
      </c>
      <c r="I149" s="11" t="s">
        <v>2259</v>
      </c>
      <c r="J149" s="11" t="s">
        <v>2260</v>
      </c>
      <c r="K149" s="11" t="s">
        <v>2261</v>
      </c>
      <c r="L149" s="11" t="s">
        <v>2262</v>
      </c>
      <c r="M149" s="17" t="s">
        <v>2263</v>
      </c>
      <c r="N149" s="6" t="s">
        <v>103</v>
      </c>
      <c r="O149" s="6" t="s">
        <v>86</v>
      </c>
      <c r="P149" s="6"/>
      <c r="Q149" s="9" t="s">
        <v>59</v>
      </c>
      <c r="R149" s="6" t="s">
        <v>59</v>
      </c>
      <c r="S149" s="10" t="b">
        <v>0</v>
      </c>
      <c r="T149" s="10" t="b">
        <v>0</v>
      </c>
      <c r="U149" s="12" t="s">
        <v>63</v>
      </c>
      <c r="V149" s="8" t="s">
        <v>63</v>
      </c>
      <c r="W149" s="9" t="s">
        <v>63</v>
      </c>
      <c r="X149" s="8" t="s">
        <v>63</v>
      </c>
      <c r="Y149" s="12" t="b">
        <v>0</v>
      </c>
      <c r="Z149" s="10" t="s">
        <v>63</v>
      </c>
      <c r="AA149" s="13" t="s">
        <v>63</v>
      </c>
      <c r="AB149" s="10" t="s">
        <v>63</v>
      </c>
      <c r="AC149" s="10" t="s">
        <v>63</v>
      </c>
      <c r="AD149" s="12" t="b">
        <v>0</v>
      </c>
      <c r="AE149" s="10" t="s">
        <v>63</v>
      </c>
      <c r="AF149" s="13" t="s">
        <v>63</v>
      </c>
      <c r="AG149" s="10" t="s">
        <v>63</v>
      </c>
      <c r="AH149" s="10" t="s">
        <v>63</v>
      </c>
      <c r="AI149" s="12" t="b">
        <v>0</v>
      </c>
      <c r="AJ149" s="10" t="s">
        <v>63</v>
      </c>
      <c r="AK149" s="13" t="s">
        <v>63</v>
      </c>
      <c r="AL149" s="10" t="s">
        <v>63</v>
      </c>
      <c r="AM149" s="10" t="s">
        <v>63</v>
      </c>
      <c r="AN149" s="9" t="b">
        <v>1</v>
      </c>
      <c r="AO149" s="9" t="b">
        <v>0</v>
      </c>
      <c r="AP149" s="14" t="s">
        <v>2264</v>
      </c>
      <c r="AQ149" s="9" t="s">
        <v>65</v>
      </c>
      <c r="AR149" s="9" t="s">
        <v>65</v>
      </c>
      <c r="AS149" s="6"/>
      <c r="AT149" s="6"/>
      <c r="AU149" s="6"/>
      <c r="AV149" s="6"/>
      <c r="AW149" s="6"/>
      <c r="AX149" s="6"/>
      <c r="AY149" s="6"/>
      <c r="AZ149" s="6"/>
      <c r="BA149" s="6"/>
    </row>
    <row r="150" ht="22.5" customHeight="1">
      <c r="A150" s="7" t="s">
        <v>2265</v>
      </c>
      <c r="B150" s="8" t="s">
        <v>2266</v>
      </c>
      <c r="C150" s="8" t="s">
        <v>2267</v>
      </c>
      <c r="D150" s="9" t="s">
        <v>2268</v>
      </c>
      <c r="E150" s="9" t="s">
        <v>2269</v>
      </c>
      <c r="F150" s="9" t="s">
        <v>2270</v>
      </c>
      <c r="G150" s="6" t="s">
        <v>1057</v>
      </c>
      <c r="H150" s="10" t="b">
        <v>1</v>
      </c>
      <c r="I150" s="11" t="s">
        <v>2271</v>
      </c>
      <c r="J150" s="11" t="s">
        <v>2272</v>
      </c>
      <c r="K150" s="11" t="s">
        <v>2273</v>
      </c>
      <c r="L150" s="11" t="s">
        <v>2274</v>
      </c>
      <c r="M150" s="6" t="s">
        <v>2275</v>
      </c>
      <c r="N150" s="6" t="s">
        <v>2276</v>
      </c>
      <c r="O150" s="6" t="s">
        <v>469</v>
      </c>
      <c r="P150" s="6"/>
      <c r="Q150" s="9" t="s">
        <v>59</v>
      </c>
      <c r="R150" s="8" t="s">
        <v>59</v>
      </c>
      <c r="S150" s="10" t="b">
        <v>0</v>
      </c>
      <c r="T150" s="10" t="b">
        <v>0</v>
      </c>
      <c r="U150" s="15" t="b">
        <v>0</v>
      </c>
      <c r="V150" s="8" t="s">
        <v>63</v>
      </c>
      <c r="W150" s="8" t="s">
        <v>104</v>
      </c>
      <c r="X150" s="8" t="s">
        <v>63</v>
      </c>
      <c r="Y150" s="12" t="b">
        <v>0</v>
      </c>
      <c r="Z150" s="10" t="s">
        <v>63</v>
      </c>
      <c r="AA150" s="13" t="s">
        <v>63</v>
      </c>
      <c r="AB150" s="10" t="s">
        <v>63</v>
      </c>
      <c r="AC150" s="10" t="s">
        <v>63</v>
      </c>
      <c r="AD150" s="12" t="b">
        <v>0</v>
      </c>
      <c r="AE150" s="10" t="s">
        <v>63</v>
      </c>
      <c r="AF150" s="13" t="s">
        <v>63</v>
      </c>
      <c r="AG150" s="10" t="s">
        <v>63</v>
      </c>
      <c r="AH150" s="10" t="s">
        <v>63</v>
      </c>
      <c r="AI150" s="12" t="b">
        <v>0</v>
      </c>
      <c r="AJ150" s="10" t="s">
        <v>63</v>
      </c>
      <c r="AK150" s="13" t="s">
        <v>63</v>
      </c>
      <c r="AL150" s="10" t="s">
        <v>63</v>
      </c>
      <c r="AM150" s="10" t="s">
        <v>63</v>
      </c>
      <c r="AN150" s="9" t="b">
        <v>1</v>
      </c>
      <c r="AO150" s="9" t="b">
        <v>0</v>
      </c>
      <c r="AP150" s="14" t="s">
        <v>2277</v>
      </c>
      <c r="AQ150" s="9" t="s">
        <v>65</v>
      </c>
      <c r="AR150" s="9" t="s">
        <v>65</v>
      </c>
      <c r="AS150" s="6"/>
      <c r="AT150" s="6"/>
      <c r="AU150" s="6"/>
      <c r="AV150" s="6"/>
      <c r="AW150" s="6"/>
      <c r="AX150" s="6"/>
      <c r="AY150" s="6"/>
      <c r="AZ150" s="6"/>
      <c r="BA150" s="6"/>
    </row>
    <row r="151" ht="22.5" customHeight="1">
      <c r="A151" s="7" t="s">
        <v>2278</v>
      </c>
      <c r="B151" s="8" t="s">
        <v>2279</v>
      </c>
      <c r="C151" s="8" t="s">
        <v>2280</v>
      </c>
      <c r="D151" s="6" t="s">
        <v>2281</v>
      </c>
      <c r="E151" s="6" t="s">
        <v>2282</v>
      </c>
      <c r="F151" s="6" t="s">
        <v>2283</v>
      </c>
      <c r="G151" s="6" t="s">
        <v>2284</v>
      </c>
      <c r="H151" s="10" t="b">
        <v>1</v>
      </c>
      <c r="I151" s="11" t="s">
        <v>2285</v>
      </c>
      <c r="J151" s="11" t="s">
        <v>2286</v>
      </c>
      <c r="K151" s="11" t="s">
        <v>2287</v>
      </c>
      <c r="L151" s="11" t="s">
        <v>2288</v>
      </c>
      <c r="M151" s="9" t="s">
        <v>512</v>
      </c>
      <c r="N151" s="6" t="s">
        <v>103</v>
      </c>
      <c r="O151" s="6" t="s">
        <v>86</v>
      </c>
      <c r="P151" s="6"/>
      <c r="Q151" s="8" t="s">
        <v>80</v>
      </c>
      <c r="R151" s="8" t="s">
        <v>81</v>
      </c>
      <c r="S151" s="15" t="b">
        <v>0</v>
      </c>
      <c r="T151" s="15" t="b">
        <v>1</v>
      </c>
      <c r="U151" s="15" t="b">
        <v>1</v>
      </c>
      <c r="V151" s="28" t="s">
        <v>2289</v>
      </c>
      <c r="W151" s="9" t="s">
        <v>1331</v>
      </c>
      <c r="X151" s="9" t="s">
        <v>79</v>
      </c>
      <c r="Y151" s="10" t="b">
        <v>1</v>
      </c>
      <c r="Z151" s="15" t="b">
        <v>1</v>
      </c>
      <c r="AA151" s="28" t="s">
        <v>2290</v>
      </c>
      <c r="AB151" s="8" t="s">
        <v>103</v>
      </c>
      <c r="AC151" s="8" t="s">
        <v>86</v>
      </c>
      <c r="AD151" s="10" t="b">
        <v>1</v>
      </c>
      <c r="AE151" s="15" t="b">
        <v>1</v>
      </c>
      <c r="AF151" s="14" t="s">
        <v>2291</v>
      </c>
      <c r="AG151" s="8" t="s">
        <v>103</v>
      </c>
      <c r="AH151" s="8" t="s">
        <v>86</v>
      </c>
      <c r="AI151" s="10" t="b">
        <v>1</v>
      </c>
      <c r="AJ151" s="15" t="b">
        <v>1</v>
      </c>
      <c r="AK151" s="14" t="s">
        <v>2291</v>
      </c>
      <c r="AL151" s="8" t="s">
        <v>103</v>
      </c>
      <c r="AM151" s="8" t="s">
        <v>86</v>
      </c>
      <c r="AN151" s="9" t="b">
        <v>1</v>
      </c>
      <c r="AO151" s="9" t="b">
        <v>0</v>
      </c>
      <c r="AP151" s="14" t="s">
        <v>2292</v>
      </c>
      <c r="AQ151" s="9" t="s">
        <v>65</v>
      </c>
      <c r="AR151" s="9" t="s">
        <v>65</v>
      </c>
      <c r="AS151" s="6"/>
      <c r="AT151" s="6"/>
      <c r="AU151" s="6"/>
      <c r="AV151" s="6"/>
      <c r="AW151" s="6"/>
      <c r="AX151" s="6"/>
      <c r="AY151" s="6"/>
      <c r="AZ151" s="6"/>
      <c r="BA151" s="6"/>
    </row>
    <row r="152" ht="22.5" customHeight="1">
      <c r="A152" s="7" t="s">
        <v>2293</v>
      </c>
      <c r="B152" s="8" t="s">
        <v>2294</v>
      </c>
      <c r="C152" s="8" t="s">
        <v>2295</v>
      </c>
      <c r="D152" s="9" t="s">
        <v>2296</v>
      </c>
      <c r="E152" s="9" t="s">
        <v>2297</v>
      </c>
      <c r="F152" s="9" t="s">
        <v>2298</v>
      </c>
      <c r="G152" s="6" t="s">
        <v>2299</v>
      </c>
      <c r="H152" s="10" t="b">
        <v>1</v>
      </c>
      <c r="I152" s="11" t="s">
        <v>2300</v>
      </c>
      <c r="J152" s="11" t="s">
        <v>2301</v>
      </c>
      <c r="K152" s="11" t="s">
        <v>2302</v>
      </c>
      <c r="L152" s="11" t="s">
        <v>2303</v>
      </c>
      <c r="M152" s="6" t="s">
        <v>2304</v>
      </c>
      <c r="N152" s="6" t="s">
        <v>103</v>
      </c>
      <c r="O152" s="6" t="s">
        <v>86</v>
      </c>
      <c r="P152" s="6"/>
      <c r="Q152" s="9" t="s">
        <v>80</v>
      </c>
      <c r="R152" s="8" t="s">
        <v>133</v>
      </c>
      <c r="S152" s="10" t="b">
        <v>0</v>
      </c>
      <c r="T152" s="10" t="b">
        <v>0</v>
      </c>
      <c r="U152" s="15" t="b">
        <v>0</v>
      </c>
      <c r="V152" s="8" t="s">
        <v>63</v>
      </c>
      <c r="W152" s="8" t="s">
        <v>104</v>
      </c>
      <c r="X152" s="8" t="s">
        <v>63</v>
      </c>
      <c r="Y152" s="10" t="b">
        <v>1</v>
      </c>
      <c r="Z152" s="10" t="b">
        <v>1</v>
      </c>
      <c r="AA152" s="28" t="s">
        <v>2305</v>
      </c>
      <c r="AB152" s="9" t="s">
        <v>135</v>
      </c>
      <c r="AC152" s="9" t="s">
        <v>79</v>
      </c>
      <c r="AD152" s="10" t="b">
        <v>1</v>
      </c>
      <c r="AE152" s="9" t="b">
        <v>0</v>
      </c>
      <c r="AF152" s="28" t="s">
        <v>2306</v>
      </c>
      <c r="AG152" s="8" t="s">
        <v>65</v>
      </c>
      <c r="AH152" s="8" t="s">
        <v>65</v>
      </c>
      <c r="AI152" s="10" t="b">
        <v>1</v>
      </c>
      <c r="AJ152" s="10" t="b">
        <v>1</v>
      </c>
      <c r="AK152" s="28" t="s">
        <v>2305</v>
      </c>
      <c r="AL152" s="9" t="s">
        <v>135</v>
      </c>
      <c r="AM152" s="9" t="s">
        <v>79</v>
      </c>
      <c r="AN152" s="9" t="b">
        <v>1</v>
      </c>
      <c r="AO152" s="9" t="b">
        <v>0</v>
      </c>
      <c r="AP152" s="14" t="s">
        <v>2307</v>
      </c>
      <c r="AQ152" s="9" t="s">
        <v>65</v>
      </c>
      <c r="AR152" s="9" t="s">
        <v>65</v>
      </c>
      <c r="AS152" s="6"/>
      <c r="AT152" s="6"/>
      <c r="AU152" s="6"/>
      <c r="AV152" s="6"/>
      <c r="AW152" s="6"/>
      <c r="AX152" s="6"/>
      <c r="AY152" s="6"/>
      <c r="AZ152" s="6"/>
      <c r="BA152" s="6"/>
    </row>
    <row r="153" ht="22.5" customHeight="1">
      <c r="A153" s="7" t="s">
        <v>2308</v>
      </c>
      <c r="B153" s="8" t="s">
        <v>2309</v>
      </c>
      <c r="C153" s="8" t="s">
        <v>2310</v>
      </c>
      <c r="D153" s="9" t="s">
        <v>2311</v>
      </c>
      <c r="E153" s="9" t="s">
        <v>2312</v>
      </c>
      <c r="F153" s="9" t="s">
        <v>2313</v>
      </c>
      <c r="G153" s="6" t="s">
        <v>2314</v>
      </c>
      <c r="H153" s="10" t="b">
        <v>1</v>
      </c>
      <c r="I153" s="11" t="s">
        <v>2315</v>
      </c>
      <c r="J153" s="11" t="s">
        <v>2316</v>
      </c>
      <c r="K153" s="11" t="s">
        <v>2317</v>
      </c>
      <c r="L153" s="11" t="s">
        <v>2318</v>
      </c>
      <c r="M153" s="9" t="s">
        <v>2319</v>
      </c>
      <c r="N153" s="9" t="s">
        <v>2320</v>
      </c>
      <c r="O153" s="6" t="s">
        <v>79</v>
      </c>
      <c r="P153" s="6"/>
      <c r="Q153" s="9" t="s">
        <v>80</v>
      </c>
      <c r="R153" s="6" t="s">
        <v>133</v>
      </c>
      <c r="S153" s="10" t="b">
        <v>0</v>
      </c>
      <c r="T153" s="10" t="b">
        <v>1</v>
      </c>
      <c r="U153" s="15" t="b">
        <v>0</v>
      </c>
      <c r="V153" s="11" t="s">
        <v>2321</v>
      </c>
      <c r="W153" s="9" t="s">
        <v>1959</v>
      </c>
      <c r="X153" s="9" t="s">
        <v>79</v>
      </c>
      <c r="Y153" s="10" t="b">
        <v>1</v>
      </c>
      <c r="Z153" s="10" t="b">
        <v>0</v>
      </c>
      <c r="AA153" s="11" t="s">
        <v>2322</v>
      </c>
      <c r="AB153" s="9" t="s">
        <v>135</v>
      </c>
      <c r="AC153" s="9" t="s">
        <v>79</v>
      </c>
      <c r="AD153" s="10" t="b">
        <v>1</v>
      </c>
      <c r="AE153" s="10" t="b">
        <v>0</v>
      </c>
      <c r="AF153" s="11" t="s">
        <v>2323</v>
      </c>
      <c r="AG153" s="6" t="s">
        <v>103</v>
      </c>
      <c r="AH153" s="6" t="s">
        <v>86</v>
      </c>
      <c r="AI153" s="10" t="b">
        <v>1</v>
      </c>
      <c r="AJ153" s="10" t="b">
        <v>0</v>
      </c>
      <c r="AK153" s="11" t="s">
        <v>2322</v>
      </c>
      <c r="AL153" s="9" t="s">
        <v>135</v>
      </c>
      <c r="AM153" s="9" t="s">
        <v>79</v>
      </c>
      <c r="AN153" s="9" t="b">
        <v>1</v>
      </c>
      <c r="AO153" s="9" t="b">
        <v>0</v>
      </c>
      <c r="AP153" s="14" t="s">
        <v>2324</v>
      </c>
      <c r="AQ153" s="9" t="s">
        <v>65</v>
      </c>
      <c r="AR153" s="9" t="s">
        <v>65</v>
      </c>
      <c r="AS153" s="6"/>
      <c r="AT153" s="6"/>
      <c r="AU153" s="6"/>
      <c r="AV153" s="6"/>
      <c r="AW153" s="6"/>
      <c r="AX153" s="6"/>
      <c r="AY153" s="6"/>
      <c r="AZ153" s="6"/>
      <c r="BA153" s="6"/>
    </row>
    <row r="154" ht="22.5" customHeight="1">
      <c r="A154" s="7" t="s">
        <v>2325</v>
      </c>
      <c r="B154" s="8" t="s">
        <v>2326</v>
      </c>
      <c r="C154" s="8" t="s">
        <v>2327</v>
      </c>
      <c r="D154" s="9" t="s">
        <v>2328</v>
      </c>
      <c r="E154" s="9" t="s">
        <v>2329</v>
      </c>
      <c r="F154" s="9" t="s">
        <v>2330</v>
      </c>
      <c r="G154" s="6" t="s">
        <v>2331</v>
      </c>
      <c r="H154" s="10" t="b">
        <v>1</v>
      </c>
      <c r="I154" s="11" t="s">
        <v>2332</v>
      </c>
      <c r="J154" s="11" t="s">
        <v>2333</v>
      </c>
      <c r="K154" s="11" t="s">
        <v>2334</v>
      </c>
      <c r="L154" s="11" t="s">
        <v>2332</v>
      </c>
      <c r="M154" s="9" t="s">
        <v>2335</v>
      </c>
      <c r="N154" s="17" t="s">
        <v>57</v>
      </c>
      <c r="O154" s="6" t="s">
        <v>58</v>
      </c>
      <c r="P154" s="6"/>
      <c r="Q154" s="9" t="s">
        <v>59</v>
      </c>
      <c r="R154" s="6" t="s">
        <v>59</v>
      </c>
      <c r="S154" s="10" t="b">
        <v>0</v>
      </c>
      <c r="T154" s="10" t="b">
        <v>0</v>
      </c>
      <c r="U154" s="15" t="b">
        <v>0</v>
      </c>
      <c r="V154" s="8" t="s">
        <v>63</v>
      </c>
      <c r="W154" s="8" t="s">
        <v>104</v>
      </c>
      <c r="X154" s="8" t="s">
        <v>63</v>
      </c>
      <c r="Y154" s="12" t="b">
        <v>0</v>
      </c>
      <c r="Z154" s="10" t="s">
        <v>63</v>
      </c>
      <c r="AA154" s="13" t="s">
        <v>63</v>
      </c>
      <c r="AB154" s="10" t="s">
        <v>63</v>
      </c>
      <c r="AC154" s="10" t="s">
        <v>63</v>
      </c>
      <c r="AD154" s="12" t="b">
        <v>0</v>
      </c>
      <c r="AE154" s="10" t="s">
        <v>63</v>
      </c>
      <c r="AF154" s="13" t="s">
        <v>63</v>
      </c>
      <c r="AG154" s="10" t="s">
        <v>63</v>
      </c>
      <c r="AH154" s="10" t="s">
        <v>63</v>
      </c>
      <c r="AI154" s="12" t="b">
        <v>0</v>
      </c>
      <c r="AJ154" s="10" t="s">
        <v>63</v>
      </c>
      <c r="AK154" s="13" t="s">
        <v>63</v>
      </c>
      <c r="AL154" s="10" t="s">
        <v>63</v>
      </c>
      <c r="AM154" s="10" t="s">
        <v>63</v>
      </c>
      <c r="AN154" s="9" t="b">
        <v>1</v>
      </c>
      <c r="AO154" s="9" t="b">
        <v>0</v>
      </c>
      <c r="AP154" s="14" t="s">
        <v>2336</v>
      </c>
      <c r="AQ154" s="9" t="s">
        <v>65</v>
      </c>
      <c r="AR154" s="9" t="s">
        <v>65</v>
      </c>
      <c r="AS154" s="6"/>
      <c r="AT154" s="6"/>
      <c r="AU154" s="6"/>
      <c r="AV154" s="6"/>
      <c r="AW154" s="6"/>
      <c r="AX154" s="6"/>
      <c r="AY154" s="6"/>
      <c r="AZ154" s="6"/>
      <c r="BA154" s="6"/>
    </row>
    <row r="155" ht="22.5" customHeight="1">
      <c r="A155" s="7" t="s">
        <v>2337</v>
      </c>
      <c r="B155" s="8" t="s">
        <v>2338</v>
      </c>
      <c r="C155" s="8" t="s">
        <v>2339</v>
      </c>
      <c r="D155" s="9" t="s">
        <v>2340</v>
      </c>
      <c r="E155" s="9" t="s">
        <v>2341</v>
      </c>
      <c r="F155" s="9" t="s">
        <v>2342</v>
      </c>
      <c r="G155" s="6" t="s">
        <v>2343</v>
      </c>
      <c r="H155" s="10" t="b">
        <v>0</v>
      </c>
      <c r="I155" s="11" t="s">
        <v>2344</v>
      </c>
      <c r="J155" s="11" t="s">
        <v>2345</v>
      </c>
      <c r="K155" s="11" t="s">
        <v>2346</v>
      </c>
      <c r="L155" s="11" t="s">
        <v>2345</v>
      </c>
      <c r="M155" s="6" t="s">
        <v>2347</v>
      </c>
      <c r="N155" s="6" t="s">
        <v>169</v>
      </c>
      <c r="O155" s="6" t="s">
        <v>170</v>
      </c>
      <c r="P155" s="6"/>
      <c r="Q155" s="9" t="s">
        <v>80</v>
      </c>
      <c r="R155" s="9" t="s">
        <v>312</v>
      </c>
      <c r="S155" s="10" t="b">
        <v>0</v>
      </c>
      <c r="T155" s="15" t="b">
        <v>1</v>
      </c>
      <c r="U155" s="15" t="b">
        <v>0</v>
      </c>
      <c r="V155" s="28" t="s">
        <v>2348</v>
      </c>
      <c r="W155" s="8" t="s">
        <v>65</v>
      </c>
      <c r="X155" s="8" t="s">
        <v>65</v>
      </c>
      <c r="Y155" s="10" t="b">
        <v>1</v>
      </c>
      <c r="Z155" s="10" t="b">
        <v>0</v>
      </c>
      <c r="AA155" s="11" t="s">
        <v>2349</v>
      </c>
      <c r="AB155" s="9" t="s">
        <v>2350</v>
      </c>
      <c r="AC155" s="9" t="s">
        <v>79</v>
      </c>
      <c r="AD155" s="10" t="b">
        <v>1</v>
      </c>
      <c r="AE155" s="10" t="b">
        <v>0</v>
      </c>
      <c r="AF155" s="11" t="s">
        <v>2351</v>
      </c>
      <c r="AG155" s="6" t="s">
        <v>65</v>
      </c>
      <c r="AH155" s="6" t="s">
        <v>65</v>
      </c>
      <c r="AI155" s="10" t="b">
        <v>1</v>
      </c>
      <c r="AJ155" s="10" t="b">
        <v>0</v>
      </c>
      <c r="AK155" s="11" t="s">
        <v>2349</v>
      </c>
      <c r="AL155" s="9" t="s">
        <v>2350</v>
      </c>
      <c r="AM155" s="9" t="s">
        <v>79</v>
      </c>
      <c r="AN155" s="9" t="b">
        <v>1</v>
      </c>
      <c r="AO155" s="9" t="b">
        <v>0</v>
      </c>
      <c r="AP155" s="14" t="s">
        <v>2352</v>
      </c>
      <c r="AQ155" s="9" t="s">
        <v>65</v>
      </c>
      <c r="AR155" s="9" t="s">
        <v>65</v>
      </c>
      <c r="AS155" s="6"/>
      <c r="AT155" s="6"/>
      <c r="AU155" s="6"/>
      <c r="AV155" s="6"/>
      <c r="AW155" s="6"/>
      <c r="AX155" s="6"/>
      <c r="AY155" s="6"/>
      <c r="AZ155" s="6"/>
      <c r="BA155" s="6"/>
    </row>
    <row r="156" ht="22.5" customHeight="1">
      <c r="A156" s="7" t="s">
        <v>2353</v>
      </c>
      <c r="B156" s="8" t="s">
        <v>2354</v>
      </c>
      <c r="C156" s="8" t="s">
        <v>2355</v>
      </c>
      <c r="D156" s="9" t="s">
        <v>2356</v>
      </c>
      <c r="E156" s="9" t="s">
        <v>2357</v>
      </c>
      <c r="F156" s="9" t="s">
        <v>2358</v>
      </c>
      <c r="G156" s="6" t="s">
        <v>2359</v>
      </c>
      <c r="H156" s="10" t="b">
        <v>1</v>
      </c>
      <c r="I156" s="11" t="s">
        <v>2360</v>
      </c>
      <c r="J156" s="11" t="s">
        <v>2361</v>
      </c>
      <c r="K156" s="11" t="s">
        <v>2362</v>
      </c>
      <c r="L156" s="11" t="s">
        <v>2360</v>
      </c>
      <c r="M156" s="42" t="s">
        <v>2363</v>
      </c>
      <c r="N156" s="6" t="s">
        <v>57</v>
      </c>
      <c r="O156" s="6" t="s">
        <v>58</v>
      </c>
      <c r="P156" s="6"/>
      <c r="Q156" s="9" t="s">
        <v>80</v>
      </c>
      <c r="R156" s="9" t="s">
        <v>312</v>
      </c>
      <c r="S156" s="10" t="b">
        <v>0</v>
      </c>
      <c r="T156" s="15" t="b">
        <v>1</v>
      </c>
      <c r="U156" s="15" t="b">
        <v>0</v>
      </c>
      <c r="V156" s="28" t="s">
        <v>2364</v>
      </c>
      <c r="W156" s="8" t="s">
        <v>65</v>
      </c>
      <c r="X156" s="8" t="s">
        <v>65</v>
      </c>
      <c r="Y156" s="10" t="b">
        <v>1</v>
      </c>
      <c r="Z156" s="15" t="b">
        <v>0</v>
      </c>
      <c r="AA156" s="28" t="s">
        <v>2365</v>
      </c>
      <c r="AB156" s="8" t="s">
        <v>65</v>
      </c>
      <c r="AC156" s="8" t="s">
        <v>65</v>
      </c>
      <c r="AD156" s="10" t="b">
        <v>1</v>
      </c>
      <c r="AE156" s="15" t="b">
        <v>0</v>
      </c>
      <c r="AF156" s="28" t="s">
        <v>2366</v>
      </c>
      <c r="AG156" s="8" t="s">
        <v>65</v>
      </c>
      <c r="AH156" s="8" t="s">
        <v>65</v>
      </c>
      <c r="AI156" s="10" t="b">
        <v>1</v>
      </c>
      <c r="AJ156" s="15" t="b">
        <v>0</v>
      </c>
      <c r="AK156" s="28" t="s">
        <v>2365</v>
      </c>
      <c r="AL156" s="8" t="s">
        <v>65</v>
      </c>
      <c r="AM156" s="24" t="s">
        <v>65</v>
      </c>
      <c r="AN156" s="9" t="b">
        <v>1</v>
      </c>
      <c r="AO156" s="9" t="b">
        <v>0</v>
      </c>
      <c r="AP156" s="14" t="s">
        <v>2367</v>
      </c>
      <c r="AQ156" s="9" t="s">
        <v>65</v>
      </c>
      <c r="AR156" s="9" t="s">
        <v>65</v>
      </c>
      <c r="AS156" s="6"/>
      <c r="AT156" s="6"/>
      <c r="AU156" s="6"/>
      <c r="AV156" s="6"/>
      <c r="AW156" s="6"/>
      <c r="AX156" s="6"/>
      <c r="AY156" s="6"/>
      <c r="AZ156" s="6"/>
      <c r="BA156" s="6"/>
    </row>
    <row r="157" ht="22.5" customHeight="1">
      <c r="A157" s="7" t="s">
        <v>2368</v>
      </c>
      <c r="B157" s="8" t="s">
        <v>2369</v>
      </c>
      <c r="C157" s="8" t="s">
        <v>2370</v>
      </c>
      <c r="D157" s="9" t="s">
        <v>2371</v>
      </c>
      <c r="E157" s="9" t="s">
        <v>2372</v>
      </c>
      <c r="F157" s="9" t="s">
        <v>2373</v>
      </c>
      <c r="G157" s="6" t="s">
        <v>1057</v>
      </c>
      <c r="H157" s="10" t="b">
        <v>1</v>
      </c>
      <c r="I157" s="11" t="s">
        <v>2374</v>
      </c>
      <c r="J157" s="11" t="s">
        <v>2375</v>
      </c>
      <c r="K157" s="11" t="s">
        <v>2376</v>
      </c>
      <c r="L157" s="11" t="s">
        <v>2374</v>
      </c>
      <c r="M157" s="8" t="s">
        <v>2377</v>
      </c>
      <c r="N157" s="6" t="s">
        <v>57</v>
      </c>
      <c r="O157" s="6" t="s">
        <v>58</v>
      </c>
      <c r="P157" s="6"/>
      <c r="Q157" s="9" t="s">
        <v>59</v>
      </c>
      <c r="R157" s="8" t="s">
        <v>59</v>
      </c>
      <c r="S157" s="10" t="b">
        <v>0</v>
      </c>
      <c r="T157" s="10" t="b">
        <v>0</v>
      </c>
      <c r="U157" s="12" t="b">
        <v>0</v>
      </c>
      <c r="V157" s="6" t="s">
        <v>63</v>
      </c>
      <c r="W157" s="6" t="s">
        <v>104</v>
      </c>
      <c r="X157" s="6" t="s">
        <v>63</v>
      </c>
      <c r="Y157" s="12" t="b">
        <v>0</v>
      </c>
      <c r="Z157" s="10" t="s">
        <v>63</v>
      </c>
      <c r="AA157" s="13" t="s">
        <v>63</v>
      </c>
      <c r="AB157" s="10" t="s">
        <v>63</v>
      </c>
      <c r="AC157" s="10" t="s">
        <v>63</v>
      </c>
      <c r="AD157" s="12" t="b">
        <v>0</v>
      </c>
      <c r="AE157" s="10" t="s">
        <v>63</v>
      </c>
      <c r="AF157" s="13" t="s">
        <v>63</v>
      </c>
      <c r="AG157" s="10" t="s">
        <v>63</v>
      </c>
      <c r="AH157" s="10" t="s">
        <v>63</v>
      </c>
      <c r="AI157" s="12" t="b">
        <v>0</v>
      </c>
      <c r="AJ157" s="10" t="s">
        <v>63</v>
      </c>
      <c r="AK157" s="13" t="s">
        <v>63</v>
      </c>
      <c r="AL157" s="10" t="s">
        <v>63</v>
      </c>
      <c r="AM157" s="10" t="s">
        <v>63</v>
      </c>
      <c r="AN157" s="9" t="b">
        <v>0</v>
      </c>
      <c r="AO157" s="12" t="s">
        <v>63</v>
      </c>
      <c r="AP157" s="12" t="s">
        <v>63</v>
      </c>
      <c r="AQ157" s="12" t="s">
        <v>63</v>
      </c>
      <c r="AR157" s="12" t="s">
        <v>63</v>
      </c>
      <c r="AS157" s="6"/>
      <c r="AT157" s="6"/>
      <c r="AU157" s="6"/>
      <c r="AV157" s="6"/>
      <c r="AW157" s="6"/>
      <c r="AX157" s="6"/>
      <c r="AY157" s="6"/>
      <c r="AZ157" s="6"/>
      <c r="BA157" s="6"/>
    </row>
    <row r="158" ht="22.5" customHeight="1">
      <c r="A158" s="7" t="s">
        <v>2378</v>
      </c>
      <c r="B158" s="8" t="s">
        <v>2379</v>
      </c>
      <c r="C158" s="8" t="s">
        <v>2380</v>
      </c>
      <c r="D158" s="9" t="s">
        <v>2381</v>
      </c>
      <c r="E158" s="9" t="s">
        <v>2382</v>
      </c>
      <c r="F158" s="9" t="s">
        <v>2383</v>
      </c>
      <c r="G158" s="6" t="s">
        <v>2384</v>
      </c>
      <c r="H158" s="10" t="b">
        <v>0</v>
      </c>
      <c r="I158" s="11" t="s">
        <v>2385</v>
      </c>
      <c r="J158" s="11" t="s">
        <v>2386</v>
      </c>
      <c r="K158" s="11" t="s">
        <v>2387</v>
      </c>
      <c r="L158" s="6" t="s">
        <v>2388</v>
      </c>
      <c r="M158" s="53" t="s">
        <v>2389</v>
      </c>
      <c r="N158" s="17" t="s">
        <v>2390</v>
      </c>
      <c r="O158" s="6" t="s">
        <v>189</v>
      </c>
      <c r="P158" s="6"/>
      <c r="Q158" s="9" t="s">
        <v>80</v>
      </c>
      <c r="R158" s="8" t="s">
        <v>81</v>
      </c>
      <c r="S158" s="10" t="b">
        <v>1</v>
      </c>
      <c r="T158" s="15" t="b">
        <v>1</v>
      </c>
      <c r="U158" s="15" t="b">
        <v>0</v>
      </c>
      <c r="V158" s="14" t="s">
        <v>2391</v>
      </c>
      <c r="W158" s="8" t="s">
        <v>268</v>
      </c>
      <c r="X158" s="8" t="s">
        <v>170</v>
      </c>
      <c r="Y158" s="10" t="b">
        <v>1</v>
      </c>
      <c r="Z158" s="10" t="b">
        <v>0</v>
      </c>
      <c r="AA158" s="14" t="s">
        <v>2392</v>
      </c>
      <c r="AB158" s="9" t="s">
        <v>186</v>
      </c>
      <c r="AC158" s="9" t="s">
        <v>58</v>
      </c>
      <c r="AD158" s="10" t="b">
        <v>1</v>
      </c>
      <c r="AE158" s="10" t="b">
        <v>0</v>
      </c>
      <c r="AF158" s="14" t="s">
        <v>2393</v>
      </c>
      <c r="AG158" s="8" t="s">
        <v>268</v>
      </c>
      <c r="AH158" s="9" t="s">
        <v>170</v>
      </c>
      <c r="AI158" s="10" t="b">
        <v>1</v>
      </c>
      <c r="AJ158" s="10" t="b">
        <v>0</v>
      </c>
      <c r="AK158" s="14" t="s">
        <v>2392</v>
      </c>
      <c r="AL158" s="9" t="s">
        <v>186</v>
      </c>
      <c r="AM158" s="9" t="s">
        <v>58</v>
      </c>
      <c r="AN158" s="9" t="b">
        <v>1</v>
      </c>
      <c r="AO158" s="9" t="b">
        <v>1</v>
      </c>
      <c r="AP158" s="14" t="s">
        <v>2392</v>
      </c>
      <c r="AQ158" s="9" t="s">
        <v>186</v>
      </c>
      <c r="AR158" s="9" t="s">
        <v>58</v>
      </c>
      <c r="AS158" s="6"/>
      <c r="AT158" s="6"/>
      <c r="AU158" s="6"/>
      <c r="AV158" s="6"/>
      <c r="AW158" s="6"/>
      <c r="AX158" s="6"/>
      <c r="AY158" s="6"/>
      <c r="AZ158" s="6"/>
      <c r="BA158" s="6"/>
    </row>
    <row r="159" ht="22.5" customHeight="1">
      <c r="A159" s="7" t="s">
        <v>2394</v>
      </c>
      <c r="B159" s="8" t="s">
        <v>2395</v>
      </c>
      <c r="C159" s="8" t="s">
        <v>2396</v>
      </c>
      <c r="D159" s="9" t="s">
        <v>2397</v>
      </c>
      <c r="E159" s="9" t="s">
        <v>2398</v>
      </c>
      <c r="F159" s="9" t="s">
        <v>2399</v>
      </c>
      <c r="G159" s="6" t="s">
        <v>2400</v>
      </c>
      <c r="H159" s="10" t="b">
        <v>1</v>
      </c>
      <c r="I159" s="11" t="s">
        <v>2401</v>
      </c>
      <c r="J159" s="11" t="s">
        <v>2402</v>
      </c>
      <c r="K159" s="11" t="s">
        <v>2403</v>
      </c>
      <c r="L159" s="11" t="s">
        <v>2404</v>
      </c>
      <c r="M159" s="8" t="s">
        <v>2405</v>
      </c>
      <c r="N159" s="6" t="s">
        <v>169</v>
      </c>
      <c r="O159" s="6" t="s">
        <v>170</v>
      </c>
      <c r="P159" s="6"/>
      <c r="Q159" s="9" t="s">
        <v>80</v>
      </c>
      <c r="R159" s="6" t="s">
        <v>133</v>
      </c>
      <c r="S159" s="10" t="b">
        <v>1</v>
      </c>
      <c r="T159" s="10" t="b">
        <v>1</v>
      </c>
      <c r="U159" s="10" t="b">
        <v>1</v>
      </c>
      <c r="V159" s="11" t="s">
        <v>2406</v>
      </c>
      <c r="W159" s="9" t="s">
        <v>2407</v>
      </c>
      <c r="X159" s="9" t="s">
        <v>469</v>
      </c>
      <c r="Y159" s="10" t="b">
        <v>1</v>
      </c>
      <c r="Z159" s="10" t="b">
        <v>1</v>
      </c>
      <c r="AA159" s="28" t="s">
        <v>2408</v>
      </c>
      <c r="AB159" s="9" t="s">
        <v>967</v>
      </c>
      <c r="AC159" s="9" t="s">
        <v>469</v>
      </c>
      <c r="AD159" s="10" t="b">
        <v>1</v>
      </c>
      <c r="AE159" s="10" t="b">
        <v>1</v>
      </c>
      <c r="AF159" s="28" t="s">
        <v>2409</v>
      </c>
      <c r="AG159" s="9" t="s">
        <v>2410</v>
      </c>
      <c r="AH159" s="9" t="s">
        <v>469</v>
      </c>
      <c r="AI159" s="10" t="b">
        <v>1</v>
      </c>
      <c r="AJ159" s="10" t="b">
        <v>1</v>
      </c>
      <c r="AK159" s="28" t="s">
        <v>2408</v>
      </c>
      <c r="AL159" s="9" t="s">
        <v>967</v>
      </c>
      <c r="AM159" s="9" t="s">
        <v>469</v>
      </c>
      <c r="AN159" s="9" t="b">
        <v>1</v>
      </c>
      <c r="AO159" s="9" t="b">
        <v>0</v>
      </c>
      <c r="AP159" s="14" t="s">
        <v>2411</v>
      </c>
      <c r="AQ159" s="9" t="s">
        <v>65</v>
      </c>
      <c r="AR159" s="9" t="s">
        <v>65</v>
      </c>
      <c r="AS159" s="6"/>
      <c r="AT159" s="6"/>
      <c r="AU159" s="6"/>
      <c r="AV159" s="6"/>
      <c r="AW159" s="6"/>
      <c r="AX159" s="6"/>
      <c r="AY159" s="6"/>
      <c r="AZ159" s="6"/>
      <c r="BA159" s="6"/>
    </row>
    <row r="160" ht="22.5" customHeight="1">
      <c r="A160" s="7" t="s">
        <v>2412</v>
      </c>
      <c r="B160" s="8" t="s">
        <v>2413</v>
      </c>
      <c r="C160" s="8" t="s">
        <v>2414</v>
      </c>
      <c r="D160" s="9" t="s">
        <v>2415</v>
      </c>
      <c r="E160" s="9" t="s">
        <v>2416</v>
      </c>
      <c r="F160" s="9" t="s">
        <v>2417</v>
      </c>
      <c r="G160" s="6" t="s">
        <v>2418</v>
      </c>
      <c r="H160" s="10" t="b">
        <v>1</v>
      </c>
      <c r="I160" s="11" t="s">
        <v>2419</v>
      </c>
      <c r="J160" s="11" t="s">
        <v>2420</v>
      </c>
      <c r="K160" s="11" t="s">
        <v>2421</v>
      </c>
      <c r="L160" s="11" t="s">
        <v>2419</v>
      </c>
      <c r="M160" s="26" t="s">
        <v>2422</v>
      </c>
      <c r="N160" s="6" t="s">
        <v>57</v>
      </c>
      <c r="O160" s="6" t="s">
        <v>58</v>
      </c>
      <c r="P160" s="6"/>
      <c r="Q160" s="9" t="s">
        <v>59</v>
      </c>
      <c r="R160" s="6" t="s">
        <v>59</v>
      </c>
      <c r="S160" s="10" t="b">
        <v>0</v>
      </c>
      <c r="T160" s="15" t="b">
        <v>1</v>
      </c>
      <c r="U160" s="15" t="b">
        <v>1</v>
      </c>
      <c r="V160" s="28" t="s">
        <v>2423</v>
      </c>
      <c r="W160" s="9" t="s">
        <v>454</v>
      </c>
      <c r="X160" s="9" t="s">
        <v>62</v>
      </c>
      <c r="Y160" s="12" t="b">
        <v>0</v>
      </c>
      <c r="Z160" s="10" t="s">
        <v>63</v>
      </c>
      <c r="AA160" s="13" t="s">
        <v>63</v>
      </c>
      <c r="AB160" s="10" t="s">
        <v>63</v>
      </c>
      <c r="AC160" s="10" t="s">
        <v>63</v>
      </c>
      <c r="AD160" s="12" t="b">
        <v>0</v>
      </c>
      <c r="AE160" s="10" t="s">
        <v>63</v>
      </c>
      <c r="AF160" s="13" t="s">
        <v>63</v>
      </c>
      <c r="AG160" s="10" t="s">
        <v>63</v>
      </c>
      <c r="AH160" s="10" t="s">
        <v>63</v>
      </c>
      <c r="AI160" s="12" t="b">
        <v>0</v>
      </c>
      <c r="AJ160" s="10" t="s">
        <v>63</v>
      </c>
      <c r="AK160" s="13" t="s">
        <v>63</v>
      </c>
      <c r="AL160" s="10" t="s">
        <v>63</v>
      </c>
      <c r="AM160" s="10" t="s">
        <v>63</v>
      </c>
      <c r="AN160" s="9" t="b">
        <v>1</v>
      </c>
      <c r="AO160" s="9" t="b">
        <v>0</v>
      </c>
      <c r="AP160" s="14" t="s">
        <v>2424</v>
      </c>
      <c r="AQ160" s="9" t="s">
        <v>65</v>
      </c>
      <c r="AR160" s="9" t="s">
        <v>65</v>
      </c>
      <c r="AS160" s="6"/>
      <c r="AT160" s="6"/>
      <c r="AU160" s="6"/>
      <c r="AV160" s="6"/>
      <c r="AW160" s="6"/>
      <c r="AX160" s="6"/>
      <c r="AY160" s="6"/>
      <c r="AZ160" s="6"/>
      <c r="BA160" s="6"/>
    </row>
    <row r="161" ht="22.5" customHeight="1">
      <c r="A161" s="7" t="s">
        <v>2425</v>
      </c>
      <c r="B161" s="8" t="s">
        <v>2426</v>
      </c>
      <c r="C161" s="8" t="s">
        <v>2427</v>
      </c>
      <c r="D161" s="6" t="s">
        <v>2428</v>
      </c>
      <c r="E161" s="6" t="s">
        <v>2429</v>
      </c>
      <c r="F161" s="6" t="s">
        <v>2430</v>
      </c>
      <c r="G161" s="6" t="s">
        <v>2431</v>
      </c>
      <c r="H161" s="10" t="b">
        <v>1</v>
      </c>
      <c r="I161" s="11" t="s">
        <v>2432</v>
      </c>
      <c r="J161" s="11" t="s">
        <v>2433</v>
      </c>
      <c r="K161" s="11" t="s">
        <v>2432</v>
      </c>
      <c r="L161" s="11" t="s">
        <v>2433</v>
      </c>
      <c r="M161" s="8" t="s">
        <v>2434</v>
      </c>
      <c r="N161" s="6" t="s">
        <v>268</v>
      </c>
      <c r="O161" s="6" t="s">
        <v>170</v>
      </c>
      <c r="P161" s="6"/>
      <c r="Q161" s="8" t="s">
        <v>59</v>
      </c>
      <c r="R161" s="8" t="s">
        <v>59</v>
      </c>
      <c r="S161" s="10" t="b">
        <v>0</v>
      </c>
      <c r="T161" s="10" t="b">
        <v>0</v>
      </c>
      <c r="U161" s="10" t="b">
        <v>0</v>
      </c>
      <c r="V161" s="8" t="s">
        <v>63</v>
      </c>
      <c r="W161" s="8" t="s">
        <v>104</v>
      </c>
      <c r="X161" s="8" t="s">
        <v>63</v>
      </c>
      <c r="Y161" s="12" t="b">
        <v>0</v>
      </c>
      <c r="Z161" s="10" t="s">
        <v>63</v>
      </c>
      <c r="AA161" s="13" t="s">
        <v>63</v>
      </c>
      <c r="AB161" s="10" t="s">
        <v>63</v>
      </c>
      <c r="AC161" s="10" t="s">
        <v>63</v>
      </c>
      <c r="AD161" s="12" t="b">
        <v>0</v>
      </c>
      <c r="AE161" s="10" t="s">
        <v>63</v>
      </c>
      <c r="AF161" s="13" t="s">
        <v>63</v>
      </c>
      <c r="AG161" s="10" t="s">
        <v>63</v>
      </c>
      <c r="AH161" s="10" t="s">
        <v>63</v>
      </c>
      <c r="AI161" s="12" t="b">
        <v>0</v>
      </c>
      <c r="AJ161" s="10" t="s">
        <v>63</v>
      </c>
      <c r="AK161" s="13" t="s">
        <v>63</v>
      </c>
      <c r="AL161" s="10" t="s">
        <v>63</v>
      </c>
      <c r="AM161" s="10" t="s">
        <v>63</v>
      </c>
      <c r="AN161" s="9" t="b">
        <v>1</v>
      </c>
      <c r="AO161" s="9" t="b">
        <v>0</v>
      </c>
      <c r="AP161" s="14" t="s">
        <v>2435</v>
      </c>
      <c r="AQ161" s="9" t="s">
        <v>65</v>
      </c>
      <c r="AR161" s="9" t="s">
        <v>65</v>
      </c>
      <c r="AS161" s="6"/>
      <c r="AT161" s="6"/>
      <c r="AU161" s="6"/>
      <c r="AV161" s="6"/>
      <c r="AW161" s="6"/>
      <c r="AX161" s="6"/>
      <c r="AY161" s="6"/>
      <c r="AZ161" s="6"/>
      <c r="BA161" s="6"/>
    </row>
    <row r="162" ht="22.5" customHeight="1">
      <c r="A162" s="7" t="s">
        <v>2436</v>
      </c>
      <c r="B162" s="8" t="s">
        <v>2437</v>
      </c>
      <c r="C162" s="8" t="s">
        <v>2438</v>
      </c>
      <c r="D162" s="9" t="s">
        <v>2439</v>
      </c>
      <c r="E162" s="9" t="s">
        <v>2440</v>
      </c>
      <c r="F162" s="9" t="s">
        <v>2441</v>
      </c>
      <c r="G162" s="6" t="s">
        <v>97</v>
      </c>
      <c r="H162" s="10" t="b">
        <v>0</v>
      </c>
      <c r="I162" s="11" t="s">
        <v>2442</v>
      </c>
      <c r="J162" s="11" t="s">
        <v>2443</v>
      </c>
      <c r="K162" s="28" t="s">
        <v>2444</v>
      </c>
      <c r="L162" s="11" t="s">
        <v>2445</v>
      </c>
      <c r="M162" s="17" t="s">
        <v>2446</v>
      </c>
      <c r="N162" s="6" t="s">
        <v>2447</v>
      </c>
      <c r="O162" s="6" t="s">
        <v>79</v>
      </c>
      <c r="P162" s="6"/>
      <c r="Q162" s="9" t="s">
        <v>59</v>
      </c>
      <c r="R162" s="8" t="s">
        <v>59</v>
      </c>
      <c r="S162" s="10" t="b">
        <v>0</v>
      </c>
      <c r="T162" s="10" t="b">
        <v>0</v>
      </c>
      <c r="U162" s="10" t="b">
        <v>0</v>
      </c>
      <c r="V162" s="6" t="s">
        <v>63</v>
      </c>
      <c r="W162" s="6" t="s">
        <v>104</v>
      </c>
      <c r="X162" s="6" t="s">
        <v>63</v>
      </c>
      <c r="Y162" s="12" t="b">
        <v>0</v>
      </c>
      <c r="Z162" s="10" t="s">
        <v>63</v>
      </c>
      <c r="AA162" s="13" t="s">
        <v>63</v>
      </c>
      <c r="AB162" s="10" t="s">
        <v>63</v>
      </c>
      <c r="AC162" s="10" t="s">
        <v>63</v>
      </c>
      <c r="AD162" s="12" t="b">
        <v>0</v>
      </c>
      <c r="AE162" s="10" t="s">
        <v>63</v>
      </c>
      <c r="AF162" s="13" t="s">
        <v>63</v>
      </c>
      <c r="AG162" s="10" t="s">
        <v>63</v>
      </c>
      <c r="AH162" s="10" t="s">
        <v>63</v>
      </c>
      <c r="AI162" s="12" t="b">
        <v>0</v>
      </c>
      <c r="AJ162" s="10" t="s">
        <v>63</v>
      </c>
      <c r="AK162" s="13" t="s">
        <v>63</v>
      </c>
      <c r="AL162" s="10" t="s">
        <v>63</v>
      </c>
      <c r="AM162" s="10" t="s">
        <v>63</v>
      </c>
      <c r="AN162" s="9" t="b">
        <v>1</v>
      </c>
      <c r="AO162" s="9" t="b">
        <v>1</v>
      </c>
      <c r="AP162" s="14" t="s">
        <v>2448</v>
      </c>
      <c r="AQ162" s="8" t="s">
        <v>2447</v>
      </c>
      <c r="AR162" s="8" t="s">
        <v>79</v>
      </c>
      <c r="AS162" s="6"/>
      <c r="AT162" s="6"/>
      <c r="AU162" s="6"/>
      <c r="AV162" s="6"/>
      <c r="AW162" s="6"/>
      <c r="AX162" s="6"/>
      <c r="AY162" s="6"/>
      <c r="AZ162" s="6"/>
      <c r="BA162" s="6"/>
    </row>
    <row r="163" ht="22.5" customHeight="1">
      <c r="A163" s="7" t="s">
        <v>2449</v>
      </c>
      <c r="B163" s="8" t="s">
        <v>2450</v>
      </c>
      <c r="C163" s="8" t="s">
        <v>2451</v>
      </c>
      <c r="D163" s="9" t="s">
        <v>2452</v>
      </c>
      <c r="E163" s="9" t="s">
        <v>2453</v>
      </c>
      <c r="F163" s="9" t="s">
        <v>2454</v>
      </c>
      <c r="G163" s="6" t="s">
        <v>2455</v>
      </c>
      <c r="H163" s="10" t="b">
        <v>0</v>
      </c>
      <c r="I163" s="11" t="s">
        <v>2456</v>
      </c>
      <c r="J163" s="11" t="s">
        <v>2457</v>
      </c>
      <c r="K163" s="11" t="s">
        <v>2458</v>
      </c>
      <c r="L163" s="11" t="s">
        <v>2459</v>
      </c>
      <c r="M163" s="53" t="s">
        <v>2460</v>
      </c>
      <c r="N163" s="6" t="s">
        <v>1744</v>
      </c>
      <c r="O163" s="6" t="s">
        <v>86</v>
      </c>
      <c r="P163" s="6"/>
      <c r="Q163" s="9" t="s">
        <v>59</v>
      </c>
      <c r="R163" s="8" t="s">
        <v>59</v>
      </c>
      <c r="S163" s="10" t="b">
        <v>0</v>
      </c>
      <c r="T163" s="15" t="b">
        <v>0</v>
      </c>
      <c r="U163" s="10" t="b">
        <v>0</v>
      </c>
      <c r="V163" s="6" t="s">
        <v>63</v>
      </c>
      <c r="W163" s="6" t="s">
        <v>104</v>
      </c>
      <c r="X163" s="6" t="s">
        <v>63</v>
      </c>
      <c r="Y163" s="12" t="b">
        <v>0</v>
      </c>
      <c r="Z163" s="10" t="s">
        <v>63</v>
      </c>
      <c r="AA163" s="13" t="s">
        <v>63</v>
      </c>
      <c r="AB163" s="10" t="s">
        <v>63</v>
      </c>
      <c r="AC163" s="10" t="s">
        <v>63</v>
      </c>
      <c r="AD163" s="12" t="b">
        <v>0</v>
      </c>
      <c r="AE163" s="10" t="s">
        <v>63</v>
      </c>
      <c r="AF163" s="13" t="s">
        <v>63</v>
      </c>
      <c r="AG163" s="10" t="s">
        <v>63</v>
      </c>
      <c r="AH163" s="10" t="s">
        <v>63</v>
      </c>
      <c r="AI163" s="12" t="b">
        <v>0</v>
      </c>
      <c r="AJ163" s="10" t="s">
        <v>63</v>
      </c>
      <c r="AK163" s="13" t="s">
        <v>63</v>
      </c>
      <c r="AL163" s="10" t="s">
        <v>63</v>
      </c>
      <c r="AM163" s="10" t="s">
        <v>63</v>
      </c>
      <c r="AN163" s="9" t="b">
        <v>1</v>
      </c>
      <c r="AO163" s="9" t="b">
        <v>1</v>
      </c>
      <c r="AP163" s="14" t="s">
        <v>2461</v>
      </c>
      <c r="AQ163" s="9" t="s">
        <v>2462</v>
      </c>
      <c r="AR163" s="9" t="s">
        <v>86</v>
      </c>
      <c r="AS163" s="6"/>
      <c r="AT163" s="6"/>
      <c r="AU163" s="6"/>
      <c r="AV163" s="6"/>
      <c r="AW163" s="6"/>
      <c r="AX163" s="6"/>
      <c r="AY163" s="6"/>
      <c r="AZ163" s="6"/>
      <c r="BA163" s="6"/>
    </row>
    <row r="164" ht="22.5" customHeight="1">
      <c r="A164" s="7" t="s">
        <v>2463</v>
      </c>
      <c r="B164" s="8" t="s">
        <v>2464</v>
      </c>
      <c r="C164" s="8" t="s">
        <v>2465</v>
      </c>
      <c r="D164" s="9" t="s">
        <v>2466</v>
      </c>
      <c r="E164" s="9" t="s">
        <v>2467</v>
      </c>
      <c r="F164" s="9" t="s">
        <v>2468</v>
      </c>
      <c r="G164" s="6" t="s">
        <v>2469</v>
      </c>
      <c r="H164" s="10" t="b">
        <v>1</v>
      </c>
      <c r="I164" s="11" t="s">
        <v>2470</v>
      </c>
      <c r="J164" s="11" t="s">
        <v>2471</v>
      </c>
      <c r="K164" s="11" t="s">
        <v>2472</v>
      </c>
      <c r="L164" s="11" t="s">
        <v>2473</v>
      </c>
      <c r="M164" s="26" t="s">
        <v>2474</v>
      </c>
      <c r="N164" s="6" t="s">
        <v>169</v>
      </c>
      <c r="O164" s="6" t="s">
        <v>170</v>
      </c>
      <c r="P164" s="6"/>
      <c r="Q164" s="9" t="s">
        <v>59</v>
      </c>
      <c r="R164" s="8" t="s">
        <v>59</v>
      </c>
      <c r="S164" s="10" t="b">
        <v>0</v>
      </c>
      <c r="T164" s="10" t="b">
        <v>0</v>
      </c>
      <c r="U164" s="10" t="b">
        <v>0</v>
      </c>
      <c r="V164" s="6" t="s">
        <v>63</v>
      </c>
      <c r="W164" s="6" t="s">
        <v>104</v>
      </c>
      <c r="X164" s="6" t="s">
        <v>63</v>
      </c>
      <c r="Y164" s="12" t="b">
        <v>0</v>
      </c>
      <c r="Z164" s="10" t="s">
        <v>63</v>
      </c>
      <c r="AA164" s="13" t="s">
        <v>63</v>
      </c>
      <c r="AB164" s="10" t="s">
        <v>63</v>
      </c>
      <c r="AC164" s="10" t="s">
        <v>63</v>
      </c>
      <c r="AD164" s="12" t="b">
        <v>0</v>
      </c>
      <c r="AE164" s="10" t="s">
        <v>63</v>
      </c>
      <c r="AF164" s="13" t="s">
        <v>63</v>
      </c>
      <c r="AG164" s="10" t="s">
        <v>63</v>
      </c>
      <c r="AH164" s="10" t="s">
        <v>63</v>
      </c>
      <c r="AI164" s="12" t="b">
        <v>0</v>
      </c>
      <c r="AJ164" s="10" t="s">
        <v>63</v>
      </c>
      <c r="AK164" s="13" t="s">
        <v>63</v>
      </c>
      <c r="AL164" s="10" t="s">
        <v>63</v>
      </c>
      <c r="AM164" s="10" t="s">
        <v>63</v>
      </c>
      <c r="AN164" s="9" t="b">
        <v>1</v>
      </c>
      <c r="AO164" s="9" t="b">
        <v>0</v>
      </c>
      <c r="AP164" s="14" t="s">
        <v>2475</v>
      </c>
      <c r="AQ164" s="9" t="s">
        <v>65</v>
      </c>
      <c r="AR164" s="9" t="s">
        <v>65</v>
      </c>
      <c r="AS164" s="6"/>
      <c r="AT164" s="6"/>
      <c r="AU164" s="6"/>
      <c r="AV164" s="6"/>
      <c r="AW164" s="6"/>
      <c r="AX164" s="6"/>
      <c r="AY164" s="6"/>
      <c r="AZ164" s="6"/>
      <c r="BA164" s="6"/>
    </row>
    <row r="165" ht="22.5" customHeight="1">
      <c r="A165" s="7" t="s">
        <v>2476</v>
      </c>
      <c r="B165" s="8" t="s">
        <v>2477</v>
      </c>
      <c r="C165" s="8" t="s">
        <v>2478</v>
      </c>
      <c r="D165" s="9" t="s">
        <v>2479</v>
      </c>
      <c r="E165" s="9" t="s">
        <v>2480</v>
      </c>
      <c r="F165" s="9" t="s">
        <v>2481</v>
      </c>
      <c r="G165" s="6" t="s">
        <v>2482</v>
      </c>
      <c r="H165" s="12" t="b">
        <v>1</v>
      </c>
      <c r="I165" s="11" t="s">
        <v>2483</v>
      </c>
      <c r="J165" s="11" t="s">
        <v>2484</v>
      </c>
      <c r="K165" s="14" t="s">
        <v>2485</v>
      </c>
      <c r="L165" s="49" t="s">
        <v>2484</v>
      </c>
      <c r="M165" s="45" t="s">
        <v>2486</v>
      </c>
      <c r="N165" s="6" t="s">
        <v>169</v>
      </c>
      <c r="O165" s="6" t="s">
        <v>170</v>
      </c>
      <c r="P165" s="6"/>
      <c r="Q165" s="9" t="s">
        <v>59</v>
      </c>
      <c r="R165" s="6" t="s">
        <v>59</v>
      </c>
      <c r="S165" s="10" t="b">
        <v>1</v>
      </c>
      <c r="T165" s="10" t="b">
        <v>0</v>
      </c>
      <c r="U165" s="15" t="b">
        <v>0</v>
      </c>
      <c r="V165" s="8" t="s">
        <v>63</v>
      </c>
      <c r="W165" s="8" t="s">
        <v>104</v>
      </c>
      <c r="X165" s="8" t="s">
        <v>63</v>
      </c>
      <c r="Y165" s="12" t="b">
        <v>0</v>
      </c>
      <c r="Z165" s="10" t="s">
        <v>63</v>
      </c>
      <c r="AA165" s="13" t="s">
        <v>63</v>
      </c>
      <c r="AB165" s="10" t="s">
        <v>63</v>
      </c>
      <c r="AC165" s="10" t="s">
        <v>63</v>
      </c>
      <c r="AD165" s="12" t="b">
        <v>0</v>
      </c>
      <c r="AE165" s="10" t="s">
        <v>63</v>
      </c>
      <c r="AF165" s="13" t="s">
        <v>63</v>
      </c>
      <c r="AG165" s="10" t="s">
        <v>63</v>
      </c>
      <c r="AH165" s="10" t="s">
        <v>63</v>
      </c>
      <c r="AI165" s="12" t="b">
        <v>0</v>
      </c>
      <c r="AJ165" s="10" t="s">
        <v>63</v>
      </c>
      <c r="AK165" s="13" t="s">
        <v>63</v>
      </c>
      <c r="AL165" s="10" t="s">
        <v>63</v>
      </c>
      <c r="AM165" s="10" t="s">
        <v>63</v>
      </c>
      <c r="AN165" s="9" t="b">
        <v>1</v>
      </c>
      <c r="AO165" s="9" t="b">
        <v>0</v>
      </c>
      <c r="AP165" s="14" t="s">
        <v>2487</v>
      </c>
      <c r="AQ165" s="9" t="s">
        <v>65</v>
      </c>
      <c r="AR165" s="9" t="s">
        <v>65</v>
      </c>
      <c r="AS165" s="6"/>
      <c r="AT165" s="6"/>
      <c r="AU165" s="6"/>
      <c r="AV165" s="6"/>
      <c r="AW165" s="6"/>
      <c r="AX165" s="6"/>
      <c r="AY165" s="6"/>
      <c r="AZ165" s="6"/>
      <c r="BA165" s="6"/>
    </row>
    <row r="166" ht="22.5" customHeight="1">
      <c r="A166" s="7" t="s">
        <v>2488</v>
      </c>
      <c r="B166" s="8" t="s">
        <v>2489</v>
      </c>
      <c r="C166" s="8" t="s">
        <v>2490</v>
      </c>
      <c r="D166" s="9" t="s">
        <v>2491</v>
      </c>
      <c r="E166" s="9" t="s">
        <v>2492</v>
      </c>
      <c r="F166" s="9" t="s">
        <v>2493</v>
      </c>
      <c r="G166" s="6" t="s">
        <v>2494</v>
      </c>
      <c r="H166" s="10" t="b">
        <v>1</v>
      </c>
      <c r="I166" s="14" t="s">
        <v>2495</v>
      </c>
      <c r="J166" s="11" t="s">
        <v>2496</v>
      </c>
      <c r="K166" s="11" t="s">
        <v>2497</v>
      </c>
      <c r="L166" s="14" t="s">
        <v>2498</v>
      </c>
      <c r="M166" s="9" t="s">
        <v>1415</v>
      </c>
      <c r="N166" s="6" t="s">
        <v>186</v>
      </c>
      <c r="O166" s="6" t="s">
        <v>58</v>
      </c>
      <c r="P166" s="6"/>
      <c r="Q166" s="9" t="s">
        <v>80</v>
      </c>
      <c r="R166" s="9" t="s">
        <v>312</v>
      </c>
      <c r="S166" s="10" t="b">
        <v>1</v>
      </c>
      <c r="T166" s="15" t="b">
        <v>1</v>
      </c>
      <c r="U166" s="15" t="b">
        <v>1</v>
      </c>
      <c r="V166" s="14" t="s">
        <v>2499</v>
      </c>
      <c r="W166" s="9" t="s">
        <v>1233</v>
      </c>
      <c r="X166" s="9" t="s">
        <v>62</v>
      </c>
      <c r="Y166" s="12" t="b">
        <v>1</v>
      </c>
      <c r="Z166" s="12" t="b">
        <v>1</v>
      </c>
      <c r="AA166" s="14" t="s">
        <v>2500</v>
      </c>
      <c r="AB166" s="9" t="s">
        <v>1078</v>
      </c>
      <c r="AC166" s="9" t="s">
        <v>62</v>
      </c>
      <c r="AD166" s="10" t="b">
        <v>1</v>
      </c>
      <c r="AE166" s="10" t="b">
        <v>1</v>
      </c>
      <c r="AF166" s="14" t="s">
        <v>2501</v>
      </c>
      <c r="AG166" s="6" t="s">
        <v>186</v>
      </c>
      <c r="AH166" s="6" t="s">
        <v>58</v>
      </c>
      <c r="AI166" s="12" t="b">
        <v>1</v>
      </c>
      <c r="AJ166" s="12" t="b">
        <v>1</v>
      </c>
      <c r="AK166" s="14" t="s">
        <v>2500</v>
      </c>
      <c r="AL166" s="9" t="s">
        <v>1078</v>
      </c>
      <c r="AM166" s="9" t="s">
        <v>62</v>
      </c>
      <c r="AN166" s="9" t="b">
        <v>1</v>
      </c>
      <c r="AO166" s="9" t="b">
        <v>1</v>
      </c>
      <c r="AP166" s="14" t="s">
        <v>2502</v>
      </c>
      <c r="AQ166" s="9" t="s">
        <v>186</v>
      </c>
      <c r="AR166" s="9" t="s">
        <v>58</v>
      </c>
      <c r="AS166" s="6"/>
      <c r="AT166" s="6"/>
      <c r="AU166" s="6"/>
      <c r="AV166" s="6"/>
      <c r="AW166" s="6"/>
      <c r="AX166" s="6"/>
      <c r="AY166" s="6"/>
      <c r="AZ166" s="6"/>
      <c r="BA166" s="6"/>
    </row>
    <row r="167" ht="22.5" customHeight="1">
      <c r="A167" s="7" t="s">
        <v>2503</v>
      </c>
      <c r="B167" s="8" t="s">
        <v>2504</v>
      </c>
      <c r="C167" s="8" t="s">
        <v>2505</v>
      </c>
      <c r="D167" s="9" t="s">
        <v>2506</v>
      </c>
      <c r="E167" s="9" t="s">
        <v>2507</v>
      </c>
      <c r="F167" s="9" t="s">
        <v>2508</v>
      </c>
      <c r="G167" s="6" t="s">
        <v>180</v>
      </c>
      <c r="H167" s="10" t="b">
        <v>1</v>
      </c>
      <c r="I167" s="11" t="s">
        <v>2509</v>
      </c>
      <c r="J167" s="11" t="s">
        <v>2510</v>
      </c>
      <c r="K167" s="11" t="s">
        <v>2511</v>
      </c>
      <c r="L167" s="11" t="s">
        <v>2509</v>
      </c>
      <c r="M167" s="6" t="s">
        <v>2512</v>
      </c>
      <c r="N167" s="6" t="s">
        <v>57</v>
      </c>
      <c r="O167" s="6" t="s">
        <v>58</v>
      </c>
      <c r="P167" s="6"/>
      <c r="Q167" s="9" t="s">
        <v>59</v>
      </c>
      <c r="R167" s="8" t="s">
        <v>59</v>
      </c>
      <c r="S167" s="10" t="b">
        <v>0</v>
      </c>
      <c r="T167" s="15" t="b">
        <v>1</v>
      </c>
      <c r="U167" s="15" t="b">
        <v>0</v>
      </c>
      <c r="V167" s="11" t="s">
        <v>2513</v>
      </c>
      <c r="W167" s="9" t="s">
        <v>188</v>
      </c>
      <c r="X167" s="6" t="s">
        <v>189</v>
      </c>
      <c r="Y167" s="12" t="b">
        <v>0</v>
      </c>
      <c r="Z167" s="10" t="s">
        <v>63</v>
      </c>
      <c r="AA167" s="13" t="s">
        <v>63</v>
      </c>
      <c r="AB167" s="10" t="s">
        <v>63</v>
      </c>
      <c r="AC167" s="10" t="s">
        <v>63</v>
      </c>
      <c r="AD167" s="12" t="b">
        <v>0</v>
      </c>
      <c r="AE167" s="10" t="s">
        <v>63</v>
      </c>
      <c r="AF167" s="13" t="s">
        <v>63</v>
      </c>
      <c r="AG167" s="10" t="s">
        <v>63</v>
      </c>
      <c r="AH167" s="10" t="s">
        <v>63</v>
      </c>
      <c r="AI167" s="12" t="b">
        <v>0</v>
      </c>
      <c r="AJ167" s="10" t="s">
        <v>63</v>
      </c>
      <c r="AK167" s="13" t="s">
        <v>63</v>
      </c>
      <c r="AL167" s="10" t="s">
        <v>63</v>
      </c>
      <c r="AM167" s="10" t="s">
        <v>63</v>
      </c>
      <c r="AN167" s="9" t="b">
        <v>1</v>
      </c>
      <c r="AO167" s="9" t="b">
        <v>0</v>
      </c>
      <c r="AP167" s="14" t="s">
        <v>2514</v>
      </c>
      <c r="AQ167" s="9" t="s">
        <v>65</v>
      </c>
      <c r="AR167" s="9" t="s">
        <v>65</v>
      </c>
      <c r="AS167" s="6"/>
      <c r="AT167" s="6"/>
      <c r="AU167" s="6"/>
      <c r="AV167" s="6"/>
      <c r="AW167" s="6"/>
      <c r="AX167" s="6"/>
      <c r="AY167" s="6"/>
      <c r="AZ167" s="6"/>
      <c r="BA167" s="6"/>
    </row>
    <row r="168" ht="22.5" customHeight="1">
      <c r="A168" s="7" t="s">
        <v>2515</v>
      </c>
      <c r="B168" s="8" t="s">
        <v>2516</v>
      </c>
      <c r="C168" s="8" t="s">
        <v>2517</v>
      </c>
      <c r="D168" s="9" t="s">
        <v>2518</v>
      </c>
      <c r="E168" s="9" t="s">
        <v>2519</v>
      </c>
      <c r="F168" s="9" t="s">
        <v>2520</v>
      </c>
      <c r="G168" s="6" t="s">
        <v>2521</v>
      </c>
      <c r="H168" s="10" t="b">
        <v>1</v>
      </c>
      <c r="I168" s="11" t="s">
        <v>2522</v>
      </c>
      <c r="J168" s="11" t="s">
        <v>2523</v>
      </c>
      <c r="K168" s="11" t="s">
        <v>2524</v>
      </c>
      <c r="L168" s="11" t="s">
        <v>2525</v>
      </c>
      <c r="M168" s="6" t="s">
        <v>2526</v>
      </c>
      <c r="N168" s="6" t="s">
        <v>57</v>
      </c>
      <c r="O168" s="6" t="s">
        <v>58</v>
      </c>
      <c r="P168" s="6"/>
      <c r="Q168" s="9" t="s">
        <v>59</v>
      </c>
      <c r="R168" s="6" t="s">
        <v>59</v>
      </c>
      <c r="S168" s="10" t="b">
        <v>0</v>
      </c>
      <c r="T168" s="10" t="b">
        <v>0</v>
      </c>
      <c r="U168" s="12" t="b">
        <v>0</v>
      </c>
      <c r="V168" s="8" t="s">
        <v>63</v>
      </c>
      <c r="W168" s="8" t="s">
        <v>104</v>
      </c>
      <c r="X168" s="8" t="s">
        <v>63</v>
      </c>
      <c r="Y168" s="12" t="b">
        <v>0</v>
      </c>
      <c r="Z168" s="10" t="s">
        <v>63</v>
      </c>
      <c r="AA168" s="13" t="s">
        <v>63</v>
      </c>
      <c r="AB168" s="10" t="s">
        <v>63</v>
      </c>
      <c r="AC168" s="10" t="s">
        <v>63</v>
      </c>
      <c r="AD168" s="12" t="b">
        <v>0</v>
      </c>
      <c r="AE168" s="10" t="s">
        <v>63</v>
      </c>
      <c r="AF168" s="13" t="s">
        <v>63</v>
      </c>
      <c r="AG168" s="10" t="s">
        <v>63</v>
      </c>
      <c r="AH168" s="10" t="s">
        <v>63</v>
      </c>
      <c r="AI168" s="12" t="b">
        <v>0</v>
      </c>
      <c r="AJ168" s="10" t="s">
        <v>63</v>
      </c>
      <c r="AK168" s="13" t="s">
        <v>63</v>
      </c>
      <c r="AL168" s="10" t="s">
        <v>63</v>
      </c>
      <c r="AM168" s="10" t="s">
        <v>63</v>
      </c>
      <c r="AN168" s="9" t="b">
        <v>0</v>
      </c>
      <c r="AO168" s="12" t="s">
        <v>63</v>
      </c>
      <c r="AP168" s="12" t="s">
        <v>63</v>
      </c>
      <c r="AQ168" s="12" t="s">
        <v>63</v>
      </c>
      <c r="AR168" s="12" t="s">
        <v>63</v>
      </c>
      <c r="AS168" s="6"/>
      <c r="AT168" s="6"/>
      <c r="AU168" s="6"/>
      <c r="AV168" s="6"/>
      <c r="AW168" s="6"/>
      <c r="AX168" s="6"/>
      <c r="AY168" s="6"/>
      <c r="AZ168" s="6"/>
      <c r="BA168" s="6"/>
    </row>
    <row r="169" ht="22.5" customHeight="1">
      <c r="A169" s="7" t="s">
        <v>2527</v>
      </c>
      <c r="B169" s="8" t="s">
        <v>2528</v>
      </c>
      <c r="C169" s="8" t="s">
        <v>2529</v>
      </c>
      <c r="D169" s="9" t="s">
        <v>2530</v>
      </c>
      <c r="E169" s="9" t="s">
        <v>2531</v>
      </c>
      <c r="F169" s="9" t="s">
        <v>2532</v>
      </c>
      <c r="G169" s="6" t="s">
        <v>2533</v>
      </c>
      <c r="H169" s="10" t="b">
        <v>1</v>
      </c>
      <c r="I169" s="11" t="s">
        <v>2534</v>
      </c>
      <c r="J169" s="11" t="s">
        <v>2535</v>
      </c>
      <c r="K169" s="11" t="s">
        <v>2536</v>
      </c>
      <c r="L169" s="11" t="s">
        <v>2537</v>
      </c>
      <c r="M169" s="9" t="s">
        <v>946</v>
      </c>
      <c r="N169" s="17" t="s">
        <v>2102</v>
      </c>
      <c r="O169" s="6" t="s">
        <v>86</v>
      </c>
      <c r="P169" s="6"/>
      <c r="Q169" s="9" t="s">
        <v>80</v>
      </c>
      <c r="R169" s="6" t="s">
        <v>133</v>
      </c>
      <c r="S169" s="10" t="b">
        <v>0</v>
      </c>
      <c r="T169" s="10" t="b">
        <v>1</v>
      </c>
      <c r="U169" s="10" t="b">
        <v>0</v>
      </c>
      <c r="V169" s="11" t="s">
        <v>2538</v>
      </c>
      <c r="W169" s="6" t="s">
        <v>65</v>
      </c>
      <c r="X169" s="6" t="s">
        <v>65</v>
      </c>
      <c r="Y169" s="10" t="b">
        <v>1</v>
      </c>
      <c r="Z169" s="10" t="b">
        <v>0</v>
      </c>
      <c r="AA169" s="28" t="s">
        <v>2539</v>
      </c>
      <c r="AB169" s="8" t="s">
        <v>65</v>
      </c>
      <c r="AC169" s="8" t="s">
        <v>65</v>
      </c>
      <c r="AD169" s="10" t="b">
        <v>1</v>
      </c>
      <c r="AE169" s="10" t="b">
        <v>0</v>
      </c>
      <c r="AF169" s="28" t="s">
        <v>2540</v>
      </c>
      <c r="AG169" s="8" t="s">
        <v>65</v>
      </c>
      <c r="AH169" s="8" t="s">
        <v>65</v>
      </c>
      <c r="AI169" s="10" t="b">
        <v>1</v>
      </c>
      <c r="AJ169" s="10" t="b">
        <v>0</v>
      </c>
      <c r="AK169" s="28" t="s">
        <v>2541</v>
      </c>
      <c r="AL169" s="8" t="s">
        <v>65</v>
      </c>
      <c r="AM169" s="24" t="s">
        <v>65</v>
      </c>
      <c r="AN169" s="9" t="b">
        <v>1</v>
      </c>
      <c r="AO169" s="9" t="b">
        <v>0</v>
      </c>
      <c r="AP169" s="14" t="s">
        <v>2542</v>
      </c>
      <c r="AQ169" s="9" t="s">
        <v>65</v>
      </c>
      <c r="AR169" s="9" t="s">
        <v>65</v>
      </c>
      <c r="AS169" s="10"/>
      <c r="AT169" s="10"/>
      <c r="AU169" s="6"/>
      <c r="AV169" s="6"/>
      <c r="AW169" s="6"/>
      <c r="AX169" s="6"/>
      <c r="AY169" s="6"/>
      <c r="AZ169" s="6"/>
      <c r="BA169" s="6"/>
    </row>
    <row r="170" ht="22.5" customHeight="1">
      <c r="A170" s="7" t="s">
        <v>2543</v>
      </c>
      <c r="B170" s="8" t="s">
        <v>2544</v>
      </c>
      <c r="C170" s="8" t="s">
        <v>2545</v>
      </c>
      <c r="D170" s="9" t="s">
        <v>2546</v>
      </c>
      <c r="E170" s="9" t="s">
        <v>2547</v>
      </c>
      <c r="F170" s="9" t="s">
        <v>2548</v>
      </c>
      <c r="G170" s="6" t="s">
        <v>2549</v>
      </c>
      <c r="H170" s="10" t="b">
        <v>0</v>
      </c>
      <c r="I170" s="11" t="s">
        <v>2550</v>
      </c>
      <c r="J170" s="11" t="s">
        <v>2551</v>
      </c>
      <c r="K170" s="11" t="s">
        <v>2552</v>
      </c>
      <c r="L170" s="11" t="s">
        <v>2551</v>
      </c>
      <c r="M170" s="6" t="s">
        <v>2553</v>
      </c>
      <c r="N170" s="17" t="s">
        <v>169</v>
      </c>
      <c r="O170" s="6" t="s">
        <v>170</v>
      </c>
      <c r="P170" s="6"/>
      <c r="Q170" s="9" t="s">
        <v>80</v>
      </c>
      <c r="R170" s="6" t="s">
        <v>133</v>
      </c>
      <c r="S170" s="10" t="b">
        <v>0</v>
      </c>
      <c r="T170" s="15" t="b">
        <v>1</v>
      </c>
      <c r="U170" s="10" t="b">
        <v>0</v>
      </c>
      <c r="V170" s="28" t="s">
        <v>2554</v>
      </c>
      <c r="W170" s="8" t="s">
        <v>65</v>
      </c>
      <c r="X170" s="8" t="s">
        <v>65</v>
      </c>
      <c r="Y170" s="10" t="b">
        <v>1</v>
      </c>
      <c r="Z170" s="10" t="b">
        <v>0</v>
      </c>
      <c r="AA170" s="11" t="s">
        <v>2555</v>
      </c>
      <c r="AB170" s="9" t="s">
        <v>753</v>
      </c>
      <c r="AC170" s="9" t="s">
        <v>79</v>
      </c>
      <c r="AD170" s="10" t="b">
        <v>1</v>
      </c>
      <c r="AE170" s="10" t="b">
        <v>0</v>
      </c>
      <c r="AF170" s="11" t="s">
        <v>2556</v>
      </c>
      <c r="AG170" s="6" t="s">
        <v>65</v>
      </c>
      <c r="AH170" s="6" t="s">
        <v>65</v>
      </c>
      <c r="AI170" s="10" t="b">
        <v>1</v>
      </c>
      <c r="AJ170" s="10" t="b">
        <v>0</v>
      </c>
      <c r="AK170" s="11" t="s">
        <v>2555</v>
      </c>
      <c r="AL170" s="9" t="s">
        <v>753</v>
      </c>
      <c r="AM170" s="9" t="s">
        <v>79</v>
      </c>
      <c r="AN170" s="9" t="b">
        <v>1</v>
      </c>
      <c r="AO170" s="9" t="b">
        <v>0</v>
      </c>
      <c r="AP170" s="14" t="s">
        <v>2557</v>
      </c>
      <c r="AQ170" s="9" t="s">
        <v>65</v>
      </c>
      <c r="AR170" s="9" t="s">
        <v>65</v>
      </c>
      <c r="AS170" s="6"/>
      <c r="AT170" s="6"/>
      <c r="AU170" s="6"/>
      <c r="AV170" s="6"/>
      <c r="AW170" s="6"/>
      <c r="AX170" s="6"/>
      <c r="AY170" s="6"/>
      <c r="AZ170" s="6"/>
      <c r="BA170" s="6"/>
    </row>
    <row r="171" ht="22.5" customHeight="1">
      <c r="A171" s="7" t="s">
        <v>2558</v>
      </c>
      <c r="B171" s="8" t="s">
        <v>2559</v>
      </c>
      <c r="C171" s="8" t="s">
        <v>2560</v>
      </c>
      <c r="D171" s="9" t="s">
        <v>2561</v>
      </c>
      <c r="E171" s="9" t="s">
        <v>2562</v>
      </c>
      <c r="F171" s="9" t="s">
        <v>2563</v>
      </c>
      <c r="G171" s="6" t="s">
        <v>2564</v>
      </c>
      <c r="H171" s="10" t="b">
        <v>0</v>
      </c>
      <c r="I171" s="11" t="s">
        <v>2565</v>
      </c>
      <c r="J171" s="11" t="s">
        <v>2566</v>
      </c>
      <c r="K171" s="11" t="s">
        <v>2567</v>
      </c>
      <c r="L171" s="11" t="s">
        <v>2568</v>
      </c>
      <c r="M171" s="6" t="s">
        <v>2569</v>
      </c>
      <c r="N171" s="6" t="s">
        <v>2570</v>
      </c>
      <c r="O171" s="6" t="s">
        <v>79</v>
      </c>
      <c r="P171" s="6"/>
      <c r="Q171" s="9" t="s">
        <v>59</v>
      </c>
      <c r="R171" s="6" t="s">
        <v>59</v>
      </c>
      <c r="S171" s="10" t="b">
        <v>0</v>
      </c>
      <c r="T171" s="10" t="b">
        <v>0</v>
      </c>
      <c r="U171" s="15" t="b">
        <v>0</v>
      </c>
      <c r="V171" s="8" t="s">
        <v>63</v>
      </c>
      <c r="W171" s="8" t="s">
        <v>104</v>
      </c>
      <c r="X171" s="8" t="s">
        <v>63</v>
      </c>
      <c r="Y171" s="12" t="b">
        <v>0</v>
      </c>
      <c r="Z171" s="10" t="s">
        <v>63</v>
      </c>
      <c r="AA171" s="13" t="s">
        <v>63</v>
      </c>
      <c r="AB171" s="10" t="s">
        <v>63</v>
      </c>
      <c r="AC171" s="10" t="s">
        <v>63</v>
      </c>
      <c r="AD171" s="12" t="b">
        <v>0</v>
      </c>
      <c r="AE171" s="10" t="s">
        <v>63</v>
      </c>
      <c r="AF171" s="13" t="s">
        <v>63</v>
      </c>
      <c r="AG171" s="10" t="s">
        <v>63</v>
      </c>
      <c r="AH171" s="10" t="s">
        <v>63</v>
      </c>
      <c r="AI171" s="12" t="b">
        <v>0</v>
      </c>
      <c r="AJ171" s="10" t="s">
        <v>63</v>
      </c>
      <c r="AK171" s="13" t="s">
        <v>63</v>
      </c>
      <c r="AL171" s="10" t="s">
        <v>63</v>
      </c>
      <c r="AM171" s="10" t="s">
        <v>63</v>
      </c>
      <c r="AN171" s="9" t="b">
        <v>1</v>
      </c>
      <c r="AO171" s="9" t="b">
        <v>0</v>
      </c>
      <c r="AP171" s="14" t="s">
        <v>2571</v>
      </c>
      <c r="AQ171" s="9" t="s">
        <v>65</v>
      </c>
      <c r="AR171" s="9" t="s">
        <v>65</v>
      </c>
      <c r="AS171" s="6"/>
      <c r="AT171" s="6"/>
      <c r="AU171" s="6"/>
      <c r="AV171" s="6"/>
      <c r="AW171" s="6"/>
      <c r="AX171" s="6"/>
      <c r="AY171" s="6"/>
      <c r="AZ171" s="6"/>
      <c r="BA171" s="6"/>
    </row>
    <row r="172" ht="22.5" customHeight="1">
      <c r="A172" s="7" t="s">
        <v>2572</v>
      </c>
      <c r="B172" s="8" t="s">
        <v>2573</v>
      </c>
      <c r="C172" s="8" t="s">
        <v>2574</v>
      </c>
      <c r="D172" s="9" t="s">
        <v>2575</v>
      </c>
      <c r="E172" s="9" t="s">
        <v>2576</v>
      </c>
      <c r="F172" s="9" t="s">
        <v>2577</v>
      </c>
      <c r="G172" s="6" t="s">
        <v>2578</v>
      </c>
      <c r="H172" s="12" t="b">
        <v>1</v>
      </c>
      <c r="I172" s="11" t="s">
        <v>2579</v>
      </c>
      <c r="J172" s="11" t="s">
        <v>2580</v>
      </c>
      <c r="K172" s="11" t="s">
        <v>2581</v>
      </c>
      <c r="L172" s="11" t="s">
        <v>2582</v>
      </c>
      <c r="M172" s="9" t="s">
        <v>512</v>
      </c>
      <c r="N172" s="6" t="s">
        <v>103</v>
      </c>
      <c r="O172" s="6" t="s">
        <v>86</v>
      </c>
      <c r="P172" s="6"/>
      <c r="Q172" s="9" t="s">
        <v>80</v>
      </c>
      <c r="R172" s="8" t="s">
        <v>81</v>
      </c>
      <c r="S172" s="10" t="b">
        <v>0</v>
      </c>
      <c r="T172" s="15" t="b">
        <v>1</v>
      </c>
      <c r="U172" s="15" t="b">
        <v>1</v>
      </c>
      <c r="V172" s="28" t="s">
        <v>2583</v>
      </c>
      <c r="W172" s="9" t="s">
        <v>1331</v>
      </c>
      <c r="X172" s="9" t="s">
        <v>79</v>
      </c>
      <c r="Y172" s="10" t="b">
        <v>1</v>
      </c>
      <c r="Z172" s="10" t="b">
        <v>1</v>
      </c>
      <c r="AA172" s="14" t="s">
        <v>2584</v>
      </c>
      <c r="AB172" s="9" t="s">
        <v>753</v>
      </c>
      <c r="AC172" s="9" t="s">
        <v>79</v>
      </c>
      <c r="AD172" s="10" t="b">
        <v>1</v>
      </c>
      <c r="AE172" s="10" t="b">
        <v>1</v>
      </c>
      <c r="AF172" s="11" t="s">
        <v>2585</v>
      </c>
      <c r="AG172" s="9" t="s">
        <v>1175</v>
      </c>
      <c r="AH172" s="9" t="s">
        <v>79</v>
      </c>
      <c r="AI172" s="10" t="b">
        <v>1</v>
      </c>
      <c r="AJ172" s="10" t="b">
        <v>1</v>
      </c>
      <c r="AK172" s="14" t="s">
        <v>2584</v>
      </c>
      <c r="AL172" s="9" t="s">
        <v>753</v>
      </c>
      <c r="AM172" s="9" t="s">
        <v>79</v>
      </c>
      <c r="AN172" s="9" t="b">
        <v>1</v>
      </c>
      <c r="AO172" s="9" t="b">
        <v>0</v>
      </c>
      <c r="AP172" s="14" t="s">
        <v>2586</v>
      </c>
      <c r="AQ172" s="9" t="s">
        <v>65</v>
      </c>
      <c r="AR172" s="9" t="s">
        <v>65</v>
      </c>
      <c r="AS172" s="6"/>
      <c r="AT172" s="6"/>
      <c r="AU172" s="6"/>
      <c r="AV172" s="6"/>
      <c r="AW172" s="6"/>
      <c r="AX172" s="6"/>
      <c r="AY172" s="6"/>
      <c r="AZ172" s="6"/>
      <c r="BA172" s="6"/>
    </row>
    <row r="173" ht="22.5" customHeight="1">
      <c r="A173" s="7" t="s">
        <v>2587</v>
      </c>
      <c r="B173" s="8" t="s">
        <v>2588</v>
      </c>
      <c r="C173" s="8" t="s">
        <v>2589</v>
      </c>
      <c r="D173" s="9" t="s">
        <v>2590</v>
      </c>
      <c r="E173" s="9" t="s">
        <v>2591</v>
      </c>
      <c r="F173" s="9" t="s">
        <v>2592</v>
      </c>
      <c r="G173" s="6" t="s">
        <v>2593</v>
      </c>
      <c r="H173" s="10" t="b">
        <v>1</v>
      </c>
      <c r="I173" s="11" t="s">
        <v>2594</v>
      </c>
      <c r="J173" s="11" t="s">
        <v>2595</v>
      </c>
      <c r="K173" s="11" t="s">
        <v>2596</v>
      </c>
      <c r="L173" s="11" t="s">
        <v>2597</v>
      </c>
      <c r="M173" s="8" t="s">
        <v>891</v>
      </c>
      <c r="N173" s="9" t="s">
        <v>2598</v>
      </c>
      <c r="O173" s="9" t="s">
        <v>79</v>
      </c>
      <c r="P173" s="6"/>
      <c r="Q173" s="9" t="s">
        <v>80</v>
      </c>
      <c r="R173" s="8" t="s">
        <v>133</v>
      </c>
      <c r="S173" s="10" t="b">
        <v>0</v>
      </c>
      <c r="T173" s="10" t="b">
        <v>0</v>
      </c>
      <c r="U173" s="15" t="b">
        <v>0</v>
      </c>
      <c r="V173" s="6" t="s">
        <v>63</v>
      </c>
      <c r="W173" s="6" t="s">
        <v>104</v>
      </c>
      <c r="X173" s="6" t="s">
        <v>63</v>
      </c>
      <c r="Y173" s="10" t="b">
        <v>1</v>
      </c>
      <c r="Z173" s="15" t="b">
        <v>0</v>
      </c>
      <c r="AA173" s="28" t="s">
        <v>2599</v>
      </c>
      <c r="AB173" s="6" t="s">
        <v>65</v>
      </c>
      <c r="AC173" s="6" t="s">
        <v>65</v>
      </c>
      <c r="AD173" s="10" t="b">
        <v>1</v>
      </c>
      <c r="AE173" s="15" t="b">
        <v>0</v>
      </c>
      <c r="AF173" s="28" t="s">
        <v>2600</v>
      </c>
      <c r="AG173" s="8" t="s">
        <v>65</v>
      </c>
      <c r="AH173" s="8" t="s">
        <v>65</v>
      </c>
      <c r="AI173" s="10" t="b">
        <v>1</v>
      </c>
      <c r="AJ173" s="10" t="b">
        <v>0</v>
      </c>
      <c r="AK173" s="28" t="s">
        <v>2601</v>
      </c>
      <c r="AL173" s="6" t="s">
        <v>2602</v>
      </c>
      <c r="AM173" s="6" t="s">
        <v>79</v>
      </c>
      <c r="AN173" s="9" t="b">
        <v>1</v>
      </c>
      <c r="AO173" s="9" t="b">
        <v>0</v>
      </c>
      <c r="AP173" s="14" t="s">
        <v>2603</v>
      </c>
      <c r="AQ173" s="9" t="s">
        <v>65</v>
      </c>
      <c r="AR173" s="9" t="s">
        <v>65</v>
      </c>
      <c r="AS173" s="6"/>
      <c r="AT173" s="6"/>
      <c r="AU173" s="6"/>
      <c r="AV173" s="6"/>
      <c r="AW173" s="6"/>
      <c r="AX173" s="6"/>
      <c r="AY173" s="6"/>
      <c r="AZ173" s="6"/>
      <c r="BA173" s="6"/>
    </row>
    <row r="174" ht="22.5" customHeight="1">
      <c r="A174" s="7" t="s">
        <v>2604</v>
      </c>
      <c r="B174" s="8" t="s">
        <v>2605</v>
      </c>
      <c r="C174" s="8" t="s">
        <v>2606</v>
      </c>
      <c r="D174" s="6" t="s">
        <v>2607</v>
      </c>
      <c r="E174" s="6" t="s">
        <v>2608</v>
      </c>
      <c r="F174" s="6" t="s">
        <v>2609</v>
      </c>
      <c r="G174" s="6" t="s">
        <v>2610</v>
      </c>
      <c r="H174" s="10" t="b">
        <v>1</v>
      </c>
      <c r="I174" s="11" t="s">
        <v>2611</v>
      </c>
      <c r="J174" s="11" t="s">
        <v>2612</v>
      </c>
      <c r="K174" s="11" t="s">
        <v>2613</v>
      </c>
      <c r="L174" s="11" t="s">
        <v>2611</v>
      </c>
      <c r="M174" s="9" t="s">
        <v>2319</v>
      </c>
      <c r="N174" s="6" t="s">
        <v>186</v>
      </c>
      <c r="O174" s="6" t="s">
        <v>58</v>
      </c>
      <c r="P174" s="6"/>
      <c r="Q174" s="8" t="s">
        <v>80</v>
      </c>
      <c r="R174" s="8" t="s">
        <v>1008</v>
      </c>
      <c r="S174" s="10" t="b">
        <v>0</v>
      </c>
      <c r="T174" s="10" t="b">
        <v>1</v>
      </c>
      <c r="U174" s="15" t="b">
        <v>1</v>
      </c>
      <c r="V174" s="11" t="s">
        <v>2614</v>
      </c>
      <c r="W174" s="9" t="s">
        <v>2615</v>
      </c>
      <c r="X174" s="9" t="s">
        <v>62</v>
      </c>
      <c r="Y174" s="10" t="b">
        <v>1</v>
      </c>
      <c r="Z174" s="10" t="b">
        <v>1</v>
      </c>
      <c r="AA174" s="14" t="s">
        <v>2616</v>
      </c>
      <c r="AB174" s="9" t="s">
        <v>1078</v>
      </c>
      <c r="AC174" s="9" t="s">
        <v>62</v>
      </c>
      <c r="AD174" s="10" t="b">
        <v>1</v>
      </c>
      <c r="AE174" s="10" t="b">
        <v>1</v>
      </c>
      <c r="AF174" s="28" t="s">
        <v>2617</v>
      </c>
      <c r="AG174" s="9" t="s">
        <v>967</v>
      </c>
      <c r="AH174" s="9" t="s">
        <v>469</v>
      </c>
      <c r="AI174" s="10" t="b">
        <v>1</v>
      </c>
      <c r="AJ174" s="9" t="b">
        <v>1</v>
      </c>
      <c r="AK174" s="28" t="s">
        <v>2618</v>
      </c>
      <c r="AL174" s="9" t="s">
        <v>1078</v>
      </c>
      <c r="AM174" s="9" t="s">
        <v>62</v>
      </c>
      <c r="AN174" s="9" t="b">
        <v>1</v>
      </c>
      <c r="AO174" s="9" t="b">
        <v>0</v>
      </c>
      <c r="AP174" s="14" t="s">
        <v>2619</v>
      </c>
      <c r="AQ174" s="9" t="s">
        <v>65</v>
      </c>
      <c r="AR174" s="9" t="s">
        <v>65</v>
      </c>
      <c r="AS174" s="6"/>
      <c r="AT174" s="6"/>
      <c r="AU174" s="6"/>
      <c r="AV174" s="6"/>
      <c r="AW174" s="6"/>
      <c r="AX174" s="6"/>
      <c r="AY174" s="6"/>
      <c r="AZ174" s="6"/>
      <c r="BA174" s="6"/>
    </row>
    <row r="175" ht="22.5" customHeight="1">
      <c r="A175" s="7" t="s">
        <v>2620</v>
      </c>
      <c r="B175" s="8" t="s">
        <v>2621</v>
      </c>
      <c r="C175" s="8" t="s">
        <v>2622</v>
      </c>
      <c r="D175" s="9" t="s">
        <v>2623</v>
      </c>
      <c r="E175" s="9" t="s">
        <v>2624</v>
      </c>
      <c r="F175" s="9" t="s">
        <v>2625</v>
      </c>
      <c r="G175" s="6" t="s">
        <v>2626</v>
      </c>
      <c r="H175" s="10" t="b">
        <v>1</v>
      </c>
      <c r="I175" s="11" t="s">
        <v>2627</v>
      </c>
      <c r="J175" s="11" t="s">
        <v>2628</v>
      </c>
      <c r="K175" s="11" t="s">
        <v>2629</v>
      </c>
      <c r="L175" s="11" t="s">
        <v>2630</v>
      </c>
      <c r="M175" s="8" t="s">
        <v>2631</v>
      </c>
      <c r="N175" s="6" t="s">
        <v>57</v>
      </c>
      <c r="O175" s="6" t="s">
        <v>58</v>
      </c>
      <c r="P175" s="6"/>
      <c r="Q175" s="9" t="s">
        <v>80</v>
      </c>
      <c r="R175" s="8" t="s">
        <v>133</v>
      </c>
      <c r="S175" s="10" t="b">
        <v>1</v>
      </c>
      <c r="T175" s="15" t="b">
        <v>1</v>
      </c>
      <c r="U175" s="15" t="b">
        <v>0</v>
      </c>
      <c r="V175" s="28" t="s">
        <v>2632</v>
      </c>
      <c r="W175" s="8" t="s">
        <v>65</v>
      </c>
      <c r="X175" s="8" t="s">
        <v>65</v>
      </c>
      <c r="Y175" s="10" t="b">
        <v>1</v>
      </c>
      <c r="Z175" s="10" t="b">
        <v>1</v>
      </c>
      <c r="AA175" s="28" t="s">
        <v>2633</v>
      </c>
      <c r="AB175" s="9" t="s">
        <v>1078</v>
      </c>
      <c r="AC175" s="9" t="s">
        <v>62</v>
      </c>
      <c r="AD175" s="10" t="b">
        <v>1</v>
      </c>
      <c r="AE175" s="10" t="b">
        <v>0</v>
      </c>
      <c r="AF175" s="28" t="s">
        <v>2634</v>
      </c>
      <c r="AG175" s="8" t="s">
        <v>65</v>
      </c>
      <c r="AH175" s="8" t="s">
        <v>65</v>
      </c>
      <c r="AI175" s="10" t="b">
        <v>1</v>
      </c>
      <c r="AJ175" s="10" t="b">
        <v>1</v>
      </c>
      <c r="AK175" s="28" t="s">
        <v>2633</v>
      </c>
      <c r="AL175" s="9" t="s">
        <v>1078</v>
      </c>
      <c r="AM175" s="9" t="s">
        <v>62</v>
      </c>
      <c r="AN175" s="9" t="b">
        <v>1</v>
      </c>
      <c r="AO175" s="9" t="b">
        <v>0</v>
      </c>
      <c r="AP175" s="14" t="s">
        <v>2635</v>
      </c>
      <c r="AQ175" s="9" t="s">
        <v>65</v>
      </c>
      <c r="AR175" s="9" t="s">
        <v>65</v>
      </c>
      <c r="AS175" s="6"/>
      <c r="AT175" s="6"/>
      <c r="AU175" s="6"/>
      <c r="AV175" s="6"/>
      <c r="AW175" s="6"/>
      <c r="AX175" s="6"/>
      <c r="AY175" s="6"/>
      <c r="AZ175" s="6"/>
      <c r="BA175" s="6"/>
    </row>
    <row r="176" ht="22.5" customHeight="1">
      <c r="A176" s="54" t="s">
        <v>2636</v>
      </c>
      <c r="B176" s="53" t="s">
        <v>2637</v>
      </c>
      <c r="C176" s="53" t="s">
        <v>2638</v>
      </c>
      <c r="D176" s="9" t="s">
        <v>2639</v>
      </c>
      <c r="E176" s="9" t="s">
        <v>2640</v>
      </c>
      <c r="F176" s="9" t="s">
        <v>2641</v>
      </c>
      <c r="G176" s="6" t="s">
        <v>2642</v>
      </c>
      <c r="H176" s="12" t="b">
        <v>1</v>
      </c>
      <c r="I176" s="22" t="s">
        <v>2643</v>
      </c>
      <c r="J176" s="55" t="s">
        <v>2644</v>
      </c>
      <c r="K176" s="56" t="s">
        <v>2645</v>
      </c>
      <c r="L176" s="22" t="s">
        <v>2643</v>
      </c>
      <c r="M176" s="27" t="s">
        <v>2646</v>
      </c>
      <c r="N176" s="17" t="s">
        <v>57</v>
      </c>
      <c r="O176" s="17" t="s">
        <v>58</v>
      </c>
      <c r="P176" s="17"/>
      <c r="Q176" s="27" t="s">
        <v>59</v>
      </c>
      <c r="R176" s="17" t="s">
        <v>59</v>
      </c>
      <c r="S176" s="21" t="b">
        <v>1</v>
      </c>
      <c r="T176" s="10" t="b">
        <v>0</v>
      </c>
      <c r="U176" s="15" t="b">
        <v>0</v>
      </c>
      <c r="V176" s="6" t="s">
        <v>63</v>
      </c>
      <c r="W176" s="6" t="s">
        <v>104</v>
      </c>
      <c r="X176" s="6" t="s">
        <v>63</v>
      </c>
      <c r="Y176" s="12" t="b">
        <v>0</v>
      </c>
      <c r="Z176" s="10" t="s">
        <v>63</v>
      </c>
      <c r="AA176" s="13" t="s">
        <v>63</v>
      </c>
      <c r="AB176" s="10" t="s">
        <v>63</v>
      </c>
      <c r="AC176" s="10" t="s">
        <v>63</v>
      </c>
      <c r="AD176" s="12" t="b">
        <v>0</v>
      </c>
      <c r="AE176" s="10" t="s">
        <v>63</v>
      </c>
      <c r="AF176" s="13" t="s">
        <v>63</v>
      </c>
      <c r="AG176" s="10" t="s">
        <v>63</v>
      </c>
      <c r="AH176" s="10" t="s">
        <v>63</v>
      </c>
      <c r="AI176" s="12" t="b">
        <v>0</v>
      </c>
      <c r="AJ176" s="10" t="s">
        <v>63</v>
      </c>
      <c r="AK176" s="13" t="s">
        <v>63</v>
      </c>
      <c r="AL176" s="10" t="s">
        <v>63</v>
      </c>
      <c r="AM176" s="10" t="s">
        <v>63</v>
      </c>
      <c r="AN176" s="9" t="b">
        <v>1</v>
      </c>
      <c r="AO176" s="9" t="b">
        <v>0</v>
      </c>
      <c r="AP176" s="14" t="s">
        <v>2647</v>
      </c>
      <c r="AQ176" s="9" t="s">
        <v>65</v>
      </c>
      <c r="AR176" s="9" t="s">
        <v>65</v>
      </c>
      <c r="AS176" s="6"/>
      <c r="AT176" s="6"/>
      <c r="AU176" s="6"/>
      <c r="AV176" s="6"/>
      <c r="AW176" s="6"/>
      <c r="AX176" s="6"/>
      <c r="AY176" s="6"/>
      <c r="AZ176" s="6"/>
      <c r="BA176" s="6"/>
    </row>
    <row r="177" ht="22.5" customHeight="1">
      <c r="A177" s="7" t="s">
        <v>2648</v>
      </c>
      <c r="B177" s="8" t="s">
        <v>2649</v>
      </c>
      <c r="C177" s="8" t="s">
        <v>2650</v>
      </c>
      <c r="D177" s="9" t="s">
        <v>2651</v>
      </c>
      <c r="E177" s="9" t="s">
        <v>2652</v>
      </c>
      <c r="F177" s="9" t="s">
        <v>2653</v>
      </c>
      <c r="G177" s="6" t="s">
        <v>2654</v>
      </c>
      <c r="H177" s="12" t="b">
        <v>1</v>
      </c>
      <c r="I177" s="57" t="s">
        <v>2655</v>
      </c>
      <c r="J177" s="47" t="s">
        <v>2656</v>
      </c>
      <c r="K177" s="11" t="s">
        <v>2657</v>
      </c>
      <c r="L177" s="11" t="s">
        <v>2658</v>
      </c>
      <c r="M177" s="9" t="s">
        <v>2319</v>
      </c>
      <c r="N177" s="6" t="s">
        <v>103</v>
      </c>
      <c r="O177" s="6" t="s">
        <v>86</v>
      </c>
      <c r="P177" s="6"/>
      <c r="Q177" s="9" t="s">
        <v>59</v>
      </c>
      <c r="R177" s="6" t="s">
        <v>59</v>
      </c>
      <c r="S177" s="10" t="b">
        <v>0</v>
      </c>
      <c r="T177" s="10" t="b">
        <v>0</v>
      </c>
      <c r="U177" s="15" t="b">
        <v>0</v>
      </c>
      <c r="V177" s="8" t="s">
        <v>63</v>
      </c>
      <c r="W177" s="8" t="s">
        <v>104</v>
      </c>
      <c r="X177" s="8" t="s">
        <v>63</v>
      </c>
      <c r="Y177" s="12" t="b">
        <v>0</v>
      </c>
      <c r="Z177" s="10" t="s">
        <v>63</v>
      </c>
      <c r="AA177" s="13" t="s">
        <v>63</v>
      </c>
      <c r="AB177" s="10" t="s">
        <v>63</v>
      </c>
      <c r="AC177" s="10" t="s">
        <v>63</v>
      </c>
      <c r="AD177" s="12" t="b">
        <v>0</v>
      </c>
      <c r="AE177" s="10" t="s">
        <v>63</v>
      </c>
      <c r="AF177" s="13" t="s">
        <v>63</v>
      </c>
      <c r="AG177" s="10" t="s">
        <v>63</v>
      </c>
      <c r="AH177" s="10" t="s">
        <v>63</v>
      </c>
      <c r="AI177" s="12" t="b">
        <v>0</v>
      </c>
      <c r="AJ177" s="10" t="s">
        <v>63</v>
      </c>
      <c r="AK177" s="13" t="s">
        <v>63</v>
      </c>
      <c r="AL177" s="10" t="s">
        <v>63</v>
      </c>
      <c r="AM177" s="10" t="s">
        <v>63</v>
      </c>
      <c r="AN177" s="9" t="b">
        <v>1</v>
      </c>
      <c r="AO177" s="9" t="b">
        <v>1</v>
      </c>
      <c r="AP177" s="14" t="s">
        <v>2659</v>
      </c>
      <c r="AQ177" s="9" t="s">
        <v>103</v>
      </c>
      <c r="AR177" s="9" t="s">
        <v>86</v>
      </c>
      <c r="AS177" s="6"/>
      <c r="AT177" s="6"/>
      <c r="AU177" s="6"/>
      <c r="AV177" s="6"/>
      <c r="AW177" s="6"/>
      <c r="AX177" s="6"/>
      <c r="AY177" s="6"/>
      <c r="AZ177" s="6"/>
      <c r="BA177" s="6"/>
    </row>
    <row r="178" ht="22.5" customHeight="1">
      <c r="A178" s="7" t="s">
        <v>2660</v>
      </c>
      <c r="B178" s="8" t="s">
        <v>2661</v>
      </c>
      <c r="C178" s="8" t="s">
        <v>2662</v>
      </c>
      <c r="D178" s="9" t="s">
        <v>2663</v>
      </c>
      <c r="E178" s="9" t="s">
        <v>2664</v>
      </c>
      <c r="F178" s="9" t="s">
        <v>2665</v>
      </c>
      <c r="G178" s="6" t="s">
        <v>1057</v>
      </c>
      <c r="H178" s="10" t="b">
        <v>0</v>
      </c>
      <c r="I178" s="11" t="s">
        <v>2666</v>
      </c>
      <c r="J178" s="11" t="s">
        <v>2667</v>
      </c>
      <c r="K178" s="28" t="s">
        <v>2668</v>
      </c>
      <c r="L178" s="11" t="s">
        <v>2669</v>
      </c>
      <c r="M178" s="6" t="s">
        <v>2670</v>
      </c>
      <c r="N178" s="6" t="s">
        <v>2671</v>
      </c>
      <c r="O178" s="6" t="s">
        <v>86</v>
      </c>
      <c r="P178" s="6"/>
      <c r="Q178" s="9" t="s">
        <v>59</v>
      </c>
      <c r="R178" s="8" t="s">
        <v>59</v>
      </c>
      <c r="S178" s="10" t="b">
        <v>0</v>
      </c>
      <c r="T178" s="10" t="b">
        <v>0</v>
      </c>
      <c r="U178" s="10" t="b">
        <v>0</v>
      </c>
      <c r="V178" s="6" t="s">
        <v>63</v>
      </c>
      <c r="W178" s="6" t="s">
        <v>104</v>
      </c>
      <c r="X178" s="6" t="s">
        <v>63</v>
      </c>
      <c r="Y178" s="12" t="b">
        <v>0</v>
      </c>
      <c r="Z178" s="10" t="s">
        <v>63</v>
      </c>
      <c r="AA178" s="13" t="s">
        <v>63</v>
      </c>
      <c r="AB178" s="10" t="s">
        <v>63</v>
      </c>
      <c r="AC178" s="10" t="s">
        <v>63</v>
      </c>
      <c r="AD178" s="12" t="b">
        <v>0</v>
      </c>
      <c r="AE178" s="10" t="s">
        <v>63</v>
      </c>
      <c r="AF178" s="13" t="s">
        <v>63</v>
      </c>
      <c r="AG178" s="10" t="s">
        <v>63</v>
      </c>
      <c r="AH178" s="10" t="s">
        <v>63</v>
      </c>
      <c r="AI178" s="12" t="b">
        <v>0</v>
      </c>
      <c r="AJ178" s="10" t="s">
        <v>63</v>
      </c>
      <c r="AK178" s="13" t="s">
        <v>63</v>
      </c>
      <c r="AL178" s="10" t="s">
        <v>63</v>
      </c>
      <c r="AM178" s="10" t="s">
        <v>63</v>
      </c>
      <c r="AN178" s="9" t="b">
        <v>1</v>
      </c>
      <c r="AO178" s="9" t="b">
        <v>0</v>
      </c>
      <c r="AP178" s="14" t="s">
        <v>2672</v>
      </c>
      <c r="AQ178" s="9" t="s">
        <v>65</v>
      </c>
      <c r="AR178" s="9" t="s">
        <v>65</v>
      </c>
      <c r="AS178" s="6"/>
      <c r="AT178" s="6"/>
      <c r="AU178" s="6"/>
      <c r="AV178" s="6"/>
      <c r="AW178" s="6"/>
      <c r="AX178" s="6"/>
      <c r="AY178" s="6"/>
      <c r="AZ178" s="6"/>
      <c r="BA178" s="6"/>
    </row>
    <row r="179" ht="22.5" customHeight="1">
      <c r="A179" s="7" t="s">
        <v>2673</v>
      </c>
      <c r="B179" s="8" t="s">
        <v>2674</v>
      </c>
      <c r="C179" s="8" t="s">
        <v>2675</v>
      </c>
      <c r="D179" s="9" t="s">
        <v>2676</v>
      </c>
      <c r="E179" s="9" t="s">
        <v>2677</v>
      </c>
      <c r="F179" s="9" t="s">
        <v>2678</v>
      </c>
      <c r="G179" s="6" t="s">
        <v>2679</v>
      </c>
      <c r="H179" s="12" t="b">
        <v>1</v>
      </c>
      <c r="I179" s="11" t="s">
        <v>2680</v>
      </c>
      <c r="J179" s="11" t="s">
        <v>2681</v>
      </c>
      <c r="K179" s="11" t="s">
        <v>2682</v>
      </c>
      <c r="L179" s="11" t="s">
        <v>2683</v>
      </c>
      <c r="M179" s="9" t="s">
        <v>2319</v>
      </c>
      <c r="N179" s="6" t="s">
        <v>169</v>
      </c>
      <c r="O179" s="6" t="s">
        <v>170</v>
      </c>
      <c r="P179" s="6"/>
      <c r="Q179" s="9" t="s">
        <v>80</v>
      </c>
      <c r="R179" s="8" t="s">
        <v>133</v>
      </c>
      <c r="S179" s="10" t="b">
        <v>0</v>
      </c>
      <c r="T179" s="15" t="b">
        <v>1</v>
      </c>
      <c r="U179" s="15" t="b">
        <v>0</v>
      </c>
      <c r="V179" s="28" t="s">
        <v>2684</v>
      </c>
      <c r="W179" s="8" t="s">
        <v>65</v>
      </c>
      <c r="X179" s="8" t="s">
        <v>65</v>
      </c>
      <c r="Y179" s="10" t="b">
        <v>1</v>
      </c>
      <c r="Z179" s="15" t="b">
        <v>0</v>
      </c>
      <c r="AA179" s="28" t="s">
        <v>2685</v>
      </c>
      <c r="AB179" s="8" t="s">
        <v>65</v>
      </c>
      <c r="AC179" s="8" t="s">
        <v>65</v>
      </c>
      <c r="AD179" s="10" t="b">
        <v>1</v>
      </c>
      <c r="AE179" s="15" t="b">
        <v>0</v>
      </c>
      <c r="AF179" s="28" t="s">
        <v>2686</v>
      </c>
      <c r="AG179" s="8" t="s">
        <v>65</v>
      </c>
      <c r="AH179" s="8" t="s">
        <v>65</v>
      </c>
      <c r="AI179" s="10" t="b">
        <v>1</v>
      </c>
      <c r="AJ179" s="15" t="b">
        <v>0</v>
      </c>
      <c r="AK179" s="28" t="s">
        <v>2687</v>
      </c>
      <c r="AL179" s="9" t="s">
        <v>135</v>
      </c>
      <c r="AM179" s="9" t="s">
        <v>79</v>
      </c>
      <c r="AN179" s="9" t="b">
        <v>1</v>
      </c>
      <c r="AO179" s="9" t="b">
        <v>0</v>
      </c>
      <c r="AP179" s="14" t="s">
        <v>2688</v>
      </c>
      <c r="AQ179" s="9" t="s">
        <v>65</v>
      </c>
      <c r="AR179" s="9" t="s">
        <v>65</v>
      </c>
      <c r="AS179" s="6"/>
      <c r="AT179" s="6"/>
      <c r="AU179" s="6"/>
      <c r="AV179" s="6"/>
      <c r="AW179" s="6"/>
      <c r="AX179" s="6"/>
      <c r="AY179" s="6"/>
      <c r="AZ179" s="6"/>
      <c r="BA179" s="6"/>
    </row>
    <row r="180" ht="22.5" customHeight="1">
      <c r="A180" s="7" t="s">
        <v>2689</v>
      </c>
      <c r="B180" s="8" t="s">
        <v>2690</v>
      </c>
      <c r="C180" s="8" t="s">
        <v>2691</v>
      </c>
      <c r="D180" s="9" t="s">
        <v>2692</v>
      </c>
      <c r="E180" s="9" t="s">
        <v>2693</v>
      </c>
      <c r="F180" s="9" t="s">
        <v>2694</v>
      </c>
      <c r="G180" s="6" t="s">
        <v>2695</v>
      </c>
      <c r="H180" s="12" t="b">
        <v>1</v>
      </c>
      <c r="I180" s="11" t="s">
        <v>2696</v>
      </c>
      <c r="J180" s="11" t="s">
        <v>2697</v>
      </c>
      <c r="K180" s="11" t="s">
        <v>2698</v>
      </c>
      <c r="L180" s="11" t="s">
        <v>2696</v>
      </c>
      <c r="M180" s="9" t="s">
        <v>2699</v>
      </c>
      <c r="N180" s="6" t="s">
        <v>57</v>
      </c>
      <c r="O180" s="6" t="s">
        <v>58</v>
      </c>
      <c r="P180" s="6"/>
      <c r="Q180" s="9" t="s">
        <v>59</v>
      </c>
      <c r="R180" s="6" t="s">
        <v>59</v>
      </c>
      <c r="S180" s="10" t="b">
        <v>0</v>
      </c>
      <c r="T180" s="15" t="b">
        <v>1</v>
      </c>
      <c r="U180" s="15" t="b">
        <v>1</v>
      </c>
      <c r="V180" s="14" t="s">
        <v>2700</v>
      </c>
      <c r="W180" s="8" t="s">
        <v>186</v>
      </c>
      <c r="X180" s="8" t="s">
        <v>58</v>
      </c>
      <c r="Y180" s="12" t="b">
        <v>0</v>
      </c>
      <c r="Z180" s="10" t="s">
        <v>63</v>
      </c>
      <c r="AA180" s="13" t="s">
        <v>63</v>
      </c>
      <c r="AB180" s="10" t="s">
        <v>63</v>
      </c>
      <c r="AC180" s="10" t="s">
        <v>63</v>
      </c>
      <c r="AD180" s="12" t="b">
        <v>0</v>
      </c>
      <c r="AE180" s="10" t="s">
        <v>63</v>
      </c>
      <c r="AF180" s="13" t="s">
        <v>63</v>
      </c>
      <c r="AG180" s="10" t="s">
        <v>63</v>
      </c>
      <c r="AH180" s="10" t="s">
        <v>63</v>
      </c>
      <c r="AI180" s="12" t="b">
        <v>0</v>
      </c>
      <c r="AJ180" s="10" t="s">
        <v>63</v>
      </c>
      <c r="AK180" s="13" t="s">
        <v>63</v>
      </c>
      <c r="AL180" s="10" t="s">
        <v>63</v>
      </c>
      <c r="AM180" s="10" t="s">
        <v>63</v>
      </c>
      <c r="AN180" s="9" t="b">
        <v>1</v>
      </c>
      <c r="AO180" s="9" t="b">
        <v>0</v>
      </c>
      <c r="AP180" s="14" t="s">
        <v>2701</v>
      </c>
      <c r="AQ180" s="9" t="s">
        <v>65</v>
      </c>
      <c r="AR180" s="9" t="s">
        <v>65</v>
      </c>
      <c r="AS180" s="6"/>
      <c r="AT180" s="6"/>
      <c r="AU180" s="6"/>
      <c r="AV180" s="6"/>
      <c r="AW180" s="6"/>
      <c r="AX180" s="6"/>
      <c r="AY180" s="6"/>
      <c r="AZ180" s="6"/>
      <c r="BA180" s="6"/>
    </row>
    <row r="181" ht="22.5" customHeight="1">
      <c r="A181" s="7" t="s">
        <v>2702</v>
      </c>
      <c r="B181" s="8" t="s">
        <v>2703</v>
      </c>
      <c r="C181" s="8" t="s">
        <v>2704</v>
      </c>
      <c r="D181" s="9" t="s">
        <v>2705</v>
      </c>
      <c r="E181" s="9" t="s">
        <v>2706</v>
      </c>
      <c r="F181" s="9" t="s">
        <v>2707</v>
      </c>
      <c r="G181" s="6" t="s">
        <v>2708</v>
      </c>
      <c r="H181" s="12" t="b">
        <v>1</v>
      </c>
      <c r="I181" s="11" t="s">
        <v>2709</v>
      </c>
      <c r="J181" s="14" t="s">
        <v>2710</v>
      </c>
      <c r="K181" s="11" t="s">
        <v>2711</v>
      </c>
      <c r="L181" s="11" t="s">
        <v>2712</v>
      </c>
      <c r="M181" s="9" t="s">
        <v>2713</v>
      </c>
      <c r="N181" s="17" t="s">
        <v>169</v>
      </c>
      <c r="O181" s="6" t="s">
        <v>170</v>
      </c>
      <c r="P181" s="6"/>
      <c r="Q181" s="9" t="s">
        <v>80</v>
      </c>
      <c r="R181" s="8" t="s">
        <v>81</v>
      </c>
      <c r="S181" s="10" t="b">
        <v>1</v>
      </c>
      <c r="T181" s="15" t="b">
        <v>1</v>
      </c>
      <c r="U181" s="15" t="b">
        <v>1</v>
      </c>
      <c r="V181" s="28" t="s">
        <v>2714</v>
      </c>
      <c r="W181" s="9" t="s">
        <v>1614</v>
      </c>
      <c r="X181" s="9" t="s">
        <v>469</v>
      </c>
      <c r="Y181" s="10" t="b">
        <v>1</v>
      </c>
      <c r="Z181" s="10" t="b">
        <v>1</v>
      </c>
      <c r="AA181" s="28" t="s">
        <v>2715</v>
      </c>
      <c r="AB181" s="9" t="s">
        <v>2716</v>
      </c>
      <c r="AC181" s="9" t="s">
        <v>469</v>
      </c>
      <c r="AD181" s="10" t="b">
        <v>1</v>
      </c>
      <c r="AE181" s="10" t="b">
        <v>1</v>
      </c>
      <c r="AF181" s="14" t="s">
        <v>2717</v>
      </c>
      <c r="AG181" s="9" t="s">
        <v>268</v>
      </c>
      <c r="AH181" s="9" t="s">
        <v>170</v>
      </c>
      <c r="AI181" s="10" t="b">
        <v>1</v>
      </c>
      <c r="AJ181" s="10" t="b">
        <v>1</v>
      </c>
      <c r="AK181" s="28" t="s">
        <v>2715</v>
      </c>
      <c r="AL181" s="9" t="s">
        <v>2716</v>
      </c>
      <c r="AM181" s="9" t="s">
        <v>469</v>
      </c>
      <c r="AN181" s="9" t="b">
        <v>1</v>
      </c>
      <c r="AO181" s="9" t="b">
        <v>0</v>
      </c>
      <c r="AP181" s="14" t="s">
        <v>2718</v>
      </c>
      <c r="AQ181" s="9" t="s">
        <v>65</v>
      </c>
      <c r="AR181" s="9" t="s">
        <v>65</v>
      </c>
      <c r="AS181" s="6"/>
      <c r="AT181" s="6"/>
      <c r="AU181" s="6"/>
      <c r="AV181" s="6"/>
      <c r="AW181" s="6"/>
      <c r="AX181" s="6"/>
      <c r="AY181" s="6"/>
      <c r="AZ181" s="6"/>
      <c r="BA181" s="6"/>
    </row>
    <row r="182" ht="22.5" customHeight="1">
      <c r="A182" s="8"/>
      <c r="B182" s="8"/>
      <c r="C182" s="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8"/>
      <c r="R182" s="8"/>
      <c r="S182" s="6"/>
      <c r="T182" s="8"/>
      <c r="U182" s="8"/>
      <c r="V182" s="8"/>
      <c r="W182" s="8"/>
      <c r="X182" s="8"/>
      <c r="Y182" s="6"/>
      <c r="Z182" s="6"/>
      <c r="AA182" s="8"/>
      <c r="AB182" s="8"/>
      <c r="AC182" s="8"/>
      <c r="AD182" s="6"/>
      <c r="AE182" s="8"/>
      <c r="AF182" s="8"/>
      <c r="AG182" s="8"/>
      <c r="AH182" s="8"/>
      <c r="AI182" s="6"/>
      <c r="AJ182" s="8"/>
      <c r="AK182" s="8"/>
      <c r="AL182" s="8"/>
      <c r="AM182" s="8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ht="22.5" customHeight="1">
      <c r="A183" s="8"/>
      <c r="B183" s="58"/>
      <c r="C183" s="58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8"/>
      <c r="U183" s="59"/>
      <c r="V183" s="58"/>
      <c r="W183" s="58"/>
      <c r="X183" s="58"/>
      <c r="Y183" s="59"/>
      <c r="Z183" s="59"/>
      <c r="AA183" s="58"/>
      <c r="AB183" s="58"/>
      <c r="AC183" s="58"/>
      <c r="AD183" s="59"/>
      <c r="AE183" s="59"/>
      <c r="AF183" s="58"/>
      <c r="AG183" s="58"/>
      <c r="AH183" s="58"/>
      <c r="AI183" s="59"/>
      <c r="AJ183" s="59"/>
      <c r="AK183" s="58"/>
      <c r="AL183" s="58"/>
      <c r="AM183" s="58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ht="22.5" customHeight="1">
      <c r="A184" s="8"/>
      <c r="B184" s="8"/>
      <c r="C184" s="8"/>
      <c r="D184" s="6"/>
      <c r="E184" s="6"/>
      <c r="F184" s="6"/>
      <c r="G184" s="6"/>
      <c r="H184" s="6">
        <f>countif(H2:H181,TRUE)</f>
        <v>136</v>
      </c>
      <c r="I184" s="6"/>
      <c r="J184" s="6"/>
      <c r="K184" s="6"/>
      <c r="L184" s="6"/>
      <c r="M184" s="8"/>
      <c r="N184" s="6"/>
      <c r="O184" s="6"/>
      <c r="P184" s="6"/>
      <c r="Q184" s="6"/>
      <c r="R184" s="6"/>
      <c r="S184" s="6"/>
      <c r="T184" s="9"/>
      <c r="U184" s="6"/>
      <c r="V184" s="6"/>
      <c r="W184" s="6"/>
      <c r="X184" s="6"/>
      <c r="Y184" s="6"/>
      <c r="Z184" s="6"/>
      <c r="AA184" s="8"/>
      <c r="AB184" s="8"/>
      <c r="AC184" s="6"/>
      <c r="AD184" s="6"/>
      <c r="AE184" s="8"/>
      <c r="AF184" s="8"/>
      <c r="AG184" s="8"/>
      <c r="AH184" s="8"/>
      <c r="AI184" s="6"/>
      <c r="AJ184" s="8"/>
      <c r="AK184" s="8"/>
      <c r="AL184" s="8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ht="22.5" customHeight="1">
      <c r="A185" s="8"/>
      <c r="B185" s="8"/>
      <c r="C185" s="8"/>
      <c r="D185" s="6"/>
      <c r="E185" s="6"/>
      <c r="F185" s="6"/>
      <c r="G185" s="6"/>
      <c r="H185" s="6"/>
      <c r="I185" s="6"/>
      <c r="J185" s="6"/>
      <c r="K185" s="6"/>
      <c r="L185" s="6"/>
      <c r="M185" s="8"/>
      <c r="N185" s="6"/>
      <c r="O185" s="6"/>
      <c r="P185" s="6"/>
      <c r="Q185" s="8"/>
      <c r="R185" s="8"/>
      <c r="S185" s="10"/>
      <c r="T185" s="6"/>
      <c r="U185" s="10"/>
      <c r="V185" s="6"/>
      <c r="W185" s="6"/>
      <c r="X185" s="6"/>
      <c r="Y185" s="6"/>
      <c r="Z185" s="15"/>
      <c r="AA185" s="8"/>
      <c r="AB185" s="8"/>
      <c r="AC185" s="8"/>
      <c r="AD185" s="6"/>
      <c r="AE185" s="6"/>
      <c r="AG185" s="8"/>
      <c r="AH185" s="8"/>
      <c r="AI185" s="6"/>
      <c r="AJ185" s="8"/>
      <c r="AK185" s="8"/>
      <c r="AL185" s="8"/>
      <c r="AM185" s="8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ht="22.5" customHeight="1">
      <c r="A186" s="8"/>
      <c r="B186" s="8"/>
      <c r="C186" s="8"/>
      <c r="D186" s="6"/>
      <c r="E186" s="6"/>
      <c r="F186" s="6"/>
      <c r="G186" s="6"/>
      <c r="H186" s="10"/>
      <c r="I186" s="6"/>
      <c r="J186" s="6"/>
      <c r="K186" s="6"/>
      <c r="L186" s="6"/>
      <c r="M186" s="8"/>
      <c r="N186" s="6"/>
      <c r="O186" s="6"/>
      <c r="P186" s="10"/>
      <c r="Q186" s="8"/>
      <c r="R186" s="8"/>
      <c r="S186" s="10"/>
      <c r="T186" s="10"/>
      <c r="U186" s="15"/>
      <c r="V186" s="8"/>
      <c r="W186" s="8"/>
      <c r="X186" s="8"/>
      <c r="Y186" s="10"/>
      <c r="Z186" s="8"/>
      <c r="AA186" s="8"/>
      <c r="AB186" s="8"/>
      <c r="AC186" s="8"/>
      <c r="AD186" s="10"/>
      <c r="AE186" s="8"/>
      <c r="AF186" s="8"/>
      <c r="AG186" s="8"/>
      <c r="AH186" s="8"/>
      <c r="AI186" s="10"/>
      <c r="AJ186" s="8"/>
      <c r="AK186" s="8"/>
      <c r="AL186" s="8"/>
      <c r="AM186" s="8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ht="22.5" customHeight="1">
      <c r="A187" s="8"/>
      <c r="B187" s="8"/>
      <c r="C187" s="8"/>
      <c r="D187" s="6"/>
      <c r="E187" s="6"/>
      <c r="F187" s="6"/>
      <c r="G187" s="6"/>
      <c r="H187" s="6"/>
      <c r="I187" s="6"/>
      <c r="J187" s="6"/>
      <c r="K187" s="6"/>
      <c r="L187" s="6"/>
      <c r="M187" s="8"/>
      <c r="N187" s="6"/>
      <c r="O187" s="6"/>
      <c r="P187" s="6"/>
      <c r="Q187" s="8"/>
      <c r="R187" s="8"/>
      <c r="S187" s="6"/>
      <c r="T187" s="10"/>
      <c r="U187" s="6"/>
      <c r="V187" s="6"/>
      <c r="W187" s="6"/>
      <c r="X187" s="6"/>
      <c r="Y187" s="6"/>
      <c r="Z187" s="8"/>
      <c r="AA187" s="8"/>
      <c r="AB187" s="8"/>
      <c r="AC187" s="8"/>
      <c r="AD187" s="6"/>
      <c r="AE187" s="8"/>
      <c r="AF187" s="8"/>
      <c r="AG187" s="8"/>
      <c r="AH187" s="8"/>
      <c r="AI187" s="6"/>
      <c r="AJ187" s="8"/>
      <c r="AK187" s="8"/>
      <c r="AL187" s="8"/>
      <c r="AM187" s="8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ht="22.5" customHeight="1">
      <c r="A188" s="8"/>
      <c r="B188" s="8"/>
      <c r="C188" s="8"/>
      <c r="D188" s="6"/>
      <c r="E188" s="6"/>
      <c r="F188" s="6"/>
      <c r="G188" s="6"/>
      <c r="H188" s="6"/>
      <c r="I188" s="6"/>
      <c r="J188" s="6"/>
      <c r="K188" s="6"/>
      <c r="L188" s="6"/>
      <c r="M188" s="8"/>
      <c r="N188" s="6"/>
      <c r="O188" s="6"/>
      <c r="P188" s="6"/>
      <c r="Q188" s="8"/>
      <c r="R188" s="8"/>
      <c r="S188" s="6"/>
      <c r="T188" s="10"/>
      <c r="U188" s="58"/>
      <c r="V188" s="8"/>
      <c r="W188" s="8"/>
      <c r="X188" s="8"/>
      <c r="Y188" s="6"/>
      <c r="Z188" s="58"/>
      <c r="AA188" s="8"/>
      <c r="AB188" s="6"/>
      <c r="AC188" s="6"/>
      <c r="AD188" s="6"/>
      <c r="AE188" s="8"/>
      <c r="AF188" s="8"/>
      <c r="AG188" s="8"/>
      <c r="AH188" s="8"/>
      <c r="AI188" s="6"/>
      <c r="AJ188" s="8"/>
      <c r="AK188" s="8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ht="22.5" customHeight="1">
      <c r="A189" s="8"/>
      <c r="B189" s="8"/>
      <c r="C189" s="8"/>
      <c r="D189" s="6"/>
      <c r="E189" s="6"/>
      <c r="F189" s="6"/>
      <c r="G189" s="6"/>
      <c r="H189" s="6"/>
      <c r="I189" s="6"/>
      <c r="J189" s="6"/>
      <c r="K189" s="6"/>
      <c r="L189" s="6"/>
      <c r="M189" s="8"/>
      <c r="N189" s="6"/>
      <c r="O189" s="6"/>
      <c r="P189" s="6"/>
      <c r="Q189" s="8"/>
      <c r="R189" s="8"/>
      <c r="S189" s="6"/>
      <c r="T189" s="10"/>
      <c r="U189" s="8"/>
      <c r="V189" s="8"/>
      <c r="W189" s="8"/>
      <c r="X189" s="8"/>
      <c r="Y189" s="6"/>
      <c r="Z189" s="8"/>
      <c r="AA189" s="8"/>
      <c r="AB189" s="6"/>
      <c r="AC189" s="30"/>
      <c r="AD189" s="6"/>
      <c r="AE189" s="8"/>
      <c r="AF189" s="8"/>
      <c r="AG189" s="8"/>
      <c r="AH189" s="24"/>
      <c r="AI189" s="6"/>
      <c r="AJ189" s="8"/>
      <c r="AK189" s="8"/>
      <c r="AL189" s="6"/>
      <c r="AM189" s="30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22.5" customHeight="1">
      <c r="A190" s="8"/>
      <c r="B190" s="8"/>
      <c r="C190" s="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10"/>
      <c r="U190" s="8"/>
      <c r="V190" s="8"/>
      <c r="W190" s="8"/>
      <c r="X190" s="8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ht="22.5" customHeight="1">
      <c r="A191" s="8"/>
      <c r="B191" s="8"/>
      <c r="C191" s="8"/>
      <c r="D191" s="6"/>
      <c r="E191" s="6"/>
      <c r="F191" s="6"/>
      <c r="G191" s="6"/>
      <c r="H191" s="6"/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10"/>
      <c r="U191" s="8"/>
      <c r="V191" s="8"/>
      <c r="W191" s="8"/>
      <c r="X191" s="8"/>
      <c r="Y191" s="6"/>
      <c r="Z191" s="6"/>
      <c r="AA191" s="8"/>
      <c r="AB191" s="6"/>
      <c r="AC191" s="30"/>
      <c r="AD191" s="6"/>
      <c r="AE191" s="8"/>
      <c r="AF191" s="8"/>
      <c r="AG191" s="6"/>
      <c r="AH191" s="6"/>
      <c r="AI191" s="6"/>
      <c r="AJ191" s="8"/>
      <c r="AK191" s="8"/>
      <c r="AL191" s="6"/>
      <c r="AM191" s="30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ht="22.5" customHeight="1">
      <c r="A192" s="8"/>
      <c r="B192" s="8"/>
      <c r="C192" s="8"/>
      <c r="D192" s="6"/>
      <c r="E192" s="6"/>
      <c r="F192" s="6"/>
      <c r="G192" s="6"/>
      <c r="H192" s="6"/>
      <c r="I192" s="6"/>
      <c r="J192" s="6"/>
      <c r="K192" s="6"/>
      <c r="L192" s="6"/>
      <c r="M192" s="8"/>
      <c r="N192" s="6"/>
      <c r="O192" s="6"/>
      <c r="P192" s="6"/>
      <c r="Q192" s="6"/>
      <c r="R192" s="6"/>
      <c r="S192" s="6"/>
      <c r="T192" s="10"/>
      <c r="U192" s="6"/>
      <c r="V192" s="6"/>
      <c r="W192" s="6"/>
      <c r="X192" s="6"/>
      <c r="Y192" s="6"/>
      <c r="Z192" s="6"/>
      <c r="AA192" s="8"/>
      <c r="AB192" s="8"/>
      <c r="AC192" s="8"/>
      <c r="AD192" s="6"/>
      <c r="AE192" s="8"/>
      <c r="AF192" s="8"/>
      <c r="AG192" s="8"/>
      <c r="AH192" s="8"/>
      <c r="AI192" s="6"/>
      <c r="AJ192" s="8"/>
      <c r="AK192" s="8"/>
      <c r="AL192" s="8"/>
      <c r="AM192" s="8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ht="22.5" customHeight="1">
      <c r="A193" s="8"/>
      <c r="B193" s="8"/>
      <c r="C193" s="8"/>
      <c r="D193" s="6"/>
      <c r="E193" s="6"/>
      <c r="F193" s="6"/>
      <c r="G193" s="6"/>
      <c r="H193" s="6"/>
      <c r="I193" s="6"/>
      <c r="J193" s="6"/>
      <c r="K193" s="6"/>
      <c r="L193" s="6"/>
      <c r="M193" s="8"/>
      <c r="N193" s="6"/>
      <c r="O193" s="6"/>
      <c r="P193" s="6"/>
      <c r="Q193" s="8"/>
      <c r="R193" s="8"/>
      <c r="S193" s="6"/>
      <c r="T193" s="8"/>
      <c r="U193" s="8"/>
      <c r="V193" s="8"/>
      <c r="W193" s="8"/>
      <c r="X193" s="8"/>
      <c r="Y193" s="6"/>
      <c r="Z193" s="8"/>
      <c r="AA193" s="8"/>
      <c r="AB193" s="8"/>
      <c r="AC193" s="8"/>
      <c r="AD193" s="6"/>
      <c r="AE193" s="8"/>
      <c r="AF193" s="8"/>
      <c r="AG193" s="8"/>
      <c r="AH193" s="24"/>
      <c r="AI193" s="6"/>
      <c r="AJ193" s="8"/>
      <c r="AK193" s="8"/>
      <c r="AL193" s="8"/>
      <c r="AM193" s="8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22.5" customHeight="1">
      <c r="A194" s="8"/>
      <c r="B194" s="8"/>
      <c r="C194" s="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8"/>
      <c r="U194" s="8"/>
      <c r="V194" s="8"/>
      <c r="W194" s="8"/>
      <c r="X194" s="8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ht="22.5" customHeight="1">
      <c r="A195" s="8"/>
      <c r="B195" s="8"/>
      <c r="C195" s="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8"/>
      <c r="U195" s="8"/>
      <c r="V195" s="8"/>
      <c r="W195" s="8"/>
      <c r="X195" s="8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ht="22.5" customHeight="1">
      <c r="A196" s="8"/>
      <c r="B196" s="8"/>
      <c r="C196" s="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8"/>
      <c r="U196" s="8"/>
      <c r="V196" s="8"/>
      <c r="W196" s="8"/>
      <c r="X196" s="8"/>
      <c r="Y196" s="6"/>
      <c r="Z196" s="6"/>
      <c r="AA196" s="8"/>
      <c r="AB196" s="6"/>
      <c r="AC196" s="6"/>
      <c r="AD196" s="6"/>
      <c r="AE196" s="8"/>
      <c r="AF196" s="8"/>
      <c r="AG196" s="6"/>
      <c r="AH196" s="6"/>
      <c r="AI196" s="6"/>
      <c r="AJ196" s="8"/>
      <c r="AK196" s="8"/>
      <c r="AL196" s="30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ht="22.5" customHeight="1">
      <c r="A197" s="8"/>
      <c r="B197" s="8"/>
      <c r="C197" s="8"/>
      <c r="D197" s="6"/>
      <c r="E197" s="6"/>
      <c r="F197" s="6"/>
      <c r="G197" s="6"/>
      <c r="H197" s="6"/>
      <c r="I197" s="6"/>
      <c r="J197" s="6"/>
      <c r="K197" s="6"/>
      <c r="L197" s="6"/>
      <c r="M197" s="8"/>
      <c r="N197" s="6"/>
      <c r="O197" s="6"/>
      <c r="P197" s="6"/>
      <c r="Q197" s="8"/>
      <c r="R197" s="8"/>
      <c r="S197" s="6"/>
      <c r="T197" s="8"/>
      <c r="U197" s="8"/>
      <c r="V197" s="8"/>
      <c r="W197" s="8"/>
      <c r="X197" s="8"/>
      <c r="Y197" s="6"/>
      <c r="Z197" s="6"/>
      <c r="AA197" s="8"/>
      <c r="AB197" s="8"/>
      <c r="AC197" s="8"/>
      <c r="AD197" s="6"/>
      <c r="AE197" s="8"/>
      <c r="AF197" s="8"/>
      <c r="AG197" s="8"/>
      <c r="AH197" s="8"/>
      <c r="AI197" s="6"/>
      <c r="AJ197" s="8"/>
      <c r="AK197" s="8"/>
      <c r="AL197" s="24"/>
      <c r="AM197" s="8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ht="22.5" customHeight="1">
      <c r="A198" s="8"/>
      <c r="B198" s="8"/>
      <c r="C198" s="8"/>
      <c r="D198" s="6"/>
      <c r="E198" s="6"/>
      <c r="F198" s="6"/>
      <c r="G198" s="6"/>
      <c r="H198" s="6"/>
      <c r="I198" s="6"/>
      <c r="J198" s="6"/>
      <c r="K198" s="6"/>
      <c r="L198" s="6"/>
      <c r="M198" s="8"/>
      <c r="N198" s="6"/>
      <c r="O198" s="6"/>
      <c r="P198" s="6"/>
      <c r="Q198" s="8"/>
      <c r="R198" s="8"/>
      <c r="S198" s="6"/>
      <c r="T198" s="8"/>
      <c r="U198" s="8"/>
      <c r="V198" s="8"/>
      <c r="W198" s="8"/>
      <c r="X198" s="8"/>
      <c r="Y198" s="6"/>
      <c r="Z198" s="6"/>
      <c r="AA198" s="8"/>
      <c r="AB198" s="8"/>
      <c r="AC198" s="8"/>
      <c r="AD198" s="6"/>
      <c r="AE198" s="8"/>
      <c r="AF198" s="8"/>
      <c r="AG198" s="8"/>
      <c r="AH198" s="8"/>
      <c r="AI198" s="6"/>
      <c r="AJ198" s="8"/>
      <c r="AK198" s="8"/>
      <c r="AL198" s="24"/>
      <c r="AM198" s="8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22.5" customHeight="1">
      <c r="A199" s="8"/>
      <c r="B199" s="8"/>
      <c r="C199" s="8"/>
      <c r="D199" s="6"/>
      <c r="E199" s="6"/>
      <c r="F199" s="6"/>
      <c r="G199" s="6"/>
      <c r="H199" s="6"/>
      <c r="I199" s="6"/>
      <c r="J199" s="6"/>
      <c r="K199" s="6"/>
      <c r="L199" s="6"/>
      <c r="M199" s="8"/>
      <c r="N199" s="6"/>
      <c r="O199" s="6"/>
      <c r="P199" s="6"/>
      <c r="Q199" s="8"/>
      <c r="R199" s="8"/>
      <c r="S199" s="6"/>
      <c r="T199" s="8"/>
      <c r="U199" s="8"/>
      <c r="V199" s="8"/>
      <c r="W199" s="8"/>
      <c r="X199" s="8"/>
      <c r="Y199" s="6"/>
      <c r="Z199" s="6"/>
      <c r="AA199" s="8"/>
      <c r="AB199" s="8"/>
      <c r="AC199" s="8"/>
      <c r="AD199" s="6"/>
      <c r="AE199" s="8"/>
      <c r="AF199" s="8"/>
      <c r="AG199" s="8"/>
      <c r="AH199" s="8"/>
      <c r="AI199" s="6"/>
      <c r="AJ199" s="8"/>
      <c r="AK199" s="8"/>
      <c r="AL199" s="24"/>
      <c r="AM199" s="8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ht="22.5" customHeight="1">
      <c r="A200" s="8"/>
      <c r="B200" s="8"/>
      <c r="C200" s="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8"/>
      <c r="U200" s="8"/>
      <c r="V200" s="8"/>
      <c r="W200" s="8"/>
      <c r="X200" s="8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30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ht="22.5" customHeight="1">
      <c r="A201" s="8"/>
      <c r="B201" s="8"/>
      <c r="C201" s="8"/>
      <c r="D201" s="6"/>
      <c r="E201" s="6"/>
      <c r="F201" s="6"/>
      <c r="G201" s="6"/>
      <c r="H201" s="6"/>
      <c r="I201" s="6"/>
      <c r="J201" s="6"/>
      <c r="K201" s="6"/>
      <c r="L201" s="6"/>
      <c r="M201" s="8"/>
      <c r="N201" s="6"/>
      <c r="O201" s="6"/>
      <c r="P201" s="6"/>
      <c r="Q201" s="8"/>
      <c r="R201" s="8"/>
      <c r="S201" s="6"/>
      <c r="T201" s="8"/>
      <c r="U201" s="8"/>
      <c r="V201" s="8"/>
      <c r="W201" s="6"/>
      <c r="X201" s="6"/>
      <c r="Y201" s="6"/>
      <c r="Z201" s="6"/>
      <c r="AA201" s="8"/>
      <c r="AB201" s="6"/>
      <c r="AC201" s="6"/>
      <c r="AD201" s="6"/>
      <c r="AE201" s="8"/>
      <c r="AF201" s="8"/>
      <c r="AG201" s="6"/>
      <c r="AH201" s="6"/>
      <c r="AI201" s="6"/>
      <c r="AJ201" s="8"/>
      <c r="AK201" s="8"/>
      <c r="AL201" s="30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ht="22.5" customHeight="1">
      <c r="A202" s="8"/>
      <c r="B202" s="8"/>
      <c r="C202" s="8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8"/>
      <c r="R202" s="8"/>
      <c r="S202" s="6"/>
      <c r="T202" s="8"/>
      <c r="U202" s="8"/>
      <c r="V202" s="8"/>
      <c r="W202" s="8"/>
      <c r="X202" s="8"/>
      <c r="Y202" s="6"/>
      <c r="Z202" s="6"/>
      <c r="AA202" s="8"/>
      <c r="AB202" s="6"/>
      <c r="AC202" s="6"/>
      <c r="AD202" s="6"/>
      <c r="AE202" s="8"/>
      <c r="AF202" s="8"/>
      <c r="AG202" s="8"/>
      <c r="AH202" s="8"/>
      <c r="AI202" s="6"/>
      <c r="AJ202" s="6"/>
      <c r="AK202" s="6"/>
      <c r="AL202" s="24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22.5" customHeight="1">
      <c r="A203" s="8"/>
      <c r="B203" s="8"/>
      <c r="C203" s="8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8"/>
      <c r="O203" s="6"/>
      <c r="P203" s="6"/>
      <c r="Q203" s="6"/>
      <c r="R203" s="6"/>
      <c r="S203" s="6"/>
      <c r="T203" s="8"/>
      <c r="U203" s="8"/>
      <c r="V203" s="8"/>
      <c r="W203" s="8"/>
      <c r="X203" s="8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30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ht="22.5" customHeight="1">
      <c r="A204" s="8"/>
      <c r="B204" s="8"/>
      <c r="C204" s="8"/>
      <c r="D204" s="6"/>
      <c r="E204" s="6"/>
      <c r="F204" s="6"/>
      <c r="G204" s="6"/>
      <c r="H204" s="6"/>
      <c r="I204" s="8"/>
      <c r="J204" s="8"/>
      <c r="K204" s="6"/>
      <c r="L204" s="6"/>
      <c r="M204" s="8"/>
      <c r="N204" s="8"/>
      <c r="O204" s="6"/>
      <c r="P204" s="6"/>
      <c r="Q204" s="8"/>
      <c r="R204" s="8"/>
      <c r="S204" s="8"/>
      <c r="T204" s="6"/>
      <c r="U204" s="6"/>
      <c r="V204" s="6"/>
      <c r="W204" s="6"/>
      <c r="X204" s="6"/>
      <c r="Y204" s="6"/>
      <c r="Z204" s="6"/>
      <c r="AA204" s="8"/>
      <c r="AB204" s="8"/>
      <c r="AC204" s="8"/>
      <c r="AD204" s="6"/>
      <c r="AE204" s="8"/>
      <c r="AF204" s="8"/>
      <c r="AG204" s="8"/>
      <c r="AH204" s="8"/>
      <c r="AI204" s="6"/>
      <c r="AJ204" s="8"/>
      <c r="AK204" s="8"/>
      <c r="AL204" s="24"/>
      <c r="AM204" s="8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ht="75.0" customHeight="1">
      <c r="A205" s="8"/>
      <c r="B205" s="8"/>
      <c r="C205" s="8"/>
      <c r="D205" s="6"/>
      <c r="E205" s="6"/>
      <c r="F205" s="6"/>
      <c r="G205" s="6"/>
      <c r="H205" s="6"/>
      <c r="I205" s="6"/>
      <c r="J205" s="6"/>
      <c r="K205" s="6"/>
      <c r="L205" s="6"/>
      <c r="M205" s="8"/>
      <c r="N205" s="6"/>
      <c r="O205" s="6"/>
      <c r="P205" s="6"/>
      <c r="Q205" s="8"/>
      <c r="R205" s="8"/>
      <c r="S205" s="6"/>
      <c r="T205" s="8"/>
      <c r="U205" s="8"/>
      <c r="V205" s="8"/>
      <c r="W205" s="8"/>
      <c r="X205" s="8"/>
      <c r="Y205" s="6"/>
      <c r="Z205" s="6"/>
      <c r="AA205" s="6"/>
      <c r="AB205" s="6"/>
      <c r="AC205" s="6"/>
      <c r="AD205" s="6"/>
      <c r="AE205" s="8"/>
      <c r="AF205" s="8"/>
      <c r="AG205" s="8"/>
      <c r="AH205" s="8"/>
      <c r="AI205" s="6"/>
      <c r="AJ205" s="8"/>
      <c r="AK205" s="8"/>
      <c r="AL205" s="8"/>
      <c r="AM205" s="8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ht="75.0" customHeight="1">
      <c r="A206" s="8"/>
      <c r="B206" s="8"/>
      <c r="C206" s="8"/>
      <c r="D206" s="6"/>
      <c r="E206" s="6"/>
      <c r="F206" s="6"/>
      <c r="G206" s="6"/>
      <c r="H206" s="6"/>
      <c r="I206" s="6"/>
      <c r="J206" s="6"/>
      <c r="K206" s="6"/>
      <c r="L206" s="6"/>
      <c r="M206" s="8"/>
      <c r="N206" s="6"/>
      <c r="O206" s="6"/>
      <c r="P206" s="6"/>
      <c r="Q206" s="6"/>
      <c r="R206" s="6"/>
      <c r="S206" s="8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30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ht="75.0" customHeight="1">
      <c r="A207" s="8"/>
      <c r="B207" s="8"/>
      <c r="C207" s="8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30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ht="75.0" customHeight="1">
      <c r="A208" s="8"/>
      <c r="B208" s="8"/>
      <c r="C208" s="8"/>
      <c r="D208" s="6"/>
      <c r="E208" s="6"/>
      <c r="F208" s="6"/>
      <c r="G208" s="6"/>
      <c r="H208" s="6"/>
      <c r="I208" s="6"/>
      <c r="J208" s="6"/>
      <c r="K208" s="6"/>
      <c r="L208" s="6"/>
      <c r="M208" s="8"/>
      <c r="N208" s="6"/>
      <c r="O208" s="8"/>
      <c r="P208" s="8"/>
      <c r="Q208" s="8"/>
      <c r="R208" s="8"/>
      <c r="S208" s="8"/>
      <c r="T208" s="6"/>
      <c r="U208" s="6"/>
      <c r="V208" s="6"/>
      <c r="W208" s="6"/>
      <c r="X208" s="6"/>
      <c r="Y208" s="6"/>
      <c r="Z208" s="6"/>
      <c r="AA208" s="8"/>
      <c r="AB208" s="8"/>
      <c r="AC208" s="8"/>
      <c r="AD208" s="6"/>
      <c r="AE208" s="8"/>
      <c r="AF208" s="8"/>
      <c r="AG208" s="8"/>
      <c r="AH208" s="8"/>
      <c r="AI208" s="6"/>
      <c r="AJ208" s="8"/>
      <c r="AK208" s="8"/>
      <c r="AL208" s="24"/>
      <c r="AM208" s="8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ht="75.0" customHeight="1">
      <c r="A209" s="8"/>
      <c r="B209" s="8"/>
      <c r="C209" s="8"/>
      <c r="D209" s="6"/>
      <c r="E209" s="6"/>
      <c r="F209" s="6"/>
      <c r="G209" s="6"/>
      <c r="H209" s="6"/>
      <c r="I209" s="6"/>
      <c r="J209" s="6"/>
      <c r="K209" s="6"/>
      <c r="L209" s="6"/>
      <c r="M209" s="8"/>
      <c r="N209" s="6"/>
      <c r="O209" s="6"/>
      <c r="P209" s="6"/>
      <c r="Q209" s="8"/>
      <c r="R209" s="8"/>
      <c r="S209" s="6"/>
      <c r="T209" s="8"/>
      <c r="U209" s="8"/>
      <c r="V209" s="8"/>
      <c r="W209" s="8"/>
      <c r="X209" s="8"/>
      <c r="Y209" s="6"/>
      <c r="Z209" s="8"/>
      <c r="AA209" s="8"/>
      <c r="AB209" s="8"/>
      <c r="AC209" s="8"/>
      <c r="AD209" s="6"/>
      <c r="AE209" s="8"/>
      <c r="AF209" s="8"/>
      <c r="AG209" s="8"/>
      <c r="AH209" s="8"/>
      <c r="AI209" s="6"/>
      <c r="AJ209" s="8"/>
      <c r="AK209" s="8"/>
      <c r="AL209" s="24"/>
      <c r="AM209" s="8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ht="75.0" customHeight="1">
      <c r="A210" s="8"/>
      <c r="B210" s="8"/>
      <c r="C210" s="8"/>
      <c r="D210" s="6"/>
      <c r="E210" s="6"/>
      <c r="F210" s="6"/>
      <c r="G210" s="6"/>
      <c r="H210" s="6"/>
      <c r="I210" s="6"/>
      <c r="J210" s="6"/>
      <c r="K210" s="6"/>
      <c r="L210" s="6"/>
      <c r="M210" s="8"/>
      <c r="N210" s="6"/>
      <c r="O210" s="6"/>
      <c r="P210" s="6"/>
      <c r="Q210" s="8"/>
      <c r="R210" s="8"/>
      <c r="S210" s="6"/>
      <c r="T210" s="8"/>
      <c r="U210" s="8"/>
      <c r="V210" s="8"/>
      <c r="W210" s="8"/>
      <c r="X210" s="8"/>
      <c r="Y210" s="6"/>
      <c r="Z210" s="6"/>
      <c r="AA210" s="8"/>
      <c r="AB210" s="8"/>
      <c r="AC210" s="8"/>
      <c r="AD210" s="6"/>
      <c r="AE210" s="8"/>
      <c r="AF210" s="8"/>
      <c r="AG210" s="8"/>
      <c r="AH210" s="8"/>
      <c r="AI210" s="6"/>
      <c r="AJ210" s="8"/>
      <c r="AK210" s="8"/>
      <c r="AL210" s="24"/>
      <c r="AM210" s="8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75.0" customHeight="1">
      <c r="A211" s="8"/>
      <c r="B211" s="8"/>
      <c r="C211" s="8"/>
      <c r="D211" s="6"/>
      <c r="E211" s="6"/>
      <c r="F211" s="6"/>
      <c r="G211" s="6"/>
      <c r="H211" s="6"/>
      <c r="I211" s="6"/>
      <c r="J211" s="6"/>
      <c r="K211" s="6"/>
      <c r="L211" s="6"/>
      <c r="M211" s="8"/>
      <c r="N211" s="6"/>
      <c r="O211" s="6"/>
      <c r="P211" s="6"/>
      <c r="Q211" s="8"/>
      <c r="R211" s="8"/>
      <c r="S211" s="6"/>
      <c r="T211" s="8"/>
      <c r="U211" s="8"/>
      <c r="V211" s="8"/>
      <c r="W211" s="8"/>
      <c r="X211" s="8"/>
      <c r="Y211" s="6"/>
      <c r="Z211" s="8"/>
      <c r="AA211" s="8"/>
      <c r="AB211" s="8"/>
      <c r="AC211" s="8"/>
      <c r="AD211" s="6"/>
      <c r="AE211" s="8"/>
      <c r="AF211" s="8"/>
      <c r="AG211" s="8"/>
      <c r="AH211" s="8"/>
      <c r="AI211" s="6"/>
      <c r="AJ211" s="8"/>
      <c r="AK211" s="8"/>
      <c r="AL211" s="24"/>
      <c r="AM211" s="8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ht="75.0" customHeight="1">
      <c r="A212" s="8"/>
      <c r="B212" s="8"/>
      <c r="C212" s="8"/>
      <c r="D212" s="6"/>
      <c r="E212" s="6"/>
      <c r="F212" s="6"/>
      <c r="G212" s="6"/>
      <c r="H212" s="6"/>
      <c r="I212" s="6"/>
      <c r="J212" s="6"/>
      <c r="K212" s="6"/>
      <c r="L212" s="6"/>
      <c r="M212" s="8"/>
      <c r="N212" s="6"/>
      <c r="O212" s="6"/>
      <c r="P212" s="6"/>
      <c r="Q212" s="8"/>
      <c r="R212" s="8"/>
      <c r="S212" s="6"/>
      <c r="T212" s="6"/>
      <c r="U212" s="6"/>
      <c r="V212" s="6"/>
      <c r="W212" s="6"/>
      <c r="X212" s="6"/>
      <c r="Y212" s="6"/>
      <c r="Z212" s="6"/>
      <c r="AA212" s="8"/>
      <c r="AB212" s="6"/>
      <c r="AC212" s="6"/>
      <c r="AD212" s="6"/>
      <c r="AE212" s="8"/>
      <c r="AF212" s="8"/>
      <c r="AG212" s="6"/>
      <c r="AH212" s="6"/>
      <c r="AI212" s="6"/>
      <c r="AJ212" s="8"/>
      <c r="AK212" s="8"/>
      <c r="AL212" s="30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ht="75.0" customHeight="1">
      <c r="A213" s="8"/>
      <c r="B213" s="8"/>
      <c r="C213" s="8"/>
      <c r="D213" s="6"/>
      <c r="E213" s="6"/>
      <c r="F213" s="6"/>
      <c r="G213" s="6"/>
      <c r="H213" s="6"/>
      <c r="I213" s="6"/>
      <c r="J213" s="6"/>
      <c r="K213" s="6"/>
      <c r="L213" s="6"/>
      <c r="M213" s="8"/>
      <c r="N213" s="8"/>
      <c r="O213" s="8"/>
      <c r="P213" s="8"/>
      <c r="Q213" s="8"/>
      <c r="R213" s="8"/>
      <c r="S213" s="8"/>
      <c r="T213" s="6"/>
      <c r="U213" s="6"/>
      <c r="V213" s="6"/>
      <c r="W213" s="6"/>
      <c r="X213" s="6"/>
      <c r="Y213" s="6"/>
      <c r="Z213" s="8"/>
      <c r="AA213" s="8"/>
      <c r="AB213" s="6"/>
      <c r="AC213" s="6"/>
      <c r="AD213" s="6"/>
      <c r="AE213" s="8"/>
      <c r="AF213" s="8"/>
      <c r="AG213" s="6"/>
      <c r="AH213" s="6"/>
      <c r="AI213" s="6"/>
      <c r="AJ213" s="8"/>
      <c r="AK213" s="8"/>
      <c r="AL213" s="30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ht="75.0" customHeight="1">
      <c r="A214" s="8"/>
      <c r="B214" s="8"/>
      <c r="C214" s="8"/>
      <c r="D214" s="6"/>
      <c r="E214" s="6"/>
      <c r="F214" s="6"/>
      <c r="G214" s="6"/>
      <c r="H214" s="6"/>
      <c r="I214" s="6"/>
      <c r="J214" s="6"/>
      <c r="K214" s="6"/>
      <c r="L214" s="6"/>
      <c r="M214" s="8"/>
      <c r="N214" s="6"/>
      <c r="O214" s="6"/>
      <c r="P214" s="6"/>
      <c r="Q214" s="8"/>
      <c r="R214" s="8"/>
      <c r="S214" s="6"/>
      <c r="T214" s="8"/>
      <c r="U214" s="8"/>
      <c r="V214" s="8"/>
      <c r="W214" s="8"/>
      <c r="X214" s="8"/>
      <c r="Y214" s="6"/>
      <c r="Z214" s="8"/>
      <c r="AA214" s="8"/>
      <c r="AB214" s="8"/>
      <c r="AC214" s="8"/>
      <c r="AD214" s="6"/>
      <c r="AE214" s="8"/>
      <c r="AF214" s="8"/>
      <c r="AG214" s="8"/>
      <c r="AH214" s="8"/>
      <c r="AI214" s="6"/>
      <c r="AJ214" s="8"/>
      <c r="AK214" s="8"/>
      <c r="AL214" s="8"/>
      <c r="AM214" s="8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 ht="75.0" customHeight="1">
      <c r="A215" s="8"/>
      <c r="B215" s="8"/>
      <c r="C215" s="8"/>
      <c r="D215" s="6"/>
      <c r="E215" s="6"/>
      <c r="F215" s="6"/>
      <c r="G215" s="6"/>
      <c r="H215" s="6"/>
      <c r="I215" s="6"/>
      <c r="J215" s="6"/>
      <c r="K215" s="6"/>
      <c r="L215" s="6"/>
      <c r="M215" s="8"/>
      <c r="N215" s="6"/>
      <c r="O215" s="6"/>
      <c r="P215" s="6"/>
      <c r="Q215" s="8"/>
      <c r="R215" s="8"/>
      <c r="S215" s="6"/>
      <c r="T215" s="8"/>
      <c r="U215" s="8"/>
      <c r="V215" s="8"/>
      <c r="W215" s="8"/>
      <c r="X215" s="8"/>
      <c r="Y215" s="6"/>
      <c r="Z215" s="8"/>
      <c r="AA215" s="8"/>
      <c r="AB215" s="8"/>
      <c r="AC215" s="8"/>
      <c r="AD215" s="6"/>
      <c r="AE215" s="8"/>
      <c r="AF215" s="8"/>
      <c r="AG215" s="8"/>
      <c r="AH215" s="8"/>
      <c r="AI215" s="6"/>
      <c r="AJ215" s="8"/>
      <c r="AK215" s="8"/>
      <c r="AL215" s="8"/>
      <c r="AM215" s="8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 ht="75.0" customHeight="1">
      <c r="A216" s="8"/>
      <c r="B216" s="8"/>
      <c r="C216" s="8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8"/>
      <c r="R216" s="8"/>
      <c r="S216" s="6"/>
      <c r="T216" s="6"/>
      <c r="U216" s="6"/>
      <c r="V216" s="6"/>
      <c r="W216" s="6"/>
      <c r="X216" s="6"/>
      <c r="Y216" s="6"/>
      <c r="Z216" s="6"/>
      <c r="AA216" s="8"/>
      <c r="AB216" s="8"/>
      <c r="AC216" s="8"/>
      <c r="AD216" s="6"/>
      <c r="AE216" s="8"/>
      <c r="AF216" s="8"/>
      <c r="AG216" s="8"/>
      <c r="AH216" s="8"/>
      <c r="AI216" s="6"/>
      <c r="AJ216" s="8"/>
      <c r="AK216" s="8"/>
      <c r="AL216" s="8"/>
      <c r="AM216" s="8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 ht="75.0" customHeight="1">
      <c r="A217" s="8"/>
      <c r="B217" s="8"/>
      <c r="C217" s="8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8"/>
      <c r="AB217" s="8"/>
      <c r="AC217" s="8"/>
      <c r="AD217" s="6"/>
      <c r="AE217" s="8"/>
      <c r="AF217" s="8"/>
      <c r="AG217" s="8"/>
      <c r="AH217" s="8"/>
      <c r="AI217" s="6"/>
      <c r="AJ217" s="8"/>
      <c r="AK217" s="8"/>
      <c r="AL217" s="8"/>
      <c r="AM217" s="8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ht="75.0" customHeight="1">
      <c r="A218" s="8"/>
      <c r="B218" s="8"/>
      <c r="C218" s="8"/>
      <c r="D218" s="6"/>
      <c r="E218" s="6"/>
      <c r="F218" s="6"/>
      <c r="G218" s="6"/>
      <c r="H218" s="6"/>
      <c r="I218" s="6"/>
      <c r="J218" s="6"/>
      <c r="K218" s="6"/>
      <c r="L218" s="6"/>
      <c r="M218" s="8"/>
      <c r="N218" s="6"/>
      <c r="O218" s="6"/>
      <c r="P218" s="6"/>
      <c r="Q218" s="8"/>
      <c r="R218" s="8"/>
      <c r="S218" s="6"/>
      <c r="T218" s="8"/>
      <c r="U218" s="8"/>
      <c r="V218" s="8"/>
      <c r="W218" s="8"/>
      <c r="X218" s="8"/>
      <c r="Y218" s="6"/>
      <c r="Z218" s="6"/>
      <c r="AA218" s="8"/>
      <c r="AB218" s="8"/>
      <c r="AC218" s="8"/>
      <c r="AD218" s="6"/>
      <c r="AE218" s="8"/>
      <c r="AF218" s="8"/>
      <c r="AG218" s="8"/>
      <c r="AH218" s="8"/>
      <c r="AI218" s="6"/>
      <c r="AJ218" s="8"/>
      <c r="AK218" s="8"/>
      <c r="AL218" s="8"/>
      <c r="AM218" s="8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ht="75.0" customHeight="1">
      <c r="A219" s="8"/>
      <c r="B219" s="8"/>
      <c r="C219" s="8"/>
      <c r="D219" s="6"/>
      <c r="E219" s="6"/>
      <c r="F219" s="6"/>
      <c r="G219" s="6"/>
      <c r="H219" s="6"/>
      <c r="I219" s="6"/>
      <c r="J219" s="6"/>
      <c r="K219" s="6"/>
      <c r="L219" s="6"/>
      <c r="M219" s="8"/>
      <c r="N219" s="6"/>
      <c r="O219" s="6"/>
      <c r="P219" s="6"/>
      <c r="Q219" s="8"/>
      <c r="R219" s="8"/>
      <c r="S219" s="6"/>
      <c r="T219" s="8"/>
      <c r="U219" s="8"/>
      <c r="V219" s="8"/>
      <c r="W219" s="8"/>
      <c r="X219" s="8"/>
      <c r="Y219" s="6"/>
      <c r="Z219" s="6"/>
      <c r="AA219" s="8"/>
      <c r="AB219" s="8"/>
      <c r="AC219" s="8"/>
      <c r="AD219" s="6"/>
      <c r="AE219" s="8"/>
      <c r="AF219" s="8"/>
      <c r="AG219" s="8"/>
      <c r="AH219" s="8"/>
      <c r="AI219" s="6"/>
      <c r="AJ219" s="8"/>
      <c r="AK219" s="8"/>
      <c r="AL219" s="8"/>
      <c r="AM219" s="8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ht="75.0" customHeight="1">
      <c r="A220" s="8"/>
      <c r="B220" s="8"/>
      <c r="C220" s="8"/>
      <c r="D220" s="6"/>
      <c r="E220" s="6"/>
      <c r="F220" s="6"/>
      <c r="G220" s="6"/>
      <c r="H220" s="6"/>
      <c r="I220" s="6"/>
      <c r="J220" s="6"/>
      <c r="K220" s="6"/>
      <c r="L220" s="6"/>
      <c r="M220" s="8"/>
      <c r="N220" s="6"/>
      <c r="O220" s="6"/>
      <c r="P220" s="6"/>
      <c r="Q220" s="8"/>
      <c r="R220" s="8"/>
      <c r="S220" s="6"/>
      <c r="T220" s="6"/>
      <c r="U220" s="6"/>
      <c r="V220" s="6"/>
      <c r="W220" s="6"/>
      <c r="X220" s="6"/>
      <c r="Y220" s="6"/>
      <c r="Z220" s="6"/>
      <c r="AA220" s="8"/>
      <c r="AB220" s="8"/>
      <c r="AC220" s="8"/>
      <c r="AD220" s="6"/>
      <c r="AE220" s="8"/>
      <c r="AF220" s="8"/>
      <c r="AG220" s="8"/>
      <c r="AH220" s="8"/>
      <c r="AI220" s="6"/>
      <c r="AJ220" s="8"/>
      <c r="AK220" s="8"/>
      <c r="AL220" s="8"/>
      <c r="AM220" s="8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 ht="75.0" customHeight="1">
      <c r="A221" s="8"/>
      <c r="B221" s="8"/>
      <c r="C221" s="8"/>
      <c r="D221" s="6"/>
      <c r="E221" s="6"/>
      <c r="F221" s="6"/>
      <c r="G221" s="6"/>
      <c r="H221" s="6"/>
      <c r="I221" s="6"/>
      <c r="J221" s="6"/>
      <c r="K221" s="6"/>
      <c r="L221" s="6"/>
      <c r="M221" s="8"/>
      <c r="N221" s="6"/>
      <c r="O221" s="6"/>
      <c r="P221" s="6"/>
      <c r="Q221" s="6"/>
      <c r="R221" s="6"/>
      <c r="S221" s="8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 ht="75.0" customHeight="1">
      <c r="A222" s="8"/>
      <c r="B222" s="8"/>
      <c r="C222" s="8"/>
      <c r="D222" s="6"/>
      <c r="E222" s="6"/>
      <c r="F222" s="6"/>
      <c r="G222" s="6"/>
      <c r="H222" s="6"/>
      <c r="I222" s="6"/>
      <c r="J222" s="6"/>
      <c r="K222" s="6"/>
      <c r="L222" s="6"/>
      <c r="M222" s="8"/>
      <c r="N222" s="6"/>
      <c r="O222" s="6"/>
      <c r="P222" s="6"/>
      <c r="Q222" s="8"/>
      <c r="R222" s="8"/>
      <c r="S222" s="6"/>
      <c r="T222" s="8"/>
      <c r="U222" s="8"/>
      <c r="V222" s="8"/>
      <c r="W222" s="8"/>
      <c r="X222" s="8"/>
      <c r="Y222" s="6"/>
      <c r="Z222" s="6"/>
      <c r="AA222" s="8"/>
      <c r="AB222" s="8"/>
      <c r="AC222" s="8"/>
      <c r="AD222" s="6"/>
      <c r="AE222" s="8"/>
      <c r="AF222" s="8"/>
      <c r="AG222" s="8"/>
      <c r="AH222" s="8"/>
      <c r="AI222" s="6"/>
      <c r="AJ222" s="8"/>
      <c r="AK222" s="8"/>
      <c r="AL222" s="8"/>
      <c r="AM222" s="8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 ht="75.0" customHeight="1">
      <c r="A223" s="8"/>
      <c r="B223" s="8"/>
      <c r="C223" s="8"/>
      <c r="D223" s="6"/>
      <c r="E223" s="6"/>
      <c r="F223" s="6"/>
      <c r="G223" s="6"/>
      <c r="H223" s="6"/>
      <c r="I223" s="8"/>
      <c r="J223" s="8"/>
      <c r="K223" s="6"/>
      <c r="L223" s="6"/>
      <c r="M223" s="8"/>
      <c r="N223" s="6"/>
      <c r="O223" s="6"/>
      <c r="P223" s="6"/>
      <c r="Q223" s="6"/>
      <c r="R223" s="6"/>
      <c r="S223" s="8"/>
      <c r="T223" s="6"/>
      <c r="U223" s="6"/>
      <c r="V223" s="6"/>
      <c r="W223" s="6"/>
      <c r="X223" s="6"/>
      <c r="Y223" s="6"/>
      <c r="Z223" s="6"/>
      <c r="AA223" s="8"/>
      <c r="AB223" s="6"/>
      <c r="AC223" s="6"/>
      <c r="AD223" s="6"/>
      <c r="AE223" s="8"/>
      <c r="AF223" s="8"/>
      <c r="AG223" s="6"/>
      <c r="AH223" s="6"/>
      <c r="AI223" s="6"/>
      <c r="AJ223" s="8"/>
      <c r="AK223" s="8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ht="75.0" customHeight="1">
      <c r="A224" s="8"/>
      <c r="B224" s="8"/>
      <c r="C224" s="8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8"/>
      <c r="U224" s="8"/>
      <c r="V224" s="8"/>
      <c r="W224" s="8"/>
      <c r="X224" s="8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 ht="75.0" customHeight="1">
      <c r="A225" s="8"/>
      <c r="B225" s="8"/>
      <c r="C225" s="8"/>
      <c r="D225" s="6"/>
      <c r="E225" s="6"/>
      <c r="F225" s="6"/>
      <c r="G225" s="6"/>
      <c r="H225" s="6"/>
      <c r="I225" s="6"/>
      <c r="J225" s="6"/>
      <c r="K225" s="6"/>
      <c r="L225" s="6"/>
      <c r="M225" s="8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8"/>
      <c r="AB225" s="6"/>
      <c r="AC225" s="6"/>
      <c r="AD225" s="6"/>
      <c r="AE225" s="8"/>
      <c r="AF225" s="8"/>
      <c r="AG225" s="6"/>
      <c r="AH225" s="6"/>
      <c r="AI225" s="6"/>
      <c r="AJ225" s="8"/>
      <c r="AK225" s="8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 ht="75.0" customHeight="1">
      <c r="A226" s="8"/>
      <c r="B226" s="8"/>
      <c r="C226" s="8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8"/>
      <c r="U226" s="8"/>
      <c r="V226" s="8"/>
      <c r="W226" s="8"/>
      <c r="X226" s="8"/>
      <c r="Y226" s="6"/>
      <c r="Z226" s="6"/>
      <c r="AA226" s="8"/>
      <c r="AB226" s="8"/>
      <c r="AC226" s="8"/>
      <c r="AD226" s="6"/>
      <c r="AE226" s="8"/>
      <c r="AF226" s="8"/>
      <c r="AG226" s="8"/>
      <c r="AH226" s="8"/>
      <c r="AI226" s="6"/>
      <c r="AJ226" s="8"/>
      <c r="AK226" s="8"/>
      <c r="AL226" s="8"/>
      <c r="AM226" s="8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 ht="75.0" customHeight="1">
      <c r="A227" s="6"/>
      <c r="B227" s="6"/>
      <c r="C227" s="8"/>
      <c r="D227" s="6"/>
      <c r="E227" s="6"/>
      <c r="F227" s="6"/>
      <c r="G227" s="6"/>
      <c r="H227" s="6"/>
      <c r="I227" s="6"/>
      <c r="J227" s="6"/>
      <c r="K227" s="6"/>
      <c r="L227" s="6"/>
      <c r="M227" s="8"/>
      <c r="N227" s="6"/>
      <c r="O227" s="8"/>
      <c r="P227" s="6"/>
      <c r="Q227" s="8"/>
      <c r="R227" s="8"/>
      <c r="S227" s="6"/>
      <c r="T227" s="6"/>
      <c r="U227" s="6"/>
      <c r="V227" s="6"/>
      <c r="W227" s="6"/>
      <c r="X227" s="6"/>
      <c r="Y227" s="6"/>
      <c r="Z227" s="6"/>
      <c r="AA227" s="8"/>
      <c r="AB227" s="8"/>
      <c r="AC227" s="8"/>
      <c r="AD227" s="6"/>
      <c r="AE227" s="8"/>
      <c r="AF227" s="8"/>
      <c r="AG227" s="8"/>
      <c r="AH227" s="8"/>
      <c r="AI227" s="6"/>
      <c r="AJ227" s="8"/>
      <c r="AK227" s="8"/>
      <c r="AL227" s="8"/>
      <c r="AM227" s="8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ht="75.0" customHeight="1">
      <c r="A228" s="6"/>
      <c r="B228" s="6"/>
      <c r="C228" s="8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8"/>
      <c r="R228" s="8"/>
      <c r="S228" s="6"/>
      <c r="T228" s="8"/>
      <c r="U228" s="8"/>
      <c r="V228" s="8"/>
      <c r="W228" s="8"/>
      <c r="X228" s="8"/>
      <c r="Y228" s="6"/>
      <c r="Z228" s="6"/>
      <c r="AA228" s="8"/>
      <c r="AB228" s="8"/>
      <c r="AC228" s="8"/>
      <c r="AD228" s="6"/>
      <c r="AE228" s="8"/>
      <c r="AF228" s="8"/>
      <c r="AG228" s="8"/>
      <c r="AH228" s="8"/>
      <c r="AI228" s="6"/>
      <c r="AJ228" s="8"/>
      <c r="AK228" s="8"/>
      <c r="AL228" s="8"/>
      <c r="AM228" s="8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 ht="75.0" customHeight="1">
      <c r="A229" s="6"/>
      <c r="B229" s="6"/>
      <c r="C229" s="8"/>
      <c r="D229" s="6"/>
      <c r="E229" s="6"/>
      <c r="F229" s="6"/>
      <c r="G229" s="6"/>
      <c r="H229" s="6"/>
      <c r="I229" s="6"/>
      <c r="J229" s="6"/>
      <c r="K229" s="6"/>
      <c r="L229" s="6"/>
      <c r="M229" s="8"/>
      <c r="N229" s="6"/>
      <c r="O229" s="6"/>
      <c r="P229" s="6"/>
      <c r="Q229" s="8"/>
      <c r="R229" s="8"/>
      <c r="S229" s="6"/>
      <c r="T229" s="8"/>
      <c r="U229" s="8"/>
      <c r="V229" s="8"/>
      <c r="W229" s="8"/>
      <c r="X229" s="8"/>
      <c r="Y229" s="6"/>
      <c r="Z229" s="6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ht="75.0" customHeight="1">
      <c r="A230" s="6"/>
      <c r="B230" s="6"/>
      <c r="C230" s="8"/>
      <c r="D230" s="6"/>
      <c r="E230" s="6"/>
      <c r="F230" s="6"/>
      <c r="G230" s="6"/>
      <c r="H230" s="6"/>
      <c r="I230" s="6"/>
      <c r="J230" s="6"/>
      <c r="K230" s="6"/>
      <c r="L230" s="6"/>
      <c r="M230" s="8"/>
      <c r="N230" s="6"/>
      <c r="O230" s="6"/>
      <c r="P230" s="6"/>
      <c r="Q230" s="6"/>
      <c r="R230" s="6"/>
      <c r="S230" s="8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ht="75.0" customHeight="1">
      <c r="A231" s="6"/>
      <c r="B231" s="6"/>
      <c r="C231" s="8"/>
      <c r="D231" s="6"/>
      <c r="E231" s="6"/>
      <c r="F231" s="6"/>
      <c r="G231" s="6"/>
      <c r="H231" s="6"/>
      <c r="I231" s="6"/>
      <c r="J231" s="6"/>
      <c r="K231" s="6"/>
      <c r="L231" s="6"/>
      <c r="M231" s="8"/>
      <c r="N231" s="6"/>
      <c r="O231" s="6"/>
      <c r="P231" s="6"/>
      <c r="Q231" s="8"/>
      <c r="R231" s="8"/>
      <c r="S231" s="6"/>
      <c r="T231" s="8"/>
      <c r="U231" s="8"/>
      <c r="V231" s="8"/>
      <c r="W231" s="8"/>
      <c r="X231" s="8"/>
      <c r="Y231" s="6"/>
      <c r="Z231" s="6"/>
      <c r="AA231" s="8"/>
      <c r="AB231" s="8"/>
      <c r="AC231" s="8"/>
      <c r="AD231" s="6"/>
      <c r="AE231" s="8"/>
      <c r="AF231" s="8"/>
      <c r="AG231" s="8"/>
      <c r="AH231" s="8"/>
      <c r="AI231" s="6"/>
      <c r="AJ231" s="8"/>
      <c r="AK231" s="8"/>
      <c r="AL231" s="8"/>
      <c r="AM231" s="8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ht="75.0" customHeight="1">
      <c r="A232" s="6"/>
      <c r="B232" s="6"/>
      <c r="C232" s="8"/>
      <c r="D232" s="6"/>
      <c r="E232" s="6"/>
      <c r="F232" s="6"/>
      <c r="G232" s="6"/>
      <c r="H232" s="6"/>
      <c r="I232" s="6"/>
      <c r="J232" s="6"/>
      <c r="K232" s="6"/>
      <c r="L232" s="6"/>
      <c r="M232" s="8"/>
      <c r="N232" s="6"/>
      <c r="O232" s="6"/>
      <c r="P232" s="6"/>
      <c r="Q232" s="8"/>
      <c r="R232" s="8"/>
      <c r="S232" s="6"/>
      <c r="T232" s="8"/>
      <c r="U232" s="8"/>
      <c r="V232" s="8"/>
      <c r="W232" s="8"/>
      <c r="X232" s="8"/>
      <c r="Y232" s="6"/>
      <c r="Z232" s="6"/>
      <c r="AA232" s="8"/>
      <c r="AB232" s="8"/>
      <c r="AC232" s="8"/>
      <c r="AD232" s="6"/>
      <c r="AE232" s="8"/>
      <c r="AF232" s="8"/>
      <c r="AG232" s="8"/>
      <c r="AH232" s="8"/>
      <c r="AI232" s="6"/>
      <c r="AJ232" s="8"/>
      <c r="AK232" s="8"/>
      <c r="AL232" s="8"/>
      <c r="AM232" s="8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ht="75.0" customHeight="1">
      <c r="A233" s="6"/>
      <c r="B233" s="6"/>
      <c r="C233" s="8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8"/>
      <c r="AB233" s="6"/>
      <c r="AC233" s="6"/>
      <c r="AD233" s="6"/>
      <c r="AE233" s="8"/>
      <c r="AF233" s="8"/>
      <c r="AG233" s="6"/>
      <c r="AH233" s="6"/>
      <c r="AI233" s="6"/>
      <c r="AJ233" s="8"/>
      <c r="AK233" s="8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ht="75.0" customHeight="1">
      <c r="A234" s="6"/>
      <c r="B234" s="6"/>
      <c r="C234" s="8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8"/>
      <c r="R234" s="8"/>
      <c r="S234" s="6"/>
      <c r="T234" s="8"/>
      <c r="U234" s="8"/>
      <c r="V234" s="8"/>
      <c r="W234" s="8"/>
      <c r="X234" s="8"/>
      <c r="Y234" s="6"/>
      <c r="Z234" s="6"/>
      <c r="AA234" s="8"/>
      <c r="AB234" s="8"/>
      <c r="AC234" s="8"/>
      <c r="AD234" s="6"/>
      <c r="AE234" s="8"/>
      <c r="AF234" s="8"/>
      <c r="AG234" s="8"/>
      <c r="AH234" s="8"/>
      <c r="AI234" s="6"/>
      <c r="AJ234" s="8"/>
      <c r="AK234" s="8"/>
      <c r="AL234" s="8"/>
      <c r="AM234" s="8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 ht="75.0" customHeight="1">
      <c r="A235" s="6"/>
      <c r="B235" s="6"/>
      <c r="C235" s="8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8"/>
      <c r="U235" s="8"/>
      <c r="V235" s="8"/>
      <c r="W235" s="8"/>
      <c r="X235" s="8"/>
      <c r="Y235" s="6"/>
      <c r="Z235" s="6"/>
      <c r="AA235" s="8"/>
      <c r="AB235" s="6"/>
      <c r="AC235" s="6"/>
      <c r="AD235" s="6"/>
      <c r="AE235" s="8"/>
      <c r="AF235" s="8"/>
      <c r="AG235" s="6"/>
      <c r="AH235" s="6"/>
      <c r="AI235" s="6"/>
      <c r="AJ235" s="8"/>
      <c r="AK235" s="8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 ht="75.0" customHeight="1">
      <c r="A236" s="6"/>
      <c r="B236" s="6"/>
      <c r="C236" s="8"/>
      <c r="D236" s="6"/>
      <c r="E236" s="6"/>
      <c r="F236" s="6"/>
      <c r="G236" s="6"/>
      <c r="H236" s="6"/>
      <c r="I236" s="6"/>
      <c r="J236" s="6"/>
      <c r="K236" s="6"/>
      <c r="L236" s="6"/>
      <c r="M236" s="8"/>
      <c r="N236" s="8"/>
      <c r="O236" s="6"/>
      <c r="P236" s="6"/>
      <c r="Q236" s="8"/>
      <c r="R236" s="8"/>
      <c r="S236" s="8"/>
      <c r="T236" s="8"/>
      <c r="U236" s="8"/>
      <c r="V236" s="8"/>
      <c r="W236" s="8"/>
      <c r="X236" s="8"/>
      <c r="Y236" s="6"/>
      <c r="Z236" s="6"/>
      <c r="AA236" s="8"/>
      <c r="AB236" s="8"/>
      <c r="AC236" s="8"/>
      <c r="AD236" s="6"/>
      <c r="AE236" s="8"/>
      <c r="AF236" s="8"/>
      <c r="AG236" s="8"/>
      <c r="AH236" s="8"/>
      <c r="AI236" s="6"/>
      <c r="AJ236" s="8"/>
      <c r="AK236" s="8"/>
      <c r="AL236" s="8"/>
      <c r="AM236" s="8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ht="75.0" customHeight="1">
      <c r="A237" s="6"/>
      <c r="B237" s="6"/>
      <c r="C237" s="8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8"/>
      <c r="U237" s="8"/>
      <c r="V237" s="8"/>
      <c r="W237" s="8"/>
      <c r="X237" s="8"/>
      <c r="Y237" s="6"/>
      <c r="Z237" s="6"/>
      <c r="AA237" s="8"/>
      <c r="AB237" s="6"/>
      <c r="AC237" s="6"/>
      <c r="AD237" s="6"/>
      <c r="AE237" s="8"/>
      <c r="AF237" s="8"/>
      <c r="AG237" s="6"/>
      <c r="AH237" s="6"/>
      <c r="AI237" s="6"/>
      <c r="AJ237" s="8"/>
      <c r="AK237" s="8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ht="75.0" customHeight="1">
      <c r="A238" s="6"/>
      <c r="B238" s="6"/>
      <c r="C238" s="8"/>
      <c r="D238" s="6"/>
      <c r="E238" s="6"/>
      <c r="F238" s="6"/>
      <c r="G238" s="6"/>
      <c r="H238" s="6"/>
      <c r="I238" s="6"/>
      <c r="J238" s="6"/>
      <c r="K238" s="6"/>
      <c r="L238" s="6"/>
      <c r="M238" s="8"/>
      <c r="N238" s="6"/>
      <c r="O238" s="6"/>
      <c r="P238" s="6"/>
      <c r="Q238" s="8"/>
      <c r="R238" s="8"/>
      <c r="S238" s="6"/>
      <c r="T238" s="8"/>
      <c r="U238" s="8"/>
      <c r="V238" s="8"/>
      <c r="W238" s="8"/>
      <c r="X238" s="8"/>
      <c r="Y238" s="6"/>
      <c r="Z238" s="6"/>
      <c r="AA238" s="8"/>
      <c r="AB238" s="8"/>
      <c r="AC238" s="8"/>
      <c r="AD238" s="6"/>
      <c r="AE238" s="8"/>
      <c r="AF238" s="8"/>
      <c r="AG238" s="8"/>
      <c r="AH238" s="8"/>
      <c r="AI238" s="6"/>
      <c r="AJ238" s="8"/>
      <c r="AK238" s="8"/>
      <c r="AL238" s="8"/>
      <c r="AM238" s="8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ht="75.0" customHeight="1">
      <c r="A239" s="6"/>
      <c r="B239" s="6"/>
      <c r="C239" s="8"/>
      <c r="D239" s="6"/>
      <c r="E239" s="6"/>
      <c r="F239" s="6"/>
      <c r="G239" s="6"/>
      <c r="H239" s="6"/>
      <c r="I239" s="6"/>
      <c r="J239" s="6"/>
      <c r="K239" s="6"/>
      <c r="L239" s="6"/>
      <c r="M239" s="8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8"/>
      <c r="AB239" s="6"/>
      <c r="AC239" s="6"/>
      <c r="AD239" s="6"/>
      <c r="AE239" s="8"/>
      <c r="AF239" s="8"/>
      <c r="AG239" s="6"/>
      <c r="AH239" s="6"/>
      <c r="AI239" s="6"/>
      <c r="AJ239" s="8"/>
      <c r="AK239" s="8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ht="75.0" customHeight="1">
      <c r="A240" s="6"/>
      <c r="B240" s="6"/>
      <c r="C240" s="8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8"/>
      <c r="U240" s="8"/>
      <c r="V240" s="8"/>
      <c r="W240" s="8"/>
      <c r="X240" s="8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 ht="75.0" customHeight="1">
      <c r="A241" s="6"/>
      <c r="B241" s="6"/>
      <c r="C241" s="8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8"/>
      <c r="R241" s="8"/>
      <c r="S241" s="6"/>
      <c r="T241" s="6"/>
      <c r="U241" s="6"/>
      <c r="V241" s="6"/>
      <c r="W241" s="6"/>
      <c r="X241" s="6"/>
      <c r="Y241" s="6"/>
      <c r="Z241" s="6"/>
      <c r="AA241" s="8"/>
      <c r="AB241" s="8"/>
      <c r="AC241" s="8"/>
      <c r="AD241" s="6"/>
      <c r="AE241" s="8"/>
      <c r="AF241" s="8"/>
      <c r="AG241" s="8"/>
      <c r="AH241" s="8"/>
      <c r="AI241" s="6"/>
      <c r="AJ241" s="8"/>
      <c r="AK241" s="8"/>
      <c r="AL241" s="8"/>
      <c r="AM241" s="8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ht="75.0" customHeight="1">
      <c r="A242" s="6"/>
      <c r="B242" s="6"/>
      <c r="C242" s="8"/>
      <c r="D242" s="6"/>
      <c r="E242" s="6"/>
      <c r="F242" s="6"/>
      <c r="G242" s="6"/>
      <c r="H242" s="6"/>
      <c r="I242" s="6"/>
      <c r="J242" s="6"/>
      <c r="K242" s="6"/>
      <c r="L242" s="6"/>
      <c r="M242" s="8"/>
      <c r="N242" s="6"/>
      <c r="O242" s="6"/>
      <c r="P242" s="6"/>
      <c r="Q242" s="8"/>
      <c r="R242" s="8"/>
      <c r="S242" s="6"/>
      <c r="T242" s="8"/>
      <c r="U242" s="8"/>
      <c r="V242" s="8"/>
      <c r="W242" s="8"/>
      <c r="X242" s="8"/>
      <c r="Y242" s="6"/>
      <c r="Z242" s="6"/>
      <c r="AA242" s="6"/>
      <c r="AB242" s="6"/>
      <c r="AC242" s="6"/>
      <c r="AD242" s="6"/>
      <c r="AE242" s="8"/>
      <c r="AF242" s="8"/>
      <c r="AG242" s="8"/>
      <c r="AH242" s="8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 ht="75.0" customHeight="1">
      <c r="A243" s="6"/>
      <c r="B243" s="6"/>
      <c r="C243" s="8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8"/>
      <c r="U243" s="8"/>
      <c r="V243" s="8"/>
      <c r="W243" s="8"/>
      <c r="X243" s="8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 ht="75.0" customHeight="1">
      <c r="A244" s="6"/>
      <c r="B244" s="6"/>
      <c r="C244" s="8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8"/>
      <c r="R244" s="8"/>
      <c r="S244" s="6"/>
      <c r="T244" s="8"/>
      <c r="U244" s="8"/>
      <c r="V244" s="8"/>
      <c r="W244" s="8"/>
      <c r="X244" s="8"/>
      <c r="Y244" s="6"/>
      <c r="Z244" s="6"/>
      <c r="AA244" s="6"/>
      <c r="AB244" s="6"/>
      <c r="AC244" s="6"/>
      <c r="AD244" s="6"/>
      <c r="AE244" s="8"/>
      <c r="AF244" s="8"/>
      <c r="AG244" s="8"/>
      <c r="AH244" s="8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ht="75.0" customHeight="1">
      <c r="A245" s="6"/>
      <c r="B245" s="6"/>
      <c r="C245" s="8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8"/>
      <c r="U245" s="8"/>
      <c r="V245" s="8"/>
      <c r="W245" s="8"/>
      <c r="X245" s="8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 ht="75.0" customHeight="1">
      <c r="A246" s="6"/>
      <c r="B246" s="6"/>
      <c r="C246" s="8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8"/>
      <c r="U246" s="8"/>
      <c r="V246" s="8"/>
      <c r="W246" s="8"/>
      <c r="X246" s="8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ht="75.0" customHeight="1">
      <c r="A247" s="6"/>
      <c r="B247" s="6"/>
      <c r="C247" s="8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8"/>
      <c r="U247" s="8"/>
      <c r="V247" s="8"/>
      <c r="W247" s="8"/>
      <c r="X247" s="8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ht="75.0" customHeight="1">
      <c r="A248" s="6"/>
      <c r="B248" s="6"/>
      <c r="C248" s="8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8"/>
      <c r="U248" s="8"/>
      <c r="V248" s="8"/>
      <c r="W248" s="8"/>
      <c r="X248" s="8"/>
      <c r="Y248" s="6"/>
      <c r="Z248" s="6"/>
      <c r="AA248" s="8"/>
      <c r="AB248" s="6"/>
      <c r="AC248" s="6"/>
      <c r="AD248" s="6"/>
      <c r="AE248" s="8"/>
      <c r="AF248" s="8"/>
      <c r="AG248" s="6"/>
      <c r="AH248" s="6"/>
      <c r="AI248" s="6"/>
      <c r="AJ248" s="8"/>
      <c r="AK248" s="8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</row>
    <row r="249" ht="75.0" customHeight="1">
      <c r="A249" s="6"/>
      <c r="B249" s="6"/>
      <c r="C249" s="8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8"/>
      <c r="U249" s="8"/>
      <c r="V249" s="8"/>
      <c r="W249" s="8"/>
      <c r="X249" s="8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</row>
    <row r="250" ht="75.0" customHeight="1">
      <c r="A250" s="6"/>
      <c r="B250" s="6"/>
      <c r="C250" s="8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8"/>
      <c r="U250" s="8"/>
      <c r="V250" s="6"/>
      <c r="W250" s="6"/>
      <c r="X250" s="6"/>
      <c r="Y250" s="6"/>
      <c r="Z250" s="6"/>
      <c r="AA250" s="8"/>
      <c r="AB250" s="8"/>
      <c r="AC250" s="8"/>
      <c r="AD250" s="6"/>
      <c r="AE250" s="8"/>
      <c r="AF250" s="8"/>
      <c r="AG250" s="8"/>
      <c r="AH250" s="8"/>
      <c r="AI250" s="6"/>
      <c r="AJ250" s="8"/>
      <c r="AK250" s="8"/>
      <c r="AL250" s="8"/>
      <c r="AM250" s="8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ht="75.0" customHeight="1">
      <c r="A251" s="8"/>
      <c r="B251" s="8"/>
      <c r="C251" s="8"/>
      <c r="D251" s="6"/>
      <c r="E251" s="6"/>
      <c r="F251" s="6"/>
      <c r="G251" s="6"/>
      <c r="H251" s="6"/>
      <c r="I251" s="6"/>
      <c r="J251" s="6"/>
      <c r="K251" s="6"/>
      <c r="L251" s="6"/>
      <c r="M251" s="8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8"/>
      <c r="AA251" s="8"/>
      <c r="AB251" s="8"/>
      <c r="AC251" s="8"/>
      <c r="AD251" s="6"/>
      <c r="AE251" s="8"/>
      <c r="AF251" s="8"/>
      <c r="AG251" s="8"/>
      <c r="AH251" s="8"/>
      <c r="AI251" s="6"/>
      <c r="AJ251" s="8"/>
      <c r="AK251" s="8"/>
      <c r="AL251" s="8"/>
      <c r="AM251" s="8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ht="75.0" customHeight="1">
      <c r="A252" s="8"/>
      <c r="B252" s="8"/>
      <c r="C252" s="8"/>
      <c r="D252" s="6"/>
      <c r="E252" s="6"/>
      <c r="F252" s="6"/>
      <c r="G252" s="6"/>
      <c r="H252" s="6"/>
      <c r="I252" s="6"/>
      <c r="J252" s="6"/>
      <c r="K252" s="6"/>
      <c r="L252" s="6"/>
      <c r="M252" s="8"/>
      <c r="N252" s="6"/>
      <c r="O252" s="6"/>
      <c r="P252" s="6"/>
      <c r="Q252" s="6"/>
      <c r="R252" s="6"/>
      <c r="S252" s="8"/>
      <c r="T252" s="8"/>
      <c r="U252" s="8"/>
      <c r="V252" s="8"/>
      <c r="W252" s="8"/>
      <c r="X252" s="8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</row>
    <row r="253" ht="75.0" customHeight="1">
      <c r="A253" s="8"/>
      <c r="B253" s="8"/>
      <c r="C253" s="8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ht="75.0" customHeight="1">
      <c r="A254" s="8"/>
      <c r="B254" s="8"/>
      <c r="C254" s="8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8"/>
      <c r="R254" s="8"/>
      <c r="S254" s="6"/>
      <c r="T254" s="8"/>
      <c r="U254" s="8"/>
      <c r="V254" s="8"/>
      <c r="W254" s="8"/>
      <c r="X254" s="8"/>
      <c r="Y254" s="6"/>
      <c r="Z254" s="6"/>
      <c r="AA254" s="8"/>
      <c r="AB254" s="8"/>
      <c r="AC254" s="8"/>
      <c r="AD254" s="6"/>
      <c r="AE254" s="8"/>
      <c r="AF254" s="8"/>
      <c r="AG254" s="8"/>
      <c r="AH254" s="8"/>
      <c r="AI254" s="6"/>
      <c r="AJ254" s="8"/>
      <c r="AK254" s="8"/>
      <c r="AL254" s="8"/>
      <c r="AM254" s="8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ht="75.0" customHeight="1">
      <c r="A255" s="8"/>
      <c r="B255" s="8"/>
      <c r="C255" s="8"/>
      <c r="D255" s="6"/>
      <c r="E255" s="6"/>
      <c r="F255" s="6"/>
      <c r="G255" s="6"/>
      <c r="H255" s="6"/>
      <c r="I255" s="6"/>
      <c r="J255" s="6"/>
      <c r="K255" s="6"/>
      <c r="L255" s="8"/>
      <c r="M255" s="6"/>
      <c r="N255" s="6"/>
      <c r="O255" s="6"/>
      <c r="P255" s="8"/>
      <c r="Q255" s="8"/>
      <c r="R255" s="8"/>
      <c r="S255" s="6"/>
      <c r="T255" s="8"/>
      <c r="U255" s="8"/>
      <c r="V255" s="8"/>
      <c r="W255" s="8"/>
      <c r="X255" s="8"/>
      <c r="Y255" s="6"/>
      <c r="Z255" s="8"/>
      <c r="AA255" s="8"/>
      <c r="AB255" s="8"/>
      <c r="AC255" s="8"/>
      <c r="AD255" s="6"/>
      <c r="AE255" s="8"/>
      <c r="AF255" s="8"/>
      <c r="AG255" s="8"/>
      <c r="AH255" s="8"/>
      <c r="AI255" s="6"/>
      <c r="AJ255" s="8"/>
      <c r="AK255" s="8"/>
      <c r="AL255" s="8"/>
      <c r="AM255" s="8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ht="75.0" customHeight="1">
      <c r="A256" s="8"/>
      <c r="B256" s="8"/>
      <c r="C256" s="8"/>
      <c r="D256" s="6"/>
      <c r="E256" s="6"/>
      <c r="F256" s="6"/>
      <c r="G256" s="6"/>
      <c r="H256" s="6"/>
      <c r="I256" s="6"/>
      <c r="J256" s="6"/>
      <c r="K256" s="6"/>
      <c r="L256" s="6"/>
      <c r="M256" s="8"/>
      <c r="N256" s="6"/>
      <c r="O256" s="6"/>
      <c r="P256" s="6"/>
      <c r="Q256" s="8"/>
      <c r="R256" s="8"/>
      <c r="S256" s="6"/>
      <c r="T256" s="6"/>
      <c r="U256" s="6"/>
      <c r="V256" s="6"/>
      <c r="W256" s="6"/>
      <c r="X256" s="6"/>
      <c r="Y256" s="6"/>
      <c r="Z256" s="6"/>
      <c r="AA256" s="8"/>
      <c r="AB256" s="8"/>
      <c r="AC256" s="8"/>
      <c r="AD256" s="6"/>
      <c r="AE256" s="8"/>
      <c r="AF256" s="8"/>
      <c r="AG256" s="8"/>
      <c r="AH256" s="8"/>
      <c r="AI256" s="6"/>
      <c r="AJ256" s="8"/>
      <c r="AK256" s="8"/>
      <c r="AL256" s="8"/>
      <c r="AM256" s="8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</row>
    <row r="257" ht="75.0" customHeight="1">
      <c r="A257" s="8"/>
      <c r="B257" s="8"/>
      <c r="C257" s="8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8"/>
      <c r="U257" s="8"/>
      <c r="V257" s="8"/>
      <c r="W257" s="8"/>
      <c r="X257" s="8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ht="75.0" customHeight="1">
      <c r="A258" s="8"/>
      <c r="B258" s="8"/>
      <c r="C258" s="8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8"/>
      <c r="AB258" s="6"/>
      <c r="AC258" s="6"/>
      <c r="AD258" s="6"/>
      <c r="AE258" s="8"/>
      <c r="AF258" s="8"/>
      <c r="AG258" s="6"/>
      <c r="AH258" s="6"/>
      <c r="AI258" s="6"/>
      <c r="AJ258" s="8"/>
      <c r="AK258" s="8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</row>
    <row r="259" ht="75.0" customHeight="1">
      <c r="A259" s="8"/>
      <c r="B259" s="8"/>
      <c r="C259" s="8"/>
      <c r="D259" s="6"/>
      <c r="E259" s="6"/>
      <c r="F259" s="6"/>
      <c r="G259" s="6"/>
      <c r="H259" s="6"/>
      <c r="I259" s="6"/>
      <c r="J259" s="6"/>
      <c r="K259" s="6"/>
      <c r="L259" s="6"/>
      <c r="M259" s="8"/>
      <c r="N259" s="6"/>
      <c r="O259" s="6"/>
      <c r="P259" s="6"/>
      <c r="Q259" s="8"/>
      <c r="R259" s="8"/>
      <c r="S259" s="6"/>
      <c r="T259" s="8"/>
      <c r="U259" s="8"/>
      <c r="V259" s="8"/>
      <c r="W259" s="6"/>
      <c r="X259" s="6"/>
      <c r="Y259" s="6"/>
      <c r="Z259" s="6"/>
      <c r="AA259" s="8"/>
      <c r="AB259" s="8"/>
      <c r="AC259" s="8"/>
      <c r="AD259" s="6"/>
      <c r="AE259" s="8"/>
      <c r="AF259" s="8"/>
      <c r="AG259" s="8"/>
      <c r="AH259" s="8"/>
      <c r="AI259" s="6"/>
      <c r="AJ259" s="8"/>
      <c r="AK259" s="8"/>
      <c r="AL259" s="8"/>
      <c r="AM259" s="8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</row>
    <row r="260" ht="75.0" customHeight="1">
      <c r="A260" s="8"/>
      <c r="B260" s="8"/>
      <c r="C260" s="8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ht="75.0" customHeight="1">
      <c r="A261" s="8"/>
      <c r="B261" s="8"/>
      <c r="C261" s="8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8"/>
      <c r="U261" s="8"/>
      <c r="V261" s="8"/>
      <c r="W261" s="8"/>
      <c r="X261" s="8"/>
      <c r="Y261" s="6"/>
      <c r="Z261" s="6"/>
      <c r="AA261" s="8"/>
      <c r="AB261" s="6"/>
      <c r="AC261" s="6"/>
      <c r="AD261" s="6"/>
      <c r="AE261" s="8"/>
      <c r="AF261" s="8"/>
      <c r="AG261" s="6"/>
      <c r="AH261" s="6"/>
      <c r="AI261" s="6"/>
      <c r="AJ261" s="8"/>
      <c r="AK261" s="8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ht="75.0" customHeight="1">
      <c r="A262" s="8"/>
      <c r="B262" s="8"/>
      <c r="C262" s="8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8"/>
      <c r="AB262" s="6"/>
      <c r="AC262" s="6"/>
      <c r="AD262" s="6"/>
      <c r="AE262" s="8"/>
      <c r="AF262" s="8"/>
      <c r="AG262" s="6"/>
      <c r="AH262" s="6"/>
      <c r="AI262" s="6"/>
      <c r="AJ262" s="8"/>
      <c r="AK262" s="8"/>
      <c r="AL262" s="8"/>
      <c r="AM262" s="8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ht="75.0" customHeight="1">
      <c r="A263" s="8"/>
      <c r="B263" s="8"/>
      <c r="C263" s="8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8"/>
      <c r="R263" s="8"/>
      <c r="S263" s="6"/>
      <c r="T263" s="8"/>
      <c r="U263" s="8"/>
      <c r="V263" s="8"/>
      <c r="W263" s="8"/>
      <c r="X263" s="8"/>
      <c r="Y263" s="6"/>
      <c r="Z263" s="6"/>
      <c r="AA263" s="8"/>
      <c r="AB263" s="8"/>
      <c r="AC263" s="8"/>
      <c r="AD263" s="6"/>
      <c r="AE263" s="8"/>
      <c r="AF263" s="8"/>
      <c r="AG263" s="8"/>
      <c r="AH263" s="8"/>
      <c r="AI263" s="6"/>
      <c r="AJ263" s="8"/>
      <c r="AK263" s="8"/>
      <c r="AL263" s="8"/>
      <c r="AM263" s="8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ht="75.0" customHeight="1">
      <c r="A264" s="8"/>
      <c r="B264" s="8"/>
      <c r="C264" s="8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8"/>
      <c r="AB264" s="6"/>
      <c r="AC264" s="6"/>
      <c r="AD264" s="6"/>
      <c r="AE264" s="8"/>
      <c r="AF264" s="8"/>
      <c r="AG264" s="6"/>
      <c r="AH264" s="6"/>
      <c r="AI264" s="6"/>
      <c r="AJ264" s="8"/>
      <c r="AK264" s="8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ht="75.0" customHeight="1">
      <c r="A265" s="8"/>
      <c r="B265" s="8"/>
      <c r="C265" s="8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8"/>
      <c r="U265" s="8"/>
      <c r="V265" s="8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ht="75.0" customHeight="1">
      <c r="A266" s="6"/>
      <c r="B266" s="6"/>
      <c r="C266" s="8"/>
      <c r="D266" s="6"/>
      <c r="E266" s="6"/>
      <c r="F266" s="6"/>
      <c r="G266" s="6"/>
      <c r="H266" s="6"/>
      <c r="I266" s="6"/>
      <c r="J266" s="6"/>
      <c r="K266" s="6"/>
      <c r="L266" s="6"/>
      <c r="M266" s="8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8"/>
      <c r="AB266" s="8"/>
      <c r="AC266" s="8"/>
      <c r="AD266" s="6"/>
      <c r="AE266" s="8"/>
      <c r="AF266" s="8"/>
      <c r="AG266" s="8"/>
      <c r="AH266" s="8"/>
      <c r="AI266" s="6"/>
      <c r="AJ266" s="8"/>
      <c r="AK266" s="8"/>
      <c r="AL266" s="8"/>
      <c r="AM266" s="8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</row>
    <row r="267" ht="75.0" customHeight="1">
      <c r="A267" s="6"/>
      <c r="B267" s="6"/>
      <c r="C267" s="8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8"/>
      <c r="U267" s="8"/>
      <c r="V267" s="8"/>
      <c r="W267" s="8"/>
      <c r="X267" s="8"/>
      <c r="Y267" s="6"/>
      <c r="Z267" s="6"/>
      <c r="AA267" s="8"/>
      <c r="AB267" s="6"/>
      <c r="AC267" s="6"/>
      <c r="AD267" s="6"/>
      <c r="AE267" s="8"/>
      <c r="AF267" s="8"/>
      <c r="AG267" s="6"/>
      <c r="AH267" s="6"/>
      <c r="AI267" s="6"/>
      <c r="AJ267" s="8"/>
      <c r="AK267" s="8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</row>
    <row r="268" ht="75.0" customHeight="1">
      <c r="A268" s="6"/>
      <c r="B268" s="6"/>
      <c r="C268" s="8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8"/>
      <c r="U268" s="8"/>
      <c r="V268" s="8"/>
      <c r="W268" s="8"/>
      <c r="X268" s="8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</row>
    <row r="269" ht="75.0" customHeight="1">
      <c r="A269" s="6"/>
      <c r="B269" s="6"/>
      <c r="C269" s="8"/>
      <c r="D269" s="6"/>
      <c r="E269" s="6"/>
      <c r="F269" s="6"/>
      <c r="G269" s="6"/>
      <c r="H269" s="6"/>
      <c r="I269" s="6"/>
      <c r="J269" s="6"/>
      <c r="K269" s="6"/>
      <c r="L269" s="6"/>
      <c r="M269" s="8"/>
      <c r="N269" s="6"/>
      <c r="O269" s="6"/>
      <c r="P269" s="6"/>
      <c r="Q269" s="8"/>
      <c r="R269" s="8"/>
      <c r="S269" s="6"/>
      <c r="T269" s="8"/>
      <c r="U269" s="8"/>
      <c r="V269" s="8"/>
      <c r="W269" s="8"/>
      <c r="X269" s="8"/>
      <c r="Y269" s="6"/>
      <c r="Z269" s="6"/>
      <c r="AA269" s="8"/>
      <c r="AB269" s="8"/>
      <c r="AC269" s="8"/>
      <c r="AD269" s="6"/>
      <c r="AE269" s="8"/>
      <c r="AF269" s="8"/>
      <c r="AG269" s="8"/>
      <c r="AH269" s="8"/>
      <c r="AI269" s="6"/>
      <c r="AJ269" s="8"/>
      <c r="AK269" s="8"/>
      <c r="AL269" s="8"/>
      <c r="AM269" s="8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</row>
    <row r="270" ht="75.0" customHeight="1">
      <c r="A270" s="6"/>
      <c r="B270" s="6"/>
      <c r="C270" s="8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8"/>
      <c r="U270" s="8"/>
      <c r="V270" s="8"/>
      <c r="W270" s="8"/>
      <c r="X270" s="8"/>
      <c r="Y270" s="6"/>
      <c r="Z270" s="6"/>
      <c r="AA270" s="8"/>
      <c r="AB270" s="6"/>
      <c r="AC270" s="6"/>
      <c r="AD270" s="6"/>
      <c r="AE270" s="8"/>
      <c r="AF270" s="8"/>
      <c r="AG270" s="6"/>
      <c r="AH270" s="6"/>
      <c r="AI270" s="6"/>
      <c r="AJ270" s="8"/>
      <c r="AK270" s="8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</row>
    <row r="271" ht="75.0" customHeight="1">
      <c r="A271" s="6"/>
      <c r="B271" s="6"/>
      <c r="C271" s="8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8"/>
      <c r="U271" s="8"/>
      <c r="V271" s="8"/>
      <c r="W271" s="8"/>
      <c r="X271" s="8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</row>
    <row r="272" ht="75.0" customHeight="1">
      <c r="A272" s="6"/>
      <c r="B272" s="6"/>
      <c r="C272" s="8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8"/>
      <c r="R272" s="8"/>
      <c r="S272" s="6"/>
      <c r="T272" s="8"/>
      <c r="U272" s="8"/>
      <c r="V272" s="8"/>
      <c r="W272" s="8"/>
      <c r="X272" s="8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</row>
    <row r="273" ht="75.0" customHeight="1">
      <c r="A273" s="6"/>
      <c r="B273" s="6"/>
      <c r="C273" s="8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8"/>
      <c r="P273" s="6"/>
      <c r="Q273" s="6"/>
      <c r="R273" s="6"/>
      <c r="S273" s="6"/>
      <c r="T273" s="8"/>
      <c r="U273" s="8"/>
      <c r="V273" s="8"/>
      <c r="W273" s="8"/>
      <c r="X273" s="8"/>
      <c r="Y273" s="6"/>
      <c r="Z273" s="6"/>
      <c r="AA273" s="8"/>
      <c r="AB273" s="6"/>
      <c r="AC273" s="6"/>
      <c r="AD273" s="6"/>
      <c r="AE273" s="8"/>
      <c r="AF273" s="8"/>
      <c r="AG273" s="6"/>
      <c r="AH273" s="6"/>
      <c r="AI273" s="6"/>
      <c r="AJ273" s="8"/>
      <c r="AK273" s="8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</row>
    <row r="274" ht="75.0" customHeight="1">
      <c r="A274" s="6"/>
      <c r="B274" s="6"/>
      <c r="C274" s="8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8"/>
      <c r="R274" s="8"/>
      <c r="S274" s="6"/>
      <c r="T274" s="6"/>
      <c r="U274" s="6"/>
      <c r="V274" s="6"/>
      <c r="W274" s="6"/>
      <c r="X274" s="6"/>
      <c r="Y274" s="6"/>
      <c r="Z274" s="6"/>
      <c r="AA274" s="8"/>
      <c r="AB274" s="6"/>
      <c r="AC274" s="6"/>
      <c r="AD274" s="6"/>
      <c r="AE274" s="8"/>
      <c r="AF274" s="8"/>
      <c r="AG274" s="6"/>
      <c r="AH274" s="6"/>
      <c r="AI274" s="6"/>
      <c r="AJ274" s="8"/>
      <c r="AK274" s="8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</row>
    <row r="275" ht="75.0" customHeight="1">
      <c r="A275" s="6"/>
      <c r="B275" s="6"/>
      <c r="C275" s="8"/>
      <c r="D275" s="6"/>
      <c r="E275" s="6"/>
      <c r="F275" s="6"/>
      <c r="G275" s="6"/>
      <c r="H275" s="6"/>
      <c r="I275" s="6"/>
      <c r="J275" s="6"/>
      <c r="K275" s="6"/>
      <c r="L275" s="6"/>
      <c r="M275" s="8"/>
      <c r="N275" s="6"/>
      <c r="O275" s="6"/>
      <c r="P275" s="6"/>
      <c r="Q275" s="8"/>
      <c r="R275" s="8"/>
      <c r="S275" s="6"/>
      <c r="T275" s="8"/>
      <c r="U275" s="8"/>
      <c r="V275" s="8"/>
      <c r="W275" s="6"/>
      <c r="X275" s="6"/>
      <c r="Y275" s="6"/>
      <c r="Z275" s="6"/>
      <c r="AA275" s="8"/>
      <c r="AB275" s="6"/>
      <c r="AC275" s="6"/>
      <c r="AD275" s="6"/>
      <c r="AE275" s="8"/>
      <c r="AF275" s="8"/>
      <c r="AG275" s="8"/>
      <c r="AH275" s="8"/>
      <c r="AI275" s="6"/>
      <c r="AJ275" s="8"/>
      <c r="AK275" s="8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ht="75.0" customHeight="1">
      <c r="A276" s="6"/>
      <c r="B276" s="6"/>
      <c r="C276" s="8"/>
      <c r="D276" s="6"/>
      <c r="E276" s="6"/>
      <c r="F276" s="6"/>
      <c r="G276" s="6"/>
      <c r="H276" s="6"/>
      <c r="I276" s="6"/>
      <c r="J276" s="6"/>
      <c r="K276" s="6"/>
      <c r="L276" s="6"/>
      <c r="M276" s="8"/>
      <c r="N276" s="6"/>
      <c r="O276" s="6"/>
      <c r="P276" s="6"/>
      <c r="Q276" s="8"/>
      <c r="R276" s="8"/>
      <c r="S276" s="6"/>
      <c r="T276" s="8"/>
      <c r="U276" s="8"/>
      <c r="V276" s="8"/>
      <c r="W276" s="8"/>
      <c r="X276" s="8"/>
      <c r="Y276" s="6"/>
      <c r="Z276" s="8"/>
      <c r="AA276" s="8"/>
      <c r="AB276" s="8"/>
      <c r="AC276" s="8"/>
      <c r="AD276" s="6"/>
      <c r="AE276" s="8"/>
      <c r="AF276" s="8"/>
      <c r="AG276" s="8"/>
      <c r="AH276" s="8"/>
      <c r="AI276" s="6"/>
      <c r="AJ276" s="8"/>
      <c r="AK276" s="8"/>
      <c r="AL276" s="8"/>
      <c r="AM276" s="8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</row>
    <row r="277" ht="75.0" customHeight="1">
      <c r="A277" s="6"/>
      <c r="B277" s="6"/>
      <c r="C277" s="8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8"/>
      <c r="R277" s="8"/>
      <c r="S277" s="6"/>
      <c r="T277" s="6"/>
      <c r="U277" s="6"/>
      <c r="V277" s="6"/>
      <c r="W277" s="6"/>
      <c r="X277" s="6"/>
      <c r="Y277" s="6"/>
      <c r="Z277" s="8"/>
      <c r="AA277" s="8"/>
      <c r="AB277" s="6"/>
      <c r="AC277" s="6"/>
      <c r="AD277" s="6"/>
      <c r="AE277" s="8"/>
      <c r="AF277" s="8"/>
      <c r="AG277" s="6"/>
      <c r="AH277" s="6"/>
      <c r="AI277" s="6"/>
      <c r="AJ277" s="8"/>
      <c r="AK277" s="8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</row>
    <row r="278" ht="75.0" customHeight="1">
      <c r="A278" s="6"/>
      <c r="B278" s="6"/>
      <c r="C278" s="8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8"/>
      <c r="Q278" s="8"/>
      <c r="R278" s="8"/>
      <c r="S278" s="6"/>
      <c r="T278" s="8"/>
      <c r="U278" s="8"/>
      <c r="V278" s="8"/>
      <c r="W278" s="8"/>
      <c r="X278" s="8"/>
      <c r="Y278" s="6"/>
      <c r="Z278" s="6"/>
      <c r="AA278" s="8"/>
      <c r="AB278" s="8"/>
      <c r="AC278" s="8"/>
      <c r="AD278" s="6"/>
      <c r="AE278" s="8"/>
      <c r="AF278" s="8"/>
      <c r="AG278" s="8"/>
      <c r="AH278" s="8"/>
      <c r="AI278" s="6"/>
      <c r="AJ278" s="8"/>
      <c r="AK278" s="8"/>
      <c r="AL278" s="8"/>
      <c r="AM278" s="8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</row>
    <row r="279" ht="75.0" customHeight="1">
      <c r="A279" s="6"/>
      <c r="B279" s="6"/>
      <c r="C279" s="8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8"/>
      <c r="R279" s="8"/>
      <c r="S279" s="6"/>
      <c r="T279" s="8"/>
      <c r="U279" s="8"/>
      <c r="V279" s="8"/>
      <c r="W279" s="8"/>
      <c r="X279" s="8"/>
      <c r="Y279" s="6"/>
      <c r="Z279" s="8"/>
      <c r="AA279" s="8"/>
      <c r="AB279" s="8"/>
      <c r="AC279" s="8"/>
      <c r="AD279" s="6"/>
      <c r="AE279" s="8"/>
      <c r="AF279" s="8"/>
      <c r="AG279" s="6"/>
      <c r="AH279" s="6"/>
      <c r="AI279" s="6"/>
      <c r="AJ279" s="8"/>
      <c r="AK279" s="8"/>
      <c r="AL279" s="8"/>
      <c r="AM279" s="8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</row>
    <row r="280" ht="75.0" customHeight="1">
      <c r="A280" s="6"/>
      <c r="B280" s="6"/>
      <c r="C280" s="8"/>
      <c r="D280" s="6"/>
      <c r="E280" s="6"/>
      <c r="F280" s="6"/>
      <c r="G280" s="6"/>
      <c r="H280" s="6"/>
      <c r="I280" s="8"/>
      <c r="J280" s="6"/>
      <c r="K280" s="8"/>
      <c r="L280" s="6"/>
      <c r="M280" s="8"/>
      <c r="N280" s="6"/>
      <c r="O280" s="8"/>
      <c r="P280" s="8"/>
      <c r="Q280" s="8"/>
      <c r="R280" s="8"/>
      <c r="S280" s="8"/>
      <c r="T280" s="6"/>
      <c r="U280" s="6"/>
      <c r="V280" s="6"/>
      <c r="W280" s="6"/>
      <c r="X280" s="6"/>
      <c r="Y280" s="6"/>
      <c r="Z280" s="6"/>
      <c r="AA280" s="8"/>
      <c r="AB280" s="8"/>
      <c r="AC280" s="8"/>
      <c r="AD280" s="6"/>
      <c r="AE280" s="8"/>
      <c r="AF280" s="8"/>
      <c r="AG280" s="8"/>
      <c r="AH280" s="8"/>
      <c r="AI280" s="6"/>
      <c r="AJ280" s="8"/>
      <c r="AK280" s="8"/>
      <c r="AL280" s="8"/>
      <c r="AM280" s="8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</row>
    <row r="281" ht="75.0" customHeight="1">
      <c r="A281" s="6"/>
      <c r="B281" s="6"/>
      <c r="C281" s="8"/>
      <c r="D281" s="6"/>
      <c r="E281" s="6"/>
      <c r="F281" s="6"/>
      <c r="G281" s="6"/>
      <c r="H281" s="6"/>
      <c r="I281" s="6"/>
      <c r="J281" s="6"/>
      <c r="K281" s="6"/>
      <c r="L281" s="6"/>
      <c r="M281" s="8"/>
      <c r="N281" s="6"/>
      <c r="O281" s="6"/>
      <c r="P281" s="8"/>
      <c r="Q281" s="8"/>
      <c r="R281" s="8"/>
      <c r="S281" s="6"/>
      <c r="T281" s="8"/>
      <c r="U281" s="8"/>
      <c r="V281" s="8"/>
      <c r="W281" s="8"/>
      <c r="X281" s="8"/>
      <c r="Y281" s="6"/>
      <c r="Z281" s="6"/>
      <c r="AA281" s="8"/>
      <c r="AB281" s="8"/>
      <c r="AC281" s="8"/>
      <c r="AD281" s="6"/>
      <c r="AE281" s="8"/>
      <c r="AF281" s="8"/>
      <c r="AG281" s="8"/>
      <c r="AH281" s="8"/>
      <c r="AI281" s="6"/>
      <c r="AJ281" s="8"/>
      <c r="AK281" s="8"/>
      <c r="AL281" s="8"/>
      <c r="AM281" s="8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</row>
    <row r="282" ht="75.0" customHeight="1">
      <c r="A282" s="6"/>
      <c r="B282" s="6"/>
      <c r="C282" s="8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8"/>
      <c r="U282" s="8"/>
      <c r="V282" s="8"/>
      <c r="W282" s="8"/>
      <c r="X282" s="8"/>
      <c r="Y282" s="6"/>
      <c r="Z282" s="6"/>
      <c r="AA282" s="8"/>
      <c r="AB282" s="6"/>
      <c r="AC282" s="6"/>
      <c r="AD282" s="6"/>
      <c r="AE282" s="8"/>
      <c r="AF282" s="8"/>
      <c r="AG282" s="6"/>
      <c r="AH282" s="6"/>
      <c r="AI282" s="6"/>
      <c r="AJ282" s="8"/>
      <c r="AK282" s="8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</row>
    <row r="283" ht="75.0" customHeight="1">
      <c r="A283" s="6"/>
      <c r="B283" s="6"/>
      <c r="C283" s="8"/>
      <c r="D283" s="6"/>
      <c r="E283" s="6"/>
      <c r="F283" s="6"/>
      <c r="G283" s="6"/>
      <c r="H283" s="6"/>
      <c r="I283" s="6"/>
      <c r="J283" s="6"/>
      <c r="K283" s="6"/>
      <c r="L283" s="6"/>
      <c r="M283" s="8"/>
      <c r="N283" s="6"/>
      <c r="O283" s="6"/>
      <c r="P283" s="6"/>
      <c r="Q283" s="8"/>
      <c r="R283" s="8"/>
      <c r="S283" s="6"/>
      <c r="T283" s="8"/>
      <c r="U283" s="8"/>
      <c r="V283" s="8"/>
      <c r="W283" s="8"/>
      <c r="X283" s="8"/>
      <c r="Y283" s="6"/>
      <c r="Z283" s="6"/>
      <c r="AA283" s="8"/>
      <c r="AB283" s="8"/>
      <c r="AC283" s="8"/>
      <c r="AD283" s="6"/>
      <c r="AE283" s="8"/>
      <c r="AF283" s="8"/>
      <c r="AG283" s="8"/>
      <c r="AH283" s="8"/>
      <c r="AI283" s="6"/>
      <c r="AJ283" s="8"/>
      <c r="AK283" s="8"/>
      <c r="AL283" s="8"/>
      <c r="AM283" s="8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</row>
    <row r="284" ht="75.0" customHeight="1">
      <c r="A284" s="6"/>
      <c r="B284" s="6"/>
      <c r="C284" s="8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8"/>
      <c r="R284" s="8"/>
      <c r="S284" s="6"/>
      <c r="T284" s="8"/>
      <c r="U284" s="8"/>
      <c r="V284" s="8"/>
      <c r="W284" s="8"/>
      <c r="X284" s="8"/>
      <c r="Y284" s="6"/>
      <c r="Z284" s="8"/>
      <c r="AA284" s="8"/>
      <c r="AB284" s="8"/>
      <c r="AC284" s="8"/>
      <c r="AD284" s="6"/>
      <c r="AE284" s="8"/>
      <c r="AF284" s="8"/>
      <c r="AG284" s="8"/>
      <c r="AH284" s="8"/>
      <c r="AI284" s="6"/>
      <c r="AJ284" s="8"/>
      <c r="AK284" s="8"/>
      <c r="AL284" s="8"/>
      <c r="AM284" s="8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</row>
    <row r="285" ht="75.0" customHeight="1">
      <c r="A285" s="6"/>
      <c r="B285" s="6"/>
      <c r="C285" s="8"/>
      <c r="D285" s="6"/>
      <c r="E285" s="6"/>
      <c r="F285" s="6"/>
      <c r="G285" s="6"/>
      <c r="H285" s="6"/>
      <c r="I285" s="6"/>
      <c r="J285" s="6"/>
      <c r="K285" s="6"/>
      <c r="L285" s="6"/>
      <c r="M285" s="8"/>
      <c r="N285" s="6"/>
      <c r="O285" s="6"/>
      <c r="P285" s="6"/>
      <c r="Q285" s="8"/>
      <c r="R285" s="8"/>
      <c r="S285" s="6"/>
      <c r="T285" s="8"/>
      <c r="U285" s="8"/>
      <c r="V285" s="8"/>
      <c r="W285" s="8"/>
      <c r="X285" s="8"/>
      <c r="Y285" s="6"/>
      <c r="Z285" s="8"/>
      <c r="AA285" s="8"/>
      <c r="AB285" s="8"/>
      <c r="AC285" s="8"/>
      <c r="AD285" s="6"/>
      <c r="AE285" s="8"/>
      <c r="AF285" s="8"/>
      <c r="AG285" s="8"/>
      <c r="AH285" s="8"/>
      <c r="AI285" s="6"/>
      <c r="AJ285" s="8"/>
      <c r="AK285" s="8"/>
      <c r="AL285" s="8"/>
      <c r="AM285" s="8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</row>
    <row r="286" ht="75.0" customHeight="1">
      <c r="A286" s="6"/>
      <c r="B286" s="6"/>
      <c r="C286" s="8"/>
      <c r="D286" s="6"/>
      <c r="E286" s="6"/>
      <c r="F286" s="6"/>
      <c r="G286" s="6"/>
      <c r="H286" s="6"/>
      <c r="I286" s="6"/>
      <c r="J286" s="6"/>
      <c r="K286" s="6"/>
      <c r="L286" s="6"/>
      <c r="M286" s="8"/>
      <c r="N286" s="6"/>
      <c r="O286" s="6"/>
      <c r="P286" s="6"/>
      <c r="Q286" s="8"/>
      <c r="R286" s="8"/>
      <c r="S286" s="6"/>
      <c r="T286" s="6"/>
      <c r="U286" s="6"/>
      <c r="V286" s="6"/>
      <c r="W286" s="6"/>
      <c r="X286" s="6"/>
      <c r="Y286" s="6"/>
      <c r="Z286" s="6"/>
      <c r="AA286" s="8"/>
      <c r="AB286" s="8"/>
      <c r="AC286" s="8"/>
      <c r="AD286" s="6"/>
      <c r="AE286" s="8"/>
      <c r="AF286" s="8"/>
      <c r="AG286" s="8"/>
      <c r="AH286" s="8"/>
      <c r="AI286" s="6"/>
      <c r="AJ286" s="8"/>
      <c r="AK286" s="8"/>
      <c r="AL286" s="8"/>
      <c r="AM286" s="8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</row>
    <row r="287" ht="75.0" customHeight="1">
      <c r="A287" s="6"/>
      <c r="B287" s="6"/>
      <c r="C287" s="8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8"/>
      <c r="U287" s="8"/>
      <c r="V287" s="8"/>
      <c r="W287" s="8"/>
      <c r="X287" s="8"/>
      <c r="Y287" s="6"/>
      <c r="Z287" s="6"/>
      <c r="AA287" s="8"/>
      <c r="AB287" s="6"/>
      <c r="AC287" s="6"/>
      <c r="AD287" s="6"/>
      <c r="AE287" s="8"/>
      <c r="AF287" s="8"/>
      <c r="AG287" s="6"/>
      <c r="AH287" s="6"/>
      <c r="AI287" s="6"/>
      <c r="AJ287" s="8"/>
      <c r="AK287" s="8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</row>
    <row r="288" ht="75.0" customHeight="1">
      <c r="A288" s="6"/>
      <c r="B288" s="6"/>
      <c r="C288" s="8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8"/>
      <c r="R288" s="8"/>
      <c r="S288" s="6"/>
      <c r="T288" s="6"/>
      <c r="U288" s="6"/>
      <c r="V288" s="6"/>
      <c r="W288" s="6"/>
      <c r="X288" s="6"/>
      <c r="Y288" s="6"/>
      <c r="Z288" s="6"/>
      <c r="AA288" s="8"/>
      <c r="AB288" s="8"/>
      <c r="AC288" s="8"/>
      <c r="AD288" s="6"/>
      <c r="AE288" s="8"/>
      <c r="AF288" s="8"/>
      <c r="AG288" s="6"/>
      <c r="AH288" s="6"/>
      <c r="AI288" s="6"/>
      <c r="AJ288" s="8"/>
      <c r="AK288" s="8"/>
      <c r="AL288" s="8"/>
      <c r="AM288" s="8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</row>
    <row r="289" ht="75.0" customHeight="1">
      <c r="A289" s="6"/>
      <c r="B289" s="6"/>
      <c r="C289" s="8"/>
      <c r="D289" s="6"/>
      <c r="E289" s="6"/>
      <c r="F289" s="6"/>
      <c r="G289" s="6"/>
      <c r="H289" s="6"/>
      <c r="I289" s="6"/>
      <c r="J289" s="6"/>
      <c r="K289" s="6"/>
      <c r="L289" s="6"/>
      <c r="M289" s="8"/>
      <c r="N289" s="6"/>
      <c r="O289" s="6"/>
      <c r="P289" s="6"/>
      <c r="Q289" s="8"/>
      <c r="R289" s="8"/>
      <c r="S289" s="6"/>
      <c r="T289" s="8"/>
      <c r="U289" s="8"/>
      <c r="V289" s="8"/>
      <c r="W289" s="8"/>
      <c r="X289" s="8"/>
      <c r="Y289" s="6"/>
      <c r="Z289" s="6"/>
      <c r="AA289" s="8"/>
      <c r="AB289" s="8"/>
      <c r="AC289" s="8"/>
      <c r="AD289" s="6"/>
      <c r="AE289" s="8"/>
      <c r="AF289" s="8"/>
      <c r="AG289" s="8"/>
      <c r="AH289" s="8"/>
      <c r="AI289" s="6"/>
      <c r="AJ289" s="8"/>
      <c r="AK289" s="8"/>
      <c r="AL289" s="8"/>
      <c r="AM289" s="8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</row>
    <row r="290" ht="75.0" customHeight="1">
      <c r="A290" s="6"/>
      <c r="B290" s="6"/>
      <c r="C290" s="8"/>
      <c r="D290" s="6"/>
      <c r="E290" s="6"/>
      <c r="F290" s="6"/>
      <c r="G290" s="6"/>
      <c r="H290" s="6"/>
      <c r="I290" s="6"/>
      <c r="J290" s="6"/>
      <c r="K290" s="6"/>
      <c r="L290" s="6"/>
      <c r="M290" s="8"/>
      <c r="N290" s="6"/>
      <c r="O290" s="6"/>
      <c r="P290" s="6"/>
      <c r="Q290" s="8"/>
      <c r="R290" s="8"/>
      <c r="S290" s="6"/>
      <c r="T290" s="8"/>
      <c r="U290" s="8"/>
      <c r="V290" s="8"/>
      <c r="W290" s="8"/>
      <c r="X290" s="8"/>
      <c r="Y290" s="6"/>
      <c r="Z290" s="6"/>
      <c r="AA290" s="8"/>
      <c r="AB290" s="8"/>
      <c r="AC290" s="8"/>
      <c r="AD290" s="6"/>
      <c r="AE290" s="8"/>
      <c r="AF290" s="8"/>
      <c r="AG290" s="8"/>
      <c r="AH290" s="8"/>
      <c r="AI290" s="6"/>
      <c r="AJ290" s="8"/>
      <c r="AK290" s="8"/>
      <c r="AL290" s="8"/>
      <c r="AM290" s="8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</row>
    <row r="291" ht="75.0" customHeight="1">
      <c r="A291" s="6"/>
      <c r="B291" s="6"/>
      <c r="C291" s="8"/>
      <c r="D291" s="6"/>
      <c r="E291" s="6"/>
      <c r="F291" s="6"/>
      <c r="G291" s="6"/>
      <c r="H291" s="6"/>
      <c r="I291" s="6"/>
      <c r="J291" s="6"/>
      <c r="K291" s="6"/>
      <c r="L291" s="6"/>
      <c r="M291" s="8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</row>
    <row r="292" ht="75.0" customHeight="1">
      <c r="A292" s="6"/>
      <c r="B292" s="6"/>
      <c r="C292" s="8"/>
      <c r="D292" s="6"/>
      <c r="E292" s="6"/>
      <c r="F292" s="6"/>
      <c r="G292" s="6"/>
      <c r="H292" s="6"/>
      <c r="I292" s="6"/>
      <c r="J292" s="6"/>
      <c r="K292" s="6"/>
      <c r="L292" s="6"/>
      <c r="M292" s="8"/>
      <c r="N292" s="6"/>
      <c r="O292" s="6"/>
      <c r="P292" s="6"/>
      <c r="Q292" s="6"/>
      <c r="R292" s="6"/>
      <c r="S292" s="6"/>
      <c r="T292" s="8"/>
      <c r="U292" s="8"/>
      <c r="V292" s="8"/>
      <c r="W292" s="8"/>
      <c r="X292" s="8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</row>
    <row r="293" ht="75.0" customHeight="1">
      <c r="A293" s="6"/>
      <c r="B293" s="6"/>
      <c r="C293" s="8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8"/>
      <c r="U293" s="8"/>
      <c r="V293" s="8"/>
      <c r="W293" s="8"/>
      <c r="X293" s="8"/>
      <c r="Y293" s="6"/>
      <c r="Z293" s="6"/>
      <c r="AA293" s="8"/>
      <c r="AB293" s="6"/>
      <c r="AC293" s="6"/>
      <c r="AD293" s="6"/>
      <c r="AE293" s="8"/>
      <c r="AF293" s="8"/>
      <c r="AG293" s="6"/>
      <c r="AH293" s="6"/>
      <c r="AI293" s="6"/>
      <c r="AJ293" s="8"/>
      <c r="AK293" s="8"/>
      <c r="AL293" s="8"/>
      <c r="AM293" s="8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</row>
    <row r="294" ht="75.0" customHeight="1">
      <c r="A294" s="6"/>
      <c r="B294" s="6"/>
      <c r="C294" s="8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8"/>
      <c r="U294" s="8"/>
      <c r="V294" s="8"/>
      <c r="W294" s="8"/>
      <c r="X294" s="8"/>
      <c r="Y294" s="6"/>
      <c r="Z294" s="6"/>
      <c r="AA294" s="8"/>
      <c r="AB294" s="6"/>
      <c r="AC294" s="6"/>
      <c r="AD294" s="6"/>
      <c r="AE294" s="8"/>
      <c r="AF294" s="8"/>
      <c r="AG294" s="6"/>
      <c r="AH294" s="6"/>
      <c r="AI294" s="6"/>
      <c r="AJ294" s="8"/>
      <c r="AK294" s="8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</row>
    <row r="295" ht="75.0" customHeight="1">
      <c r="A295" s="6"/>
      <c r="B295" s="6"/>
      <c r="C295" s="8"/>
      <c r="D295" s="6"/>
      <c r="E295" s="6"/>
      <c r="F295" s="6"/>
      <c r="G295" s="6"/>
      <c r="H295" s="6"/>
      <c r="I295" s="6"/>
      <c r="J295" s="6"/>
      <c r="K295" s="8"/>
      <c r="L295" s="6"/>
      <c r="M295" s="6"/>
      <c r="N295" s="6"/>
      <c r="O295" s="6"/>
      <c r="P295" s="6"/>
      <c r="Q295" s="8"/>
      <c r="R295" s="8"/>
      <c r="S295" s="6"/>
      <c r="T295" s="6"/>
      <c r="U295" s="6"/>
      <c r="V295" s="6"/>
      <c r="W295" s="6"/>
      <c r="X295" s="6"/>
      <c r="Y295" s="6"/>
      <c r="Z295" s="6"/>
      <c r="AA295" s="8"/>
      <c r="AB295" s="6"/>
      <c r="AC295" s="6"/>
      <c r="AD295" s="6"/>
      <c r="AE295" s="8"/>
      <c r="AF295" s="8"/>
      <c r="AG295" s="6"/>
      <c r="AH295" s="6"/>
      <c r="AI295" s="6"/>
      <c r="AJ295" s="8"/>
      <c r="AK295" s="8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</row>
    <row r="296" ht="75.0" customHeight="1">
      <c r="A296" s="6"/>
      <c r="B296" s="6"/>
      <c r="C296" s="8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8"/>
      <c r="U296" s="8"/>
      <c r="V296" s="8"/>
      <c r="W296" s="8"/>
      <c r="X296" s="8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</row>
    <row r="297" ht="75.0" customHeight="1">
      <c r="A297" s="6"/>
      <c r="B297" s="6"/>
      <c r="C297" s="8"/>
      <c r="D297" s="6"/>
      <c r="E297" s="6"/>
      <c r="F297" s="6"/>
      <c r="G297" s="6"/>
      <c r="H297" s="6"/>
      <c r="I297" s="6"/>
      <c r="J297" s="6"/>
      <c r="K297" s="6"/>
      <c r="L297" s="6"/>
      <c r="M297" s="8"/>
      <c r="N297" s="6"/>
      <c r="O297" s="6"/>
      <c r="P297" s="6"/>
      <c r="Q297" s="8"/>
      <c r="R297" s="8"/>
      <c r="S297" s="6"/>
      <c r="T297" s="8"/>
      <c r="U297" s="8"/>
      <c r="V297" s="8"/>
      <c r="W297" s="8"/>
      <c r="X297" s="8"/>
      <c r="Y297" s="6"/>
      <c r="Z297" s="6"/>
      <c r="AA297" s="8"/>
      <c r="AB297" s="8"/>
      <c r="AC297" s="8"/>
      <c r="AD297" s="6"/>
      <c r="AE297" s="8"/>
      <c r="AF297" s="8"/>
      <c r="AG297" s="8"/>
      <c r="AH297" s="8"/>
      <c r="AI297" s="6"/>
      <c r="AJ297" s="8"/>
      <c r="AK297" s="8"/>
      <c r="AL297" s="8"/>
      <c r="AM297" s="8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</row>
    <row r="298" ht="75.0" customHeight="1">
      <c r="A298" s="6"/>
      <c r="B298" s="6"/>
      <c r="C298" s="8"/>
      <c r="D298" s="6"/>
      <c r="E298" s="6"/>
      <c r="F298" s="6"/>
      <c r="G298" s="6"/>
      <c r="H298" s="6"/>
      <c r="I298" s="6"/>
      <c r="J298" s="6"/>
      <c r="K298" s="6"/>
      <c r="L298" s="6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6"/>
      <c r="Z298" s="6"/>
      <c r="AA298" s="8"/>
      <c r="AB298" s="8"/>
      <c r="AC298" s="8"/>
      <c r="AD298" s="6"/>
      <c r="AE298" s="8"/>
      <c r="AF298" s="8"/>
      <c r="AG298" s="8"/>
      <c r="AH298" s="8"/>
      <c r="AI298" s="6"/>
      <c r="AJ298" s="8"/>
      <c r="AK298" s="8"/>
      <c r="AL298" s="8"/>
      <c r="AM298" s="8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</row>
    <row r="299" ht="75.0" customHeight="1">
      <c r="A299" s="6"/>
      <c r="B299" s="6"/>
      <c r="C299" s="8"/>
      <c r="D299" s="6"/>
      <c r="E299" s="6"/>
      <c r="F299" s="6"/>
      <c r="G299" s="6"/>
      <c r="H299" s="6"/>
      <c r="I299" s="6"/>
      <c r="J299" s="6"/>
      <c r="K299" s="6"/>
      <c r="L299" s="6"/>
      <c r="M299" s="8"/>
      <c r="N299" s="6"/>
      <c r="O299" s="6"/>
      <c r="P299" s="6"/>
      <c r="Q299" s="8"/>
      <c r="R299" s="8"/>
      <c r="S299" s="6"/>
      <c r="T299" s="6"/>
      <c r="U299" s="6"/>
      <c r="V299" s="6"/>
      <c r="W299" s="6"/>
      <c r="X299" s="6"/>
      <c r="Y299" s="6"/>
      <c r="Z299" s="6"/>
      <c r="AA299" s="8"/>
      <c r="AB299" s="8"/>
      <c r="AC299" s="8"/>
      <c r="AD299" s="6"/>
      <c r="AE299" s="8"/>
      <c r="AF299" s="8"/>
      <c r="AG299" s="8"/>
      <c r="AH299" s="8"/>
      <c r="AI299" s="6"/>
      <c r="AJ299" s="8"/>
      <c r="AK299" s="8"/>
      <c r="AL299" s="8"/>
      <c r="AM299" s="8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</row>
    <row r="300" ht="75.0" customHeight="1">
      <c r="A300" s="6"/>
      <c r="B300" s="6"/>
      <c r="C300" s="8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</row>
    <row r="301" ht="75.0" customHeight="1">
      <c r="A301" s="6"/>
      <c r="B301" s="6"/>
      <c r="C301" s="8"/>
      <c r="D301" s="6"/>
      <c r="E301" s="6"/>
      <c r="F301" s="6"/>
      <c r="G301" s="6"/>
      <c r="H301" s="6"/>
      <c r="I301" s="6"/>
      <c r="J301" s="6"/>
      <c r="K301" s="6"/>
      <c r="L301" s="6"/>
      <c r="M301" s="8"/>
      <c r="N301" s="6"/>
      <c r="O301" s="6"/>
      <c r="P301" s="6"/>
      <c r="Q301" s="8"/>
      <c r="R301" s="8"/>
      <c r="S301" s="6"/>
      <c r="T301" s="6"/>
      <c r="U301" s="6"/>
      <c r="V301" s="6"/>
      <c r="W301" s="6"/>
      <c r="X301" s="6"/>
      <c r="Y301" s="6"/>
      <c r="Z301" s="6"/>
      <c r="AA301" s="8"/>
      <c r="AB301" s="8"/>
      <c r="AC301" s="8"/>
      <c r="AD301" s="6"/>
      <c r="AE301" s="8"/>
      <c r="AF301" s="8"/>
      <c r="AG301" s="8"/>
      <c r="AH301" s="8"/>
      <c r="AI301" s="6"/>
      <c r="AJ301" s="8"/>
      <c r="AK301" s="8"/>
      <c r="AL301" s="8"/>
      <c r="AM301" s="8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</row>
    <row r="302" ht="75.0" customHeight="1">
      <c r="A302" s="6"/>
      <c r="B302" s="6"/>
      <c r="C302" s="8"/>
      <c r="D302" s="6"/>
      <c r="E302" s="6"/>
      <c r="F302" s="6"/>
      <c r="G302" s="6"/>
      <c r="H302" s="6"/>
      <c r="I302" s="6"/>
      <c r="J302" s="6"/>
      <c r="K302" s="6"/>
      <c r="L302" s="6"/>
      <c r="M302" s="8"/>
      <c r="N302" s="6"/>
      <c r="O302" s="6"/>
      <c r="P302" s="6"/>
      <c r="Q302" s="8"/>
      <c r="R302" s="8"/>
      <c r="S302" s="6"/>
      <c r="T302" s="6"/>
      <c r="U302" s="6"/>
      <c r="V302" s="6"/>
      <c r="W302" s="6"/>
      <c r="X302" s="6"/>
      <c r="Y302" s="6"/>
      <c r="Z302" s="6"/>
      <c r="AA302" s="8"/>
      <c r="AB302" s="6"/>
      <c r="AC302" s="6"/>
      <c r="AD302" s="6"/>
      <c r="AE302" s="8"/>
      <c r="AF302" s="8"/>
      <c r="AG302" s="8"/>
      <c r="AH302" s="8"/>
      <c r="AI302" s="6"/>
      <c r="AJ302" s="8"/>
      <c r="AK302" s="8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</row>
    <row r="303" ht="75.0" customHeight="1">
      <c r="A303" s="6"/>
      <c r="B303" s="6"/>
      <c r="C303" s="8"/>
      <c r="D303" s="6"/>
      <c r="E303" s="6"/>
      <c r="F303" s="6"/>
      <c r="G303" s="6"/>
      <c r="H303" s="6"/>
      <c r="I303" s="6"/>
      <c r="J303" s="6"/>
      <c r="K303" s="6"/>
      <c r="L303" s="6"/>
      <c r="M303" s="8"/>
      <c r="N303" s="6"/>
      <c r="O303" s="6"/>
      <c r="P303" s="6"/>
      <c r="Q303" s="8"/>
      <c r="R303" s="8"/>
      <c r="S303" s="6"/>
      <c r="T303" s="6"/>
      <c r="U303" s="6"/>
      <c r="V303" s="6"/>
      <c r="W303" s="6"/>
      <c r="X303" s="6"/>
      <c r="Y303" s="6"/>
      <c r="Z303" s="6"/>
      <c r="AA303" s="8"/>
      <c r="AB303" s="8"/>
      <c r="AC303" s="8"/>
      <c r="AD303" s="6"/>
      <c r="AE303" s="8"/>
      <c r="AF303" s="8"/>
      <c r="AG303" s="8"/>
      <c r="AH303" s="8"/>
      <c r="AI303" s="6"/>
      <c r="AJ303" s="8"/>
      <c r="AK303" s="8"/>
      <c r="AL303" s="8"/>
      <c r="AM303" s="8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</row>
    <row r="304" ht="75.0" customHeight="1">
      <c r="A304" s="6"/>
      <c r="B304" s="6"/>
      <c r="C304" s="8"/>
      <c r="D304" s="6"/>
      <c r="E304" s="6"/>
      <c r="F304" s="6"/>
      <c r="G304" s="6"/>
      <c r="H304" s="6"/>
      <c r="I304" s="6"/>
      <c r="J304" s="6"/>
      <c r="K304" s="8"/>
      <c r="L304" s="6"/>
      <c r="M304" s="6"/>
      <c r="N304" s="6"/>
      <c r="O304" s="6"/>
      <c r="P304" s="8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</row>
    <row r="305" ht="75.0" customHeight="1">
      <c r="A305" s="6"/>
      <c r="B305" s="6"/>
      <c r="C305" s="8"/>
      <c r="D305" s="6"/>
      <c r="E305" s="6"/>
      <c r="F305" s="6"/>
      <c r="G305" s="6"/>
      <c r="H305" s="6"/>
      <c r="I305" s="6"/>
      <c r="J305" s="6"/>
      <c r="K305" s="6"/>
      <c r="L305" s="6"/>
      <c r="M305" s="8"/>
      <c r="N305" s="6"/>
      <c r="O305" s="6"/>
      <c r="P305" s="6"/>
      <c r="Q305" s="8"/>
      <c r="R305" s="8"/>
      <c r="S305" s="6"/>
      <c r="T305" s="6"/>
      <c r="U305" s="6"/>
      <c r="V305" s="6"/>
      <c r="W305" s="6"/>
      <c r="X305" s="6"/>
      <c r="Y305" s="6"/>
      <c r="Z305" s="6"/>
      <c r="AA305" s="8"/>
      <c r="AB305" s="8"/>
      <c r="AC305" s="8"/>
      <c r="AD305" s="6"/>
      <c r="AE305" s="8"/>
      <c r="AF305" s="8"/>
      <c r="AG305" s="8"/>
      <c r="AH305" s="8"/>
      <c r="AI305" s="6"/>
      <c r="AJ305" s="8"/>
      <c r="AK305" s="8"/>
      <c r="AL305" s="8"/>
      <c r="AM305" s="8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</row>
    <row r="306" ht="75.0" customHeight="1">
      <c r="A306" s="6"/>
      <c r="B306" s="6"/>
      <c r="C306" s="8"/>
      <c r="D306" s="6"/>
      <c r="E306" s="6"/>
      <c r="F306" s="6"/>
      <c r="G306" s="6"/>
      <c r="H306" s="6"/>
      <c r="I306" s="6"/>
      <c r="J306" s="6"/>
      <c r="K306" s="8"/>
      <c r="L306" s="6"/>
      <c r="M306" s="8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8"/>
      <c r="AB306" s="6"/>
      <c r="AC306" s="6"/>
      <c r="AD306" s="6"/>
      <c r="AE306" s="8"/>
      <c r="AF306" s="8"/>
      <c r="AG306" s="6"/>
      <c r="AH306" s="6"/>
      <c r="AI306" s="6"/>
      <c r="AJ306" s="8"/>
      <c r="AK306" s="8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</row>
    <row r="307" ht="75.0" customHeight="1">
      <c r="A307" s="6"/>
      <c r="B307" s="6"/>
      <c r="C307" s="8"/>
      <c r="D307" s="6"/>
      <c r="E307" s="6"/>
      <c r="F307" s="6"/>
      <c r="G307" s="6"/>
      <c r="H307" s="6"/>
      <c r="I307" s="6"/>
      <c r="J307" s="6"/>
      <c r="K307" s="8"/>
      <c r="L307" s="6"/>
      <c r="M307" s="8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</row>
    <row r="308" ht="75.0" customHeight="1">
      <c r="A308" s="6"/>
      <c r="B308" s="6"/>
      <c r="C308" s="8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</row>
    <row r="309" ht="75.0" customHeight="1">
      <c r="A309" s="6"/>
      <c r="B309" s="6"/>
      <c r="C309" s="8"/>
      <c r="D309" s="6"/>
      <c r="E309" s="6"/>
      <c r="F309" s="6"/>
      <c r="G309" s="6"/>
      <c r="H309" s="6"/>
      <c r="I309" s="6"/>
      <c r="J309" s="6"/>
      <c r="K309" s="6"/>
      <c r="L309" s="6"/>
      <c r="M309" s="8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</row>
    <row r="310" ht="75.0" customHeight="1">
      <c r="A310" s="6"/>
      <c r="B310" s="6"/>
      <c r="C310" s="8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</row>
    <row r="311" ht="75.0" customHeight="1">
      <c r="A311" s="6"/>
      <c r="B311" s="6"/>
      <c r="C311" s="8"/>
      <c r="D311" s="6"/>
      <c r="E311" s="6"/>
      <c r="F311" s="6"/>
      <c r="G311" s="6"/>
      <c r="H311" s="6"/>
      <c r="I311" s="6"/>
      <c r="J311" s="6"/>
      <c r="K311" s="6"/>
      <c r="L311" s="6"/>
      <c r="M311" s="8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</row>
    <row r="312" ht="75.0" customHeight="1">
      <c r="A312" s="6"/>
      <c r="B312" s="6"/>
      <c r="C312" s="8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8"/>
      <c r="R312" s="8"/>
      <c r="S312" s="6"/>
      <c r="T312" s="6"/>
      <c r="U312" s="6"/>
      <c r="V312" s="6"/>
      <c r="W312" s="6"/>
      <c r="X312" s="6"/>
      <c r="Y312" s="6"/>
      <c r="Z312" s="6"/>
      <c r="AA312" s="8"/>
      <c r="AB312" s="8"/>
      <c r="AC312" s="8"/>
      <c r="AD312" s="6"/>
      <c r="AE312" s="8"/>
      <c r="AF312" s="8"/>
      <c r="AG312" s="8"/>
      <c r="AH312" s="8"/>
      <c r="AI312" s="6"/>
      <c r="AJ312" s="8"/>
      <c r="AK312" s="8"/>
      <c r="AL312" s="8"/>
      <c r="AM312" s="8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</row>
    <row r="313" ht="75.0" customHeight="1">
      <c r="A313" s="6"/>
      <c r="B313" s="6"/>
      <c r="C313" s="8"/>
      <c r="D313" s="6"/>
      <c r="E313" s="6"/>
      <c r="F313" s="6"/>
      <c r="G313" s="6"/>
      <c r="H313" s="6"/>
      <c r="I313" s="6"/>
      <c r="J313" s="6"/>
      <c r="K313" s="6"/>
      <c r="L313" s="6"/>
      <c r="M313" s="8"/>
      <c r="N313" s="6"/>
      <c r="O313" s="6"/>
      <c r="P313" s="6"/>
      <c r="Q313" s="8"/>
      <c r="R313" s="8"/>
      <c r="S313" s="6"/>
      <c r="T313" s="6"/>
      <c r="U313" s="6"/>
      <c r="V313" s="6"/>
      <c r="W313" s="6"/>
      <c r="X313" s="6"/>
      <c r="Y313" s="6"/>
      <c r="Z313" s="6"/>
      <c r="AA313" s="8"/>
      <c r="AB313" s="8"/>
      <c r="AC313" s="8"/>
      <c r="AD313" s="6"/>
      <c r="AE313" s="8"/>
      <c r="AF313" s="8"/>
      <c r="AG313" s="8"/>
      <c r="AH313" s="8"/>
      <c r="AI313" s="6"/>
      <c r="AJ313" s="8"/>
      <c r="AK313" s="8"/>
      <c r="AL313" s="8"/>
      <c r="AM313" s="8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</row>
    <row r="314" ht="75.0" customHeight="1">
      <c r="A314" s="6"/>
      <c r="B314" s="6"/>
      <c r="C314" s="8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8"/>
      <c r="T314" s="6"/>
      <c r="U314" s="6"/>
      <c r="V314" s="6"/>
      <c r="W314" s="6"/>
      <c r="X314" s="6"/>
      <c r="Y314" s="6"/>
      <c r="Z314" s="8"/>
      <c r="AA314" s="8"/>
      <c r="AB314" s="8"/>
      <c r="AC314" s="8"/>
      <c r="AD314" s="6"/>
      <c r="AE314" s="8"/>
      <c r="AF314" s="8"/>
      <c r="AG314" s="6"/>
      <c r="AH314" s="6"/>
      <c r="AI314" s="6"/>
      <c r="AJ314" s="8"/>
      <c r="AK314" s="8"/>
      <c r="AL314" s="8"/>
      <c r="AM314" s="8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</row>
    <row r="315" ht="75.0" customHeight="1">
      <c r="A315" s="6"/>
      <c r="B315" s="6"/>
      <c r="C315" s="8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</row>
    <row r="316" ht="75.0" customHeight="1">
      <c r="A316" s="6"/>
      <c r="B316" s="6"/>
      <c r="C316" s="8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8"/>
      <c r="R316" s="8"/>
      <c r="S316" s="6"/>
      <c r="T316" s="6"/>
      <c r="U316" s="6"/>
      <c r="V316" s="6"/>
      <c r="W316" s="6"/>
      <c r="X316" s="6"/>
      <c r="Y316" s="6"/>
      <c r="Z316" s="6"/>
      <c r="AA316" s="8"/>
      <c r="AB316" s="8"/>
      <c r="AC316" s="8"/>
      <c r="AD316" s="6"/>
      <c r="AE316" s="8"/>
      <c r="AF316" s="8"/>
      <c r="AG316" s="8"/>
      <c r="AH316" s="8"/>
      <c r="AI316" s="6"/>
      <c r="AJ316" s="8"/>
      <c r="AK316" s="8"/>
      <c r="AL316" s="8"/>
      <c r="AM316" s="8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</row>
    <row r="317" ht="75.0" customHeight="1">
      <c r="A317" s="6"/>
      <c r="B317" s="6"/>
      <c r="C317" s="8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8"/>
      <c r="R317" s="8"/>
      <c r="S317" s="6"/>
      <c r="T317" s="6"/>
      <c r="U317" s="6"/>
      <c r="V317" s="6"/>
      <c r="W317" s="6"/>
      <c r="X317" s="6"/>
      <c r="Y317" s="6"/>
      <c r="Z317" s="6"/>
      <c r="AA317" s="8"/>
      <c r="AB317" s="6"/>
      <c r="AC317" s="6"/>
      <c r="AD317" s="6"/>
      <c r="AE317" s="8"/>
      <c r="AF317" s="8"/>
      <c r="AG317" s="6"/>
      <c r="AH317" s="6"/>
      <c r="AI317" s="6"/>
      <c r="AJ317" s="8"/>
      <c r="AK317" s="8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</row>
    <row r="318" ht="75.0" customHeight="1">
      <c r="A318" s="6"/>
      <c r="B318" s="6"/>
      <c r="C318" s="8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8"/>
      <c r="AB318" s="6"/>
      <c r="AC318" s="6"/>
      <c r="AD318" s="6"/>
      <c r="AE318" s="8"/>
      <c r="AF318" s="8"/>
      <c r="AG318" s="6"/>
      <c r="AH318" s="6"/>
      <c r="AI318" s="6"/>
      <c r="AJ318" s="8"/>
      <c r="AK318" s="8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</row>
    <row r="319" ht="75.0" customHeight="1">
      <c r="A319" s="6"/>
      <c r="B319" s="6"/>
      <c r="C319" s="8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8"/>
      <c r="Q319" s="8"/>
      <c r="R319" s="8"/>
      <c r="S319" s="6"/>
      <c r="T319" s="6"/>
      <c r="U319" s="6"/>
      <c r="V319" s="6"/>
      <c r="W319" s="6"/>
      <c r="X319" s="6"/>
      <c r="Y319" s="6"/>
      <c r="Z319" s="6"/>
      <c r="AA319" s="8"/>
      <c r="AB319" s="8"/>
      <c r="AC319" s="8"/>
      <c r="AD319" s="6"/>
      <c r="AE319" s="8"/>
      <c r="AF319" s="8"/>
      <c r="AG319" s="8"/>
      <c r="AH319" s="8"/>
      <c r="AI319" s="6"/>
      <c r="AJ319" s="8"/>
      <c r="AK319" s="8"/>
      <c r="AL319" s="8"/>
      <c r="AM319" s="8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</row>
    <row r="320" ht="75.0" customHeight="1">
      <c r="A320" s="6"/>
      <c r="B320" s="6"/>
      <c r="C320" s="8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8"/>
      <c r="R320" s="8"/>
      <c r="S320" s="6"/>
      <c r="T320" s="6"/>
      <c r="U320" s="6"/>
      <c r="V320" s="6"/>
      <c r="W320" s="6"/>
      <c r="X320" s="6"/>
      <c r="Y320" s="6"/>
      <c r="Z320" s="6"/>
      <c r="AA320" s="8"/>
      <c r="AB320" s="8"/>
      <c r="AC320" s="8"/>
      <c r="AD320" s="6"/>
      <c r="AE320" s="8"/>
      <c r="AF320" s="8"/>
      <c r="AG320" s="8"/>
      <c r="AH320" s="8"/>
      <c r="AI320" s="6"/>
      <c r="AJ320" s="8"/>
      <c r="AK320" s="8"/>
      <c r="AL320" s="8"/>
      <c r="AM320" s="8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</row>
    <row r="321" ht="75.0" customHeight="1">
      <c r="A321" s="6"/>
      <c r="B321" s="6"/>
      <c r="C321" s="8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8"/>
      <c r="R321" s="8"/>
      <c r="S321" s="6"/>
      <c r="T321" s="6"/>
      <c r="U321" s="6"/>
      <c r="V321" s="6"/>
      <c r="W321" s="6"/>
      <c r="X321" s="6"/>
      <c r="Y321" s="6"/>
      <c r="Z321" s="6"/>
      <c r="AA321" s="8"/>
      <c r="AB321" s="8"/>
      <c r="AC321" s="8"/>
      <c r="AD321" s="6"/>
      <c r="AE321" s="8"/>
      <c r="AF321" s="8"/>
      <c r="AG321" s="8"/>
      <c r="AH321" s="8"/>
      <c r="AI321" s="6"/>
      <c r="AJ321" s="8"/>
      <c r="AK321" s="8"/>
      <c r="AL321" s="8"/>
      <c r="AM321" s="8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</row>
    <row r="322" ht="75.0" customHeight="1">
      <c r="A322" s="6"/>
      <c r="B322" s="6"/>
      <c r="C322" s="8"/>
      <c r="D322" s="6"/>
      <c r="E322" s="6"/>
      <c r="F322" s="6"/>
      <c r="G322" s="6"/>
      <c r="H322" s="6"/>
      <c r="I322" s="8"/>
      <c r="J322" s="6"/>
      <c r="K322" s="8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</row>
    <row r="323" ht="75.0" customHeight="1">
      <c r="A323" s="6"/>
      <c r="B323" s="6"/>
      <c r="C323" s="8"/>
      <c r="D323" s="6"/>
      <c r="E323" s="6"/>
      <c r="F323" s="6"/>
      <c r="G323" s="6"/>
      <c r="H323" s="6"/>
      <c r="I323" s="6"/>
      <c r="J323" s="6"/>
      <c r="K323" s="6"/>
      <c r="L323" s="6"/>
      <c r="M323" s="8"/>
      <c r="N323" s="6"/>
      <c r="O323" s="6"/>
      <c r="P323" s="6"/>
      <c r="Q323" s="8"/>
      <c r="R323" s="8"/>
      <c r="S323" s="6"/>
      <c r="T323" s="6"/>
      <c r="U323" s="6"/>
      <c r="V323" s="6"/>
      <c r="W323" s="6"/>
      <c r="X323" s="6"/>
      <c r="Y323" s="6"/>
      <c r="Z323" s="6"/>
      <c r="AA323" s="8"/>
      <c r="AB323" s="8"/>
      <c r="AC323" s="8"/>
      <c r="AD323" s="6"/>
      <c r="AE323" s="8"/>
      <c r="AF323" s="8"/>
      <c r="AG323" s="8"/>
      <c r="AH323" s="8"/>
      <c r="AI323" s="6"/>
      <c r="AJ323" s="8"/>
      <c r="AK323" s="8"/>
      <c r="AL323" s="8"/>
      <c r="AM323" s="8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</row>
    <row r="324" ht="75.0" customHeight="1">
      <c r="A324" s="6"/>
      <c r="B324" s="6"/>
      <c r="C324" s="8"/>
      <c r="D324" s="6"/>
      <c r="E324" s="6"/>
      <c r="F324" s="6"/>
      <c r="G324" s="6"/>
      <c r="H324" s="6"/>
      <c r="I324" s="6"/>
      <c r="J324" s="6"/>
      <c r="K324" s="6"/>
      <c r="L324" s="6"/>
      <c r="M324" s="8"/>
      <c r="N324" s="6"/>
      <c r="O324" s="6"/>
      <c r="P324" s="6"/>
      <c r="Q324" s="8"/>
      <c r="R324" s="8"/>
      <c r="S324" s="6"/>
      <c r="T324" s="8"/>
      <c r="U324" s="8"/>
      <c r="V324" s="8"/>
      <c r="W324" s="8"/>
      <c r="X324" s="8"/>
      <c r="Y324" s="6"/>
      <c r="Z324" s="8"/>
      <c r="AA324" s="8"/>
      <c r="AB324" s="8"/>
      <c r="AC324" s="8"/>
      <c r="AD324" s="6"/>
      <c r="AE324" s="8"/>
      <c r="AF324" s="8"/>
      <c r="AG324" s="8"/>
      <c r="AH324" s="8"/>
      <c r="AI324" s="6"/>
      <c r="AJ324" s="8"/>
      <c r="AK324" s="8"/>
      <c r="AL324" s="8"/>
      <c r="AM324" s="8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</row>
    <row r="325" ht="75.0" customHeight="1">
      <c r="A325" s="6"/>
      <c r="B325" s="6"/>
      <c r="C325" s="8"/>
      <c r="D325" s="6"/>
      <c r="E325" s="6"/>
      <c r="F325" s="6"/>
      <c r="G325" s="6"/>
      <c r="H325" s="6"/>
      <c r="I325" s="6"/>
      <c r="J325" s="6"/>
      <c r="K325" s="6"/>
      <c r="L325" s="6"/>
      <c r="M325" s="8"/>
      <c r="N325" s="6"/>
      <c r="O325" s="6"/>
      <c r="P325" s="6"/>
      <c r="Q325" s="8"/>
      <c r="R325" s="8"/>
      <c r="S325" s="6"/>
      <c r="T325" s="6"/>
      <c r="U325" s="6"/>
      <c r="V325" s="6"/>
      <c r="W325" s="6"/>
      <c r="X325" s="6"/>
      <c r="Y325" s="6"/>
      <c r="Z325" s="6"/>
      <c r="AA325" s="8"/>
      <c r="AB325" s="6"/>
      <c r="AC325" s="6"/>
      <c r="AD325" s="6"/>
      <c r="AE325" s="8"/>
      <c r="AF325" s="8"/>
      <c r="AG325" s="8"/>
      <c r="AH325" s="8"/>
      <c r="AI325" s="6"/>
      <c r="AJ325" s="8"/>
      <c r="AK325" s="8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</row>
    <row r="326" ht="75.0" customHeight="1">
      <c r="A326" s="6"/>
      <c r="B326" s="6"/>
      <c r="C326" s="8"/>
      <c r="D326" s="6"/>
      <c r="E326" s="6"/>
      <c r="F326" s="6"/>
      <c r="G326" s="6"/>
      <c r="H326" s="6"/>
      <c r="I326" s="6"/>
      <c r="J326" s="6"/>
      <c r="K326" s="6"/>
      <c r="L326" s="6"/>
      <c r="M326" s="8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8"/>
      <c r="AB326" s="6"/>
      <c r="AC326" s="6"/>
      <c r="AD326" s="6"/>
      <c r="AE326" s="8"/>
      <c r="AF326" s="8"/>
      <c r="AG326" s="6"/>
      <c r="AH326" s="6"/>
      <c r="AI326" s="6"/>
      <c r="AJ326" s="8"/>
      <c r="AK326" s="8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</row>
    <row r="327" ht="75.0" customHeight="1">
      <c r="A327" s="6"/>
      <c r="B327" s="6"/>
      <c r="C327" s="8"/>
      <c r="D327" s="6"/>
      <c r="E327" s="6"/>
      <c r="F327" s="6"/>
      <c r="G327" s="6"/>
      <c r="H327" s="6"/>
      <c r="I327" s="6"/>
      <c r="J327" s="8"/>
      <c r="K327" s="6"/>
      <c r="L327" s="6"/>
      <c r="M327" s="8"/>
      <c r="N327" s="6"/>
      <c r="O327" s="6"/>
      <c r="P327" s="6"/>
      <c r="Q327" s="8"/>
      <c r="R327" s="8"/>
      <c r="S327" s="6"/>
      <c r="T327" s="6"/>
      <c r="U327" s="6"/>
      <c r="V327" s="6"/>
      <c r="W327" s="6"/>
      <c r="X327" s="6"/>
      <c r="Y327" s="6"/>
      <c r="Z327" s="6"/>
      <c r="AA327" s="8"/>
      <c r="AB327" s="8"/>
      <c r="AC327" s="8"/>
      <c r="AD327" s="6"/>
      <c r="AE327" s="8"/>
      <c r="AF327" s="8"/>
      <c r="AG327" s="8"/>
      <c r="AH327" s="8"/>
      <c r="AI327" s="6"/>
      <c r="AJ327" s="8"/>
      <c r="AK327" s="8"/>
      <c r="AL327" s="8"/>
      <c r="AM327" s="8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</row>
    <row r="328" ht="75.0" customHeight="1">
      <c r="A328" s="6"/>
      <c r="B328" s="6"/>
      <c r="C328" s="8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8"/>
      <c r="AB328" s="8"/>
      <c r="AC328" s="8"/>
      <c r="AD328" s="6"/>
      <c r="AE328" s="8"/>
      <c r="AF328" s="8"/>
      <c r="AG328" s="6"/>
      <c r="AH328" s="6"/>
      <c r="AI328" s="6"/>
      <c r="AJ328" s="8"/>
      <c r="AK328" s="8"/>
      <c r="AL328" s="8"/>
      <c r="AM328" s="8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</row>
    <row r="329" ht="75.0" customHeight="1">
      <c r="A329" s="6"/>
      <c r="B329" s="6"/>
      <c r="C329" s="8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8"/>
      <c r="AB329" s="6"/>
      <c r="AC329" s="6"/>
      <c r="AD329" s="6"/>
      <c r="AE329" s="8"/>
      <c r="AF329" s="8"/>
      <c r="AG329" s="6"/>
      <c r="AH329" s="6"/>
      <c r="AI329" s="6"/>
      <c r="AJ329" s="8"/>
      <c r="AK329" s="8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</row>
    <row r="330" ht="75.0" customHeight="1">
      <c r="A330" s="6"/>
      <c r="B330" s="6"/>
      <c r="C330" s="8"/>
      <c r="D330" s="6"/>
      <c r="E330" s="6"/>
      <c r="F330" s="6"/>
      <c r="G330" s="6"/>
      <c r="H330" s="6"/>
      <c r="I330" s="6"/>
      <c r="J330" s="6"/>
      <c r="K330" s="6"/>
      <c r="L330" s="6"/>
      <c r="M330" s="8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8"/>
      <c r="AB330" s="6"/>
      <c r="AC330" s="6"/>
      <c r="AD330" s="6"/>
      <c r="AE330" s="8"/>
      <c r="AF330" s="8"/>
      <c r="AG330" s="6"/>
      <c r="AH330" s="6"/>
      <c r="AI330" s="6"/>
      <c r="AJ330" s="8"/>
      <c r="AK330" s="8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</row>
    <row r="331" ht="75.0" customHeight="1">
      <c r="A331" s="6"/>
      <c r="B331" s="6"/>
      <c r="C331" s="8"/>
      <c r="D331" s="6"/>
      <c r="E331" s="6"/>
      <c r="F331" s="6"/>
      <c r="G331" s="6"/>
      <c r="H331" s="6"/>
      <c r="I331" s="6"/>
      <c r="J331" s="6"/>
      <c r="K331" s="6"/>
      <c r="L331" s="6"/>
      <c r="M331" s="8"/>
      <c r="N331" s="6"/>
      <c r="O331" s="6"/>
      <c r="P331" s="6"/>
      <c r="Q331" s="8"/>
      <c r="R331" s="8"/>
      <c r="S331" s="6"/>
      <c r="T331" s="8"/>
      <c r="U331" s="8"/>
      <c r="V331" s="8"/>
      <c r="W331" s="8"/>
      <c r="X331" s="8"/>
      <c r="Y331" s="6"/>
      <c r="Z331" s="6"/>
      <c r="AA331" s="8"/>
      <c r="AB331" s="8"/>
      <c r="AC331" s="8"/>
      <c r="AD331" s="6"/>
      <c r="AE331" s="8"/>
      <c r="AF331" s="8"/>
      <c r="AG331" s="8"/>
      <c r="AH331" s="8"/>
      <c r="AI331" s="6"/>
      <c r="AJ331" s="8"/>
      <c r="AK331" s="8"/>
      <c r="AL331" s="8"/>
      <c r="AM331" s="8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</row>
    <row r="332" ht="75.0" customHeight="1">
      <c r="A332" s="6"/>
      <c r="B332" s="6"/>
      <c r="C332" s="8"/>
      <c r="D332" s="6"/>
      <c r="E332" s="6"/>
      <c r="F332" s="6"/>
      <c r="G332" s="6"/>
      <c r="H332" s="6"/>
      <c r="I332" s="6"/>
      <c r="J332" s="6"/>
      <c r="K332" s="6"/>
      <c r="L332" s="6"/>
      <c r="M332" s="8"/>
      <c r="N332" s="6"/>
      <c r="O332" s="6"/>
      <c r="P332" s="6"/>
      <c r="Q332" s="8"/>
      <c r="R332" s="8"/>
      <c r="S332" s="6"/>
      <c r="T332" s="8"/>
      <c r="U332" s="8"/>
      <c r="V332" s="8"/>
      <c r="W332" s="8"/>
      <c r="X332" s="8"/>
      <c r="Y332" s="6"/>
      <c r="Z332" s="8"/>
      <c r="AA332" s="8"/>
      <c r="AB332" s="8"/>
      <c r="AC332" s="8"/>
      <c r="AD332" s="6"/>
      <c r="AE332" s="8"/>
      <c r="AF332" s="8"/>
      <c r="AG332" s="8"/>
      <c r="AH332" s="8"/>
      <c r="AI332" s="6"/>
      <c r="AJ332" s="8"/>
      <c r="AK332" s="8"/>
      <c r="AL332" s="8"/>
      <c r="AM332" s="8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</row>
    <row r="333" ht="75.0" customHeight="1">
      <c r="A333" s="6"/>
      <c r="B333" s="6"/>
      <c r="C333" s="8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8"/>
      <c r="AB333" s="6"/>
      <c r="AC333" s="6"/>
      <c r="AD333" s="6"/>
      <c r="AE333" s="8"/>
      <c r="AF333" s="8"/>
      <c r="AG333" s="6"/>
      <c r="AH333" s="6"/>
      <c r="AI333" s="6"/>
      <c r="AJ333" s="8"/>
      <c r="AK333" s="8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</row>
    <row r="334" ht="75.0" customHeight="1">
      <c r="A334" s="6"/>
      <c r="B334" s="6"/>
      <c r="C334" s="8"/>
      <c r="D334" s="6"/>
      <c r="E334" s="6"/>
      <c r="F334" s="6"/>
      <c r="G334" s="6"/>
      <c r="H334" s="6"/>
      <c r="I334" s="6"/>
      <c r="J334" s="6"/>
      <c r="K334" s="6"/>
      <c r="L334" s="6"/>
      <c r="M334" s="8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8"/>
      <c r="AB334" s="6"/>
      <c r="AC334" s="6"/>
      <c r="AD334" s="6"/>
      <c r="AE334" s="8"/>
      <c r="AF334" s="8"/>
      <c r="AG334" s="6"/>
      <c r="AH334" s="6"/>
      <c r="AI334" s="6"/>
      <c r="AJ334" s="8"/>
      <c r="AK334" s="8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</row>
    <row r="335" ht="75.0" customHeight="1">
      <c r="A335" s="6"/>
      <c r="B335" s="6"/>
      <c r="C335" s="8"/>
      <c r="D335" s="6"/>
      <c r="E335" s="6"/>
      <c r="F335" s="6"/>
      <c r="G335" s="6"/>
      <c r="H335" s="6"/>
      <c r="I335" s="6"/>
      <c r="J335" s="6"/>
      <c r="K335" s="6"/>
      <c r="L335" s="6"/>
      <c r="M335" s="8"/>
      <c r="N335" s="6"/>
      <c r="O335" s="6"/>
      <c r="P335" s="6"/>
      <c r="Q335" s="6"/>
      <c r="R335" s="6"/>
      <c r="S335" s="8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</row>
    <row r="336" ht="75.0" customHeight="1">
      <c r="A336" s="6"/>
      <c r="B336" s="6"/>
      <c r="C336" s="8"/>
      <c r="D336" s="6"/>
      <c r="E336" s="6"/>
      <c r="F336" s="6"/>
      <c r="G336" s="6"/>
      <c r="H336" s="6"/>
      <c r="I336" s="6"/>
      <c r="J336" s="6"/>
      <c r="K336" s="6"/>
      <c r="L336" s="6"/>
      <c r="M336" s="8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8"/>
      <c r="AB336" s="6"/>
      <c r="AC336" s="6"/>
      <c r="AD336" s="6"/>
      <c r="AE336" s="8"/>
      <c r="AF336" s="8"/>
      <c r="AG336" s="8"/>
      <c r="AH336" s="8"/>
      <c r="AI336" s="6"/>
      <c r="AJ336" s="8"/>
      <c r="AK336" s="8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</row>
    <row r="337" ht="75.0" customHeight="1">
      <c r="A337" s="6"/>
      <c r="B337" s="6"/>
      <c r="C337" s="8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8"/>
      <c r="R337" s="8"/>
      <c r="S337" s="6"/>
      <c r="T337" s="8"/>
      <c r="U337" s="8"/>
      <c r="V337" s="8"/>
      <c r="W337" s="8"/>
      <c r="X337" s="8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</row>
    <row r="338" ht="75.0" customHeight="1">
      <c r="A338" s="6"/>
      <c r="B338" s="6"/>
      <c r="C338" s="8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</row>
    <row r="339" ht="75.0" customHeight="1">
      <c r="A339" s="6"/>
      <c r="B339" s="6"/>
      <c r="C339" s="8"/>
      <c r="D339" s="6"/>
      <c r="E339" s="6"/>
      <c r="F339" s="6"/>
      <c r="G339" s="6"/>
      <c r="H339" s="6"/>
      <c r="I339" s="6"/>
      <c r="J339" s="6"/>
      <c r="K339" s="6"/>
      <c r="L339" s="6"/>
      <c r="M339" s="8"/>
      <c r="N339" s="6"/>
      <c r="O339" s="6"/>
      <c r="P339" s="6"/>
      <c r="Q339" s="8"/>
      <c r="R339" s="8"/>
      <c r="S339" s="6"/>
      <c r="T339" s="6"/>
      <c r="U339" s="6"/>
      <c r="V339" s="6"/>
      <c r="W339" s="6"/>
      <c r="X339" s="6"/>
      <c r="Y339" s="6"/>
      <c r="Z339" s="6"/>
      <c r="AA339" s="8"/>
      <c r="AB339" s="8"/>
      <c r="AC339" s="8"/>
      <c r="AD339" s="6"/>
      <c r="AE339" s="8"/>
      <c r="AF339" s="8"/>
      <c r="AG339" s="8"/>
      <c r="AH339" s="8"/>
      <c r="AI339" s="6"/>
      <c r="AJ339" s="8"/>
      <c r="AK339" s="8"/>
      <c r="AL339" s="8"/>
      <c r="AM339" s="8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</row>
    <row r="340" ht="75.0" customHeight="1">
      <c r="A340" s="6"/>
      <c r="B340" s="6"/>
      <c r="C340" s="8"/>
      <c r="D340" s="6"/>
      <c r="E340" s="6"/>
      <c r="F340" s="6"/>
      <c r="G340" s="6"/>
      <c r="H340" s="6"/>
      <c r="I340" s="6"/>
      <c r="J340" s="6"/>
      <c r="K340" s="6"/>
      <c r="L340" s="6"/>
      <c r="M340" s="8"/>
      <c r="N340" s="6"/>
      <c r="O340" s="6"/>
      <c r="P340" s="6"/>
      <c r="Q340" s="8"/>
      <c r="R340" s="8"/>
      <c r="S340" s="6"/>
      <c r="T340" s="6"/>
      <c r="U340" s="6"/>
      <c r="V340" s="6"/>
      <c r="W340" s="6"/>
      <c r="X340" s="6"/>
      <c r="Y340" s="6"/>
      <c r="Z340" s="6"/>
      <c r="AA340" s="8"/>
      <c r="AB340" s="8"/>
      <c r="AC340" s="8"/>
      <c r="AD340" s="6"/>
      <c r="AE340" s="8"/>
      <c r="AF340" s="8"/>
      <c r="AG340" s="8"/>
      <c r="AH340" s="8"/>
      <c r="AI340" s="6"/>
      <c r="AJ340" s="8"/>
      <c r="AK340" s="8"/>
      <c r="AL340" s="8"/>
      <c r="AM340" s="8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</row>
    <row r="341" ht="75.0" customHeight="1">
      <c r="A341" s="6"/>
      <c r="B341" s="6"/>
      <c r="C341" s="8"/>
      <c r="D341" s="6"/>
      <c r="E341" s="6"/>
      <c r="F341" s="6"/>
      <c r="G341" s="6"/>
      <c r="H341" s="6"/>
      <c r="I341" s="6"/>
      <c r="J341" s="6"/>
      <c r="K341" s="6"/>
      <c r="L341" s="6"/>
      <c r="M341" s="8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8"/>
      <c r="AB341" s="8"/>
      <c r="AC341" s="8"/>
      <c r="AD341" s="6"/>
      <c r="AE341" s="8"/>
      <c r="AF341" s="8"/>
      <c r="AG341" s="8"/>
      <c r="AH341" s="8"/>
      <c r="AI341" s="6"/>
      <c r="AJ341" s="8"/>
      <c r="AK341" s="8"/>
      <c r="AL341" s="8"/>
      <c r="AM341" s="8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</row>
    <row r="342" ht="75.0" customHeight="1">
      <c r="A342" s="6"/>
      <c r="B342" s="6"/>
      <c r="C342" s="8"/>
      <c r="D342" s="6"/>
      <c r="E342" s="6"/>
      <c r="F342" s="6"/>
      <c r="G342" s="6"/>
      <c r="H342" s="6"/>
      <c r="I342" s="6"/>
      <c r="J342" s="6"/>
      <c r="K342" s="6"/>
      <c r="L342" s="6"/>
      <c r="M342" s="8"/>
      <c r="N342" s="6"/>
      <c r="O342" s="6"/>
      <c r="P342" s="6"/>
      <c r="Q342" s="8"/>
      <c r="R342" s="8"/>
      <c r="S342" s="6"/>
      <c r="T342" s="6"/>
      <c r="U342" s="6"/>
      <c r="V342" s="6"/>
      <c r="W342" s="6"/>
      <c r="X342" s="6"/>
      <c r="Y342" s="6"/>
      <c r="Z342" s="8"/>
      <c r="AA342" s="8"/>
      <c r="AB342" s="8"/>
      <c r="AC342" s="8"/>
      <c r="AD342" s="6"/>
      <c r="AE342" s="8"/>
      <c r="AF342" s="8"/>
      <c r="AG342" s="8"/>
      <c r="AH342" s="8"/>
      <c r="AI342" s="6"/>
      <c r="AJ342" s="8"/>
      <c r="AK342" s="8"/>
      <c r="AL342" s="8"/>
      <c r="AM342" s="8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</row>
    <row r="343" ht="75.0" customHeight="1">
      <c r="A343" s="6"/>
      <c r="B343" s="6"/>
      <c r="C343" s="8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8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8"/>
      <c r="AA343" s="8"/>
      <c r="AB343" s="8"/>
      <c r="AC343" s="8"/>
      <c r="AD343" s="6"/>
      <c r="AE343" s="8"/>
      <c r="AF343" s="8"/>
      <c r="AG343" s="8"/>
      <c r="AH343" s="8"/>
      <c r="AI343" s="6"/>
      <c r="AJ343" s="8"/>
      <c r="AK343" s="8"/>
      <c r="AL343" s="8"/>
      <c r="AM343" s="8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</row>
    <row r="344" ht="75.0" customHeight="1">
      <c r="A344" s="6"/>
      <c r="B344" s="6"/>
      <c r="C344" s="8"/>
      <c r="D344" s="6"/>
      <c r="E344" s="6"/>
      <c r="F344" s="6"/>
      <c r="G344" s="6"/>
      <c r="H344" s="6"/>
      <c r="I344" s="6"/>
      <c r="J344" s="6"/>
      <c r="K344" s="6"/>
      <c r="L344" s="6"/>
      <c r="M344" s="8"/>
      <c r="N344" s="6"/>
      <c r="O344" s="6"/>
      <c r="P344" s="6"/>
      <c r="Q344" s="8"/>
      <c r="R344" s="8"/>
      <c r="S344" s="6"/>
      <c r="T344" s="6"/>
      <c r="U344" s="6"/>
      <c r="V344" s="6"/>
      <c r="W344" s="6"/>
      <c r="X344" s="6"/>
      <c r="Y344" s="6"/>
      <c r="Z344" s="8"/>
      <c r="AA344" s="8"/>
      <c r="AB344" s="8"/>
      <c r="AC344" s="8"/>
      <c r="AD344" s="6"/>
      <c r="AE344" s="8"/>
      <c r="AF344" s="8"/>
      <c r="AG344" s="8"/>
      <c r="AH344" s="8"/>
      <c r="AI344" s="6"/>
      <c r="AJ344" s="8"/>
      <c r="AK344" s="8"/>
      <c r="AL344" s="8"/>
      <c r="AM344" s="8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</row>
    <row r="345" ht="75.0" customHeight="1">
      <c r="A345" s="6"/>
      <c r="B345" s="6"/>
      <c r="C345" s="8"/>
      <c r="D345" s="6"/>
      <c r="E345" s="6"/>
      <c r="F345" s="6"/>
      <c r="G345" s="6"/>
      <c r="H345" s="6"/>
      <c r="I345" s="6"/>
      <c r="J345" s="6"/>
      <c r="K345" s="6"/>
      <c r="L345" s="6"/>
      <c r="M345" s="8"/>
      <c r="N345" s="6"/>
      <c r="O345" s="6"/>
      <c r="P345" s="6"/>
      <c r="Q345" s="8"/>
      <c r="R345" s="8"/>
      <c r="S345" s="6"/>
      <c r="T345" s="6"/>
      <c r="U345" s="6"/>
      <c r="V345" s="6"/>
      <c r="W345" s="6"/>
      <c r="X345" s="6"/>
      <c r="Y345" s="6"/>
      <c r="Z345" s="6"/>
      <c r="AA345" s="8"/>
      <c r="AB345" s="8"/>
      <c r="AC345" s="8"/>
      <c r="AD345" s="6"/>
      <c r="AE345" s="8"/>
      <c r="AF345" s="8"/>
      <c r="AG345" s="8"/>
      <c r="AH345" s="8"/>
      <c r="AI345" s="6"/>
      <c r="AJ345" s="8"/>
      <c r="AK345" s="8"/>
      <c r="AL345" s="8"/>
      <c r="AM345" s="8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</row>
    <row r="346" ht="75.0" customHeight="1">
      <c r="A346" s="6"/>
      <c r="B346" s="6"/>
      <c r="C346" s="8"/>
      <c r="D346" s="6"/>
      <c r="E346" s="6"/>
      <c r="F346" s="6"/>
      <c r="G346" s="6"/>
      <c r="H346" s="6"/>
      <c r="I346" s="6"/>
      <c r="J346" s="6"/>
      <c r="K346" s="6"/>
      <c r="L346" s="6"/>
      <c r="M346" s="8"/>
      <c r="N346" s="6"/>
      <c r="O346" s="6"/>
      <c r="P346" s="6"/>
      <c r="Q346" s="8"/>
      <c r="R346" s="8"/>
      <c r="S346" s="6"/>
      <c r="T346" s="6"/>
      <c r="U346" s="6"/>
      <c r="V346" s="6"/>
      <c r="W346" s="6"/>
      <c r="X346" s="6"/>
      <c r="Y346" s="6"/>
      <c r="Z346" s="6"/>
      <c r="AA346" s="8"/>
      <c r="AB346" s="8"/>
      <c r="AC346" s="8"/>
      <c r="AD346" s="6"/>
      <c r="AE346" s="8"/>
      <c r="AF346" s="8"/>
      <c r="AG346" s="8"/>
      <c r="AH346" s="8"/>
      <c r="AI346" s="6"/>
      <c r="AJ346" s="8"/>
      <c r="AK346" s="8"/>
      <c r="AL346" s="8"/>
      <c r="AM346" s="8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</row>
    <row r="347" ht="75.0" customHeight="1">
      <c r="A347" s="6"/>
      <c r="B347" s="6"/>
      <c r="C347" s="8"/>
      <c r="D347" s="6"/>
      <c r="E347" s="6"/>
      <c r="F347" s="6"/>
      <c r="G347" s="6"/>
      <c r="H347" s="6"/>
      <c r="I347" s="6"/>
      <c r="J347" s="6"/>
      <c r="K347" s="6"/>
      <c r="L347" s="6"/>
      <c r="M347" s="8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</row>
    <row r="348" ht="75.0" customHeight="1">
      <c r="A348" s="6"/>
      <c r="B348" s="6"/>
      <c r="C348" s="8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8"/>
      <c r="AB348" s="6"/>
      <c r="AC348" s="6"/>
      <c r="AD348" s="6"/>
      <c r="AE348" s="8"/>
      <c r="AF348" s="8"/>
      <c r="AG348" s="6"/>
      <c r="AH348" s="6"/>
      <c r="AI348" s="6"/>
      <c r="AJ348" s="8"/>
      <c r="AK348" s="8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</row>
    <row r="349" ht="75.0" customHeight="1">
      <c r="A349" s="6"/>
      <c r="B349" s="6"/>
      <c r="C349" s="8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8"/>
      <c r="U349" s="8"/>
      <c r="V349" s="8"/>
      <c r="W349" s="8"/>
      <c r="X349" s="8"/>
      <c r="Y349" s="6"/>
      <c r="Z349" s="6"/>
      <c r="AA349" s="8"/>
      <c r="AB349" s="6"/>
      <c r="AC349" s="6"/>
      <c r="AD349" s="6"/>
      <c r="AE349" s="8"/>
      <c r="AF349" s="8"/>
      <c r="AG349" s="6"/>
      <c r="AH349" s="6"/>
      <c r="AI349" s="6"/>
      <c r="AJ349" s="8"/>
      <c r="AK349" s="8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</row>
    <row r="350" ht="75.0" customHeight="1">
      <c r="A350" s="6"/>
      <c r="B350" s="6"/>
      <c r="C350" s="8"/>
      <c r="D350" s="6"/>
      <c r="E350" s="6"/>
      <c r="F350" s="6"/>
      <c r="G350" s="6"/>
      <c r="H350" s="6"/>
      <c r="I350" s="6"/>
      <c r="J350" s="6"/>
      <c r="K350" s="6"/>
      <c r="L350" s="6"/>
      <c r="M350" s="8"/>
      <c r="N350" s="6"/>
      <c r="O350" s="6"/>
      <c r="P350" s="6"/>
      <c r="Q350" s="8"/>
      <c r="R350" s="8"/>
      <c r="S350" s="6"/>
      <c r="T350" s="6"/>
      <c r="U350" s="6"/>
      <c r="V350" s="6"/>
      <c r="W350" s="6"/>
      <c r="X350" s="6"/>
      <c r="Y350" s="6"/>
      <c r="Z350" s="6"/>
      <c r="AA350" s="8"/>
      <c r="AB350" s="6"/>
      <c r="AC350" s="6"/>
      <c r="AD350" s="6"/>
      <c r="AE350" s="8"/>
      <c r="AF350" s="8"/>
      <c r="AG350" s="8"/>
      <c r="AH350" s="8"/>
      <c r="AI350" s="6"/>
      <c r="AJ350" s="8"/>
      <c r="AK350" s="8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</row>
    <row r="351" ht="75.0" customHeight="1">
      <c r="A351" s="6"/>
      <c r="B351" s="6"/>
      <c r="C351" s="8"/>
      <c r="D351" s="6"/>
      <c r="E351" s="6"/>
      <c r="F351" s="6"/>
      <c r="G351" s="6"/>
      <c r="H351" s="6"/>
      <c r="I351" s="6"/>
      <c r="J351" s="6"/>
      <c r="K351" s="6"/>
      <c r="L351" s="6"/>
      <c r="M351" s="8"/>
      <c r="N351" s="6"/>
      <c r="O351" s="6"/>
      <c r="P351" s="6"/>
      <c r="Q351" s="8"/>
      <c r="R351" s="8"/>
      <c r="S351" s="6"/>
      <c r="T351" s="6"/>
      <c r="U351" s="6"/>
      <c r="V351" s="6"/>
      <c r="W351" s="6"/>
      <c r="X351" s="6"/>
      <c r="Y351" s="6"/>
      <c r="Z351" s="8"/>
      <c r="AA351" s="8"/>
      <c r="AB351" s="6"/>
      <c r="AC351" s="6"/>
      <c r="AD351" s="6"/>
      <c r="AE351" s="8"/>
      <c r="AF351" s="8"/>
      <c r="AG351" s="8"/>
      <c r="AH351" s="8"/>
      <c r="AI351" s="6"/>
      <c r="AJ351" s="8"/>
      <c r="AK351" s="8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</row>
    <row r="352" ht="75.0" customHeight="1">
      <c r="A352" s="6"/>
      <c r="B352" s="6"/>
      <c r="C352" s="8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8"/>
      <c r="R352" s="8"/>
      <c r="S352" s="6"/>
      <c r="T352" s="8"/>
      <c r="U352" s="8"/>
      <c r="V352" s="8"/>
      <c r="W352" s="8"/>
      <c r="X352" s="8"/>
      <c r="Y352" s="6"/>
      <c r="Z352" s="8"/>
      <c r="AA352" s="8"/>
      <c r="AB352" s="8"/>
      <c r="AC352" s="8"/>
      <c r="AD352" s="6"/>
      <c r="AE352" s="8"/>
      <c r="AF352" s="8"/>
      <c r="AG352" s="8"/>
      <c r="AH352" s="8"/>
      <c r="AI352" s="6"/>
      <c r="AJ352" s="8"/>
      <c r="AK352" s="8"/>
      <c r="AL352" s="8"/>
      <c r="AM352" s="8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</row>
    <row r="353" ht="75.0" customHeight="1">
      <c r="A353" s="6"/>
      <c r="B353" s="6"/>
      <c r="C353" s="8"/>
      <c r="D353" s="6"/>
      <c r="E353" s="6"/>
      <c r="F353" s="6"/>
      <c r="G353" s="6"/>
      <c r="H353" s="6"/>
      <c r="I353" s="6"/>
      <c r="J353" s="6"/>
      <c r="K353" s="6"/>
      <c r="L353" s="6"/>
      <c r="M353" s="8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</row>
    <row r="354" ht="75.0" customHeight="1">
      <c r="A354" s="6"/>
      <c r="B354" s="6"/>
      <c r="C354" s="8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8"/>
      <c r="R354" s="8"/>
      <c r="S354" s="6"/>
      <c r="T354" s="6"/>
      <c r="U354" s="6"/>
      <c r="V354" s="6"/>
      <c r="W354" s="6"/>
      <c r="X354" s="6"/>
      <c r="Y354" s="6"/>
      <c r="Z354" s="6"/>
      <c r="AA354" s="8"/>
      <c r="AB354" s="8"/>
      <c r="AC354" s="8"/>
      <c r="AD354" s="6"/>
      <c r="AE354" s="8"/>
      <c r="AF354" s="8"/>
      <c r="AG354" s="8"/>
      <c r="AH354" s="8"/>
      <c r="AI354" s="6"/>
      <c r="AJ354" s="8"/>
      <c r="AK354" s="8"/>
      <c r="AL354" s="8"/>
      <c r="AM354" s="8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</row>
    <row r="355" ht="75.0" customHeight="1">
      <c r="A355" s="6"/>
      <c r="B355" s="6"/>
      <c r="C355" s="8"/>
      <c r="D355" s="6"/>
      <c r="E355" s="6"/>
      <c r="F355" s="6"/>
      <c r="G355" s="6"/>
      <c r="H355" s="6"/>
      <c r="I355" s="6"/>
      <c r="J355" s="6"/>
      <c r="K355" s="6"/>
      <c r="L355" s="6"/>
      <c r="M355" s="8"/>
      <c r="N355" s="6"/>
      <c r="O355" s="6"/>
      <c r="P355" s="6"/>
      <c r="Q355" s="8"/>
      <c r="R355" s="8"/>
      <c r="S355" s="6"/>
      <c r="T355" s="6"/>
      <c r="U355" s="6"/>
      <c r="V355" s="6"/>
      <c r="W355" s="6"/>
      <c r="X355" s="6"/>
      <c r="Y355" s="6"/>
      <c r="Z355" s="6"/>
      <c r="AA355" s="8"/>
      <c r="AB355" s="8"/>
      <c r="AC355" s="8"/>
      <c r="AD355" s="6"/>
      <c r="AE355" s="8"/>
      <c r="AF355" s="8"/>
      <c r="AG355" s="8"/>
      <c r="AH355" s="8"/>
      <c r="AI355" s="6"/>
      <c r="AJ355" s="8"/>
      <c r="AK355" s="8"/>
      <c r="AL355" s="8"/>
      <c r="AM355" s="8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</row>
    <row r="356" ht="75.0" customHeight="1">
      <c r="A356" s="6"/>
      <c r="B356" s="6"/>
      <c r="C356" s="8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</row>
    <row r="357" ht="75.0" customHeight="1">
      <c r="A357" s="6"/>
      <c r="B357" s="6"/>
      <c r="C357" s="8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</row>
    <row r="358" ht="75.0" customHeight="1">
      <c r="A358" s="6"/>
      <c r="B358" s="6"/>
      <c r="C358" s="8"/>
      <c r="D358" s="6"/>
      <c r="E358" s="6"/>
      <c r="F358" s="6"/>
      <c r="G358" s="6"/>
      <c r="H358" s="6"/>
      <c r="I358" s="6"/>
      <c r="J358" s="6"/>
      <c r="K358" s="6"/>
      <c r="L358" s="6"/>
      <c r="M358" s="8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8"/>
      <c r="AB358" s="8"/>
      <c r="AC358" s="8"/>
      <c r="AD358" s="6"/>
      <c r="AE358" s="8"/>
      <c r="AF358" s="8"/>
      <c r="AG358" s="8"/>
      <c r="AH358" s="8"/>
      <c r="AI358" s="6"/>
      <c r="AJ358" s="8"/>
      <c r="AK358" s="8"/>
      <c r="AL358" s="8"/>
      <c r="AM358" s="8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</row>
    <row r="359" ht="75.0" customHeight="1">
      <c r="A359" s="6"/>
      <c r="B359" s="6"/>
      <c r="C359" s="8"/>
      <c r="D359" s="6"/>
      <c r="E359" s="6"/>
      <c r="F359" s="6"/>
      <c r="G359" s="6"/>
      <c r="H359" s="6"/>
      <c r="I359" s="6"/>
      <c r="J359" s="6"/>
      <c r="K359" s="6"/>
      <c r="L359" s="6"/>
      <c r="M359" s="8"/>
      <c r="N359" s="6"/>
      <c r="O359" s="6"/>
      <c r="P359" s="6"/>
      <c r="Q359" s="8"/>
      <c r="R359" s="8"/>
      <c r="S359" s="6"/>
      <c r="T359" s="8"/>
      <c r="U359" s="8"/>
      <c r="V359" s="8"/>
      <c r="W359" s="8"/>
      <c r="X359" s="8"/>
      <c r="Y359" s="6"/>
      <c r="Z359" s="6"/>
      <c r="AA359" s="8"/>
      <c r="AB359" s="8"/>
      <c r="AC359" s="8"/>
      <c r="AD359" s="6"/>
      <c r="AE359" s="8"/>
      <c r="AF359" s="8"/>
      <c r="AG359" s="8"/>
      <c r="AH359" s="8"/>
      <c r="AI359" s="6"/>
      <c r="AJ359" s="8"/>
      <c r="AK359" s="8"/>
      <c r="AL359" s="8"/>
      <c r="AM359" s="8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</row>
    <row r="360" ht="75.0" customHeight="1">
      <c r="A360" s="6"/>
      <c r="B360" s="6"/>
      <c r="C360" s="8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8"/>
      <c r="R360" s="8"/>
      <c r="S360" s="6"/>
      <c r="T360" s="6"/>
      <c r="U360" s="6"/>
      <c r="V360" s="6"/>
      <c r="W360" s="6"/>
      <c r="X360" s="6"/>
      <c r="Y360" s="6"/>
      <c r="Z360" s="6"/>
      <c r="AA360" s="8"/>
      <c r="AB360" s="8"/>
      <c r="AC360" s="8"/>
      <c r="AD360" s="6"/>
      <c r="AE360" s="8"/>
      <c r="AF360" s="8"/>
      <c r="AG360" s="8"/>
      <c r="AH360" s="8"/>
      <c r="AI360" s="6"/>
      <c r="AJ360" s="8"/>
      <c r="AK360" s="8"/>
      <c r="AL360" s="8"/>
      <c r="AM360" s="8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</row>
    <row r="361" ht="75.0" customHeight="1">
      <c r="A361" s="6"/>
      <c r="B361" s="6"/>
      <c r="C361" s="8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8"/>
      <c r="AB361" s="6"/>
      <c r="AC361" s="6"/>
      <c r="AD361" s="6"/>
      <c r="AE361" s="8"/>
      <c r="AF361" s="8"/>
      <c r="AG361" s="6"/>
      <c r="AH361" s="6"/>
      <c r="AI361" s="6"/>
      <c r="AJ361" s="8"/>
      <c r="AK361" s="8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</row>
    <row r="362" ht="75.0" customHeight="1">
      <c r="A362" s="6"/>
      <c r="B362" s="6"/>
      <c r="C362" s="8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8"/>
      <c r="U362" s="8"/>
      <c r="V362" s="8"/>
      <c r="W362" s="8"/>
      <c r="X362" s="8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</row>
    <row r="363" ht="75.0" customHeight="1">
      <c r="A363" s="6"/>
      <c r="B363" s="6"/>
      <c r="C363" s="8"/>
      <c r="D363" s="6"/>
      <c r="E363" s="6"/>
      <c r="F363" s="6"/>
      <c r="G363" s="6"/>
      <c r="H363" s="6"/>
      <c r="I363" s="6"/>
      <c r="J363" s="8"/>
      <c r="K363" s="6"/>
      <c r="L363" s="6"/>
      <c r="M363" s="8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8"/>
      <c r="AB363" s="6"/>
      <c r="AC363" s="6"/>
      <c r="AD363" s="6"/>
      <c r="AE363" s="8"/>
      <c r="AF363" s="8"/>
      <c r="AG363" s="6"/>
      <c r="AH363" s="6"/>
      <c r="AI363" s="6"/>
      <c r="AJ363" s="8"/>
      <c r="AK363" s="8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</row>
    <row r="364" ht="75.0" customHeight="1">
      <c r="A364" s="6"/>
      <c r="B364" s="6"/>
      <c r="C364" s="8"/>
      <c r="D364" s="6"/>
      <c r="E364" s="6"/>
      <c r="F364" s="6"/>
      <c r="G364" s="6"/>
      <c r="H364" s="6"/>
      <c r="I364" s="6"/>
      <c r="J364" s="6"/>
      <c r="K364" s="6"/>
      <c r="L364" s="6"/>
      <c r="M364" s="8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</row>
    <row r="365" ht="75.0" customHeight="1">
      <c r="A365" s="6"/>
      <c r="B365" s="6"/>
      <c r="C365" s="8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8"/>
      <c r="AB365" s="6"/>
      <c r="AC365" s="6"/>
      <c r="AD365" s="6"/>
      <c r="AE365" s="8"/>
      <c r="AF365" s="8"/>
      <c r="AG365" s="6"/>
      <c r="AH365" s="6"/>
      <c r="AI365" s="6"/>
      <c r="AJ365" s="8"/>
      <c r="AK365" s="8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</row>
    <row r="366" ht="75.0" customHeight="1">
      <c r="A366" s="6"/>
      <c r="B366" s="6"/>
      <c r="C366" s="8"/>
      <c r="D366" s="6"/>
      <c r="E366" s="6"/>
      <c r="F366" s="6"/>
      <c r="G366" s="6"/>
      <c r="H366" s="6"/>
      <c r="I366" s="6"/>
      <c r="J366" s="8"/>
      <c r="K366" s="6"/>
      <c r="L366" s="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</row>
    <row r="367" ht="75.0" customHeight="1">
      <c r="A367" s="6"/>
      <c r="B367" s="6"/>
      <c r="C367" s="8"/>
      <c r="D367" s="6"/>
      <c r="E367" s="6"/>
      <c r="F367" s="6"/>
      <c r="G367" s="6"/>
      <c r="H367" s="6"/>
      <c r="I367" s="6"/>
      <c r="J367" s="8"/>
      <c r="K367" s="6"/>
      <c r="L367" s="6"/>
      <c r="M367" s="6"/>
      <c r="N367" s="8"/>
      <c r="O367" s="8"/>
      <c r="P367" s="8"/>
      <c r="Q367" s="8"/>
      <c r="R367" s="8"/>
      <c r="S367" s="8"/>
      <c r="T367" s="6"/>
      <c r="U367" s="6"/>
      <c r="V367" s="6"/>
      <c r="W367" s="6"/>
      <c r="X367" s="6"/>
      <c r="Y367" s="6"/>
      <c r="Z367" s="6"/>
      <c r="AA367" s="8"/>
      <c r="AB367" s="8"/>
      <c r="AC367" s="8"/>
      <c r="AD367" s="6"/>
      <c r="AE367" s="8"/>
      <c r="AF367" s="8"/>
      <c r="AG367" s="8"/>
      <c r="AH367" s="8"/>
      <c r="AI367" s="6"/>
      <c r="AJ367" s="8"/>
      <c r="AK367" s="8"/>
      <c r="AL367" s="8"/>
      <c r="AM367" s="8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</row>
    <row r="368" ht="75.0" customHeight="1">
      <c r="A368" s="6"/>
      <c r="B368" s="6"/>
      <c r="C368" s="8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8"/>
      <c r="U368" s="8"/>
      <c r="V368" s="8"/>
      <c r="W368" s="8"/>
      <c r="X368" s="8"/>
      <c r="Y368" s="6"/>
      <c r="Z368" s="6"/>
      <c r="AA368" s="8"/>
      <c r="AB368" s="6"/>
      <c r="AC368" s="6"/>
      <c r="AD368" s="6"/>
      <c r="AE368" s="8"/>
      <c r="AF368" s="8"/>
      <c r="AG368" s="6"/>
      <c r="AH368" s="6"/>
      <c r="AI368" s="6"/>
      <c r="AJ368" s="8"/>
      <c r="AK368" s="8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</row>
    <row r="369" ht="75.0" customHeight="1">
      <c r="A369" s="6"/>
      <c r="B369" s="6"/>
      <c r="C369" s="8"/>
      <c r="D369" s="6"/>
      <c r="E369" s="6"/>
      <c r="F369" s="6"/>
      <c r="G369" s="6"/>
      <c r="H369" s="6"/>
      <c r="I369" s="6"/>
      <c r="J369" s="6"/>
      <c r="K369" s="6"/>
      <c r="L369" s="6"/>
      <c r="M369" s="8"/>
      <c r="N369" s="6"/>
      <c r="O369" s="6"/>
      <c r="P369" s="6"/>
      <c r="Q369" s="8"/>
      <c r="R369" s="8"/>
      <c r="S369" s="6"/>
      <c r="T369" s="8"/>
      <c r="U369" s="8"/>
      <c r="V369" s="8"/>
      <c r="W369" s="8"/>
      <c r="X369" s="8"/>
      <c r="Y369" s="6"/>
      <c r="Z369" s="6"/>
      <c r="AA369" s="8"/>
      <c r="AB369" s="6"/>
      <c r="AC369" s="6"/>
      <c r="AD369" s="6"/>
      <c r="AE369" s="8"/>
      <c r="AF369" s="8"/>
      <c r="AG369" s="8"/>
      <c r="AH369" s="8"/>
      <c r="AI369" s="6"/>
      <c r="AJ369" s="8"/>
      <c r="AK369" s="8"/>
      <c r="AL369" s="8"/>
      <c r="AM369" s="8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</row>
    <row r="370" ht="75.0" customHeight="1">
      <c r="A370" s="6"/>
      <c r="B370" s="6"/>
      <c r="C370" s="8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</row>
    <row r="371" ht="75.0" customHeight="1">
      <c r="A371" s="6"/>
      <c r="B371" s="6"/>
      <c r="C371" s="8"/>
      <c r="D371" s="6"/>
      <c r="E371" s="6"/>
      <c r="F371" s="6"/>
      <c r="G371" s="6"/>
      <c r="H371" s="6"/>
      <c r="I371" s="6"/>
      <c r="J371" s="6"/>
      <c r="K371" s="6"/>
      <c r="L371" s="6"/>
      <c r="M371" s="8"/>
      <c r="N371" s="6"/>
      <c r="O371" s="6"/>
      <c r="P371" s="6"/>
      <c r="Q371" s="8"/>
      <c r="R371" s="8"/>
      <c r="S371" s="6"/>
      <c r="T371" s="8"/>
      <c r="U371" s="8"/>
      <c r="V371" s="8"/>
      <c r="W371" s="8"/>
      <c r="X371" s="8"/>
      <c r="Y371" s="6"/>
      <c r="Z371" s="6"/>
      <c r="AA371" s="8"/>
      <c r="AB371" s="8"/>
      <c r="AC371" s="8"/>
      <c r="AD371" s="6"/>
      <c r="AE371" s="8"/>
      <c r="AF371" s="8"/>
      <c r="AG371" s="8"/>
      <c r="AH371" s="8"/>
      <c r="AI371" s="6"/>
      <c r="AJ371" s="8"/>
      <c r="AK371" s="8"/>
      <c r="AL371" s="8"/>
      <c r="AM371" s="8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</row>
    <row r="372" ht="75.0" customHeight="1">
      <c r="A372" s="6"/>
      <c r="B372" s="6"/>
      <c r="C372" s="8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</row>
    <row r="373" ht="75.0" customHeight="1">
      <c r="A373" s="6"/>
      <c r="B373" s="6"/>
      <c r="C373" s="8"/>
      <c r="D373" s="6"/>
      <c r="E373" s="6"/>
      <c r="F373" s="6"/>
      <c r="G373" s="6"/>
      <c r="H373" s="6"/>
      <c r="I373" s="6"/>
      <c r="J373" s="6"/>
      <c r="K373" s="6"/>
      <c r="L373" s="6"/>
      <c r="M373" s="8"/>
      <c r="N373" s="6"/>
      <c r="O373" s="6"/>
      <c r="P373" s="6"/>
      <c r="Q373" s="8"/>
      <c r="R373" s="8"/>
      <c r="S373" s="6"/>
      <c r="T373" s="6"/>
      <c r="U373" s="6"/>
      <c r="V373" s="6"/>
      <c r="W373" s="6"/>
      <c r="X373" s="6"/>
      <c r="Y373" s="6"/>
      <c r="Z373" s="6"/>
      <c r="AA373" s="8"/>
      <c r="AB373" s="8"/>
      <c r="AC373" s="8"/>
      <c r="AD373" s="6"/>
      <c r="AE373" s="8"/>
      <c r="AF373" s="8"/>
      <c r="AG373" s="8"/>
      <c r="AH373" s="8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8"/>
      <c r="AV373" s="8"/>
      <c r="AW373" s="8"/>
      <c r="AX373" s="6"/>
      <c r="AY373" s="6"/>
      <c r="AZ373" s="6"/>
      <c r="BA373" s="6"/>
    </row>
    <row r="374" ht="75.0" customHeight="1">
      <c r="A374" s="6"/>
      <c r="B374" s="6"/>
      <c r="C374" s="8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8"/>
      <c r="U374" s="8"/>
      <c r="V374" s="8"/>
      <c r="W374" s="8"/>
      <c r="X374" s="8"/>
      <c r="Y374" s="6"/>
      <c r="Z374" s="6"/>
      <c r="AA374" s="8"/>
      <c r="AB374" s="6"/>
      <c r="AC374" s="6"/>
      <c r="AD374" s="6"/>
      <c r="AE374" s="8"/>
      <c r="AF374" s="8"/>
      <c r="AG374" s="6"/>
      <c r="AH374" s="6"/>
      <c r="AI374" s="6"/>
      <c r="AJ374" s="8"/>
      <c r="AK374" s="8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</row>
    <row r="375" ht="75.0" customHeight="1">
      <c r="A375" s="6"/>
      <c r="B375" s="6"/>
      <c r="C375" s="8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8"/>
      <c r="R375" s="8"/>
      <c r="S375" s="6"/>
      <c r="T375" s="6"/>
      <c r="U375" s="6"/>
      <c r="V375" s="6"/>
      <c r="W375" s="6"/>
      <c r="X375" s="6"/>
      <c r="Y375" s="6"/>
      <c r="Z375" s="8"/>
      <c r="AA375" s="8"/>
      <c r="AB375" s="8"/>
      <c r="AC375" s="8"/>
      <c r="AD375" s="6"/>
      <c r="AE375" s="8"/>
      <c r="AF375" s="8"/>
      <c r="AG375" s="8"/>
      <c r="AH375" s="8"/>
      <c r="AI375" s="6"/>
      <c r="AJ375" s="8"/>
      <c r="AK375" s="8"/>
      <c r="AL375" s="8"/>
      <c r="AM375" s="8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</row>
    <row r="376" ht="75.0" customHeight="1">
      <c r="A376" s="6"/>
      <c r="B376" s="6"/>
      <c r="C376" s="8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</row>
    <row r="377" ht="75.0" customHeight="1">
      <c r="A377" s="6"/>
      <c r="B377" s="6"/>
      <c r="C377" s="8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8"/>
      <c r="O377" s="6"/>
      <c r="P377" s="6"/>
      <c r="Q377" s="8"/>
      <c r="R377" s="8"/>
      <c r="S377" s="6"/>
      <c r="T377" s="8"/>
      <c r="U377" s="8"/>
      <c r="V377" s="8"/>
      <c r="W377" s="8"/>
      <c r="X377" s="8"/>
      <c r="Y377" s="6"/>
      <c r="Z377" s="8"/>
      <c r="AA377" s="8"/>
      <c r="AB377" s="8"/>
      <c r="AC377" s="8"/>
      <c r="AD377" s="6"/>
      <c r="AE377" s="8"/>
      <c r="AF377" s="8"/>
      <c r="AG377" s="8"/>
      <c r="AH377" s="8"/>
      <c r="AI377" s="6"/>
      <c r="AJ377" s="8"/>
      <c r="AK377" s="8"/>
      <c r="AL377" s="8"/>
      <c r="AM377" s="8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</row>
    <row r="378" ht="75.0" customHeight="1">
      <c r="A378" s="6"/>
      <c r="B378" s="6"/>
      <c r="C378" s="8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8"/>
      <c r="R378" s="8"/>
      <c r="S378" s="6"/>
      <c r="T378" s="8"/>
      <c r="U378" s="8"/>
      <c r="V378" s="8"/>
      <c r="W378" s="8"/>
      <c r="X378" s="8"/>
      <c r="Y378" s="6"/>
      <c r="Z378" s="8"/>
      <c r="AA378" s="8"/>
      <c r="AB378" s="8"/>
      <c r="AC378" s="8"/>
      <c r="AD378" s="6"/>
      <c r="AE378" s="8"/>
      <c r="AF378" s="8"/>
      <c r="AG378" s="8"/>
      <c r="AH378" s="8"/>
      <c r="AI378" s="6"/>
      <c r="AJ378" s="8"/>
      <c r="AK378" s="8"/>
      <c r="AL378" s="8"/>
      <c r="AM378" s="8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</row>
    <row r="379" ht="75.0" customHeight="1">
      <c r="A379" s="6"/>
      <c r="B379" s="6"/>
      <c r="C379" s="8"/>
      <c r="D379" s="6"/>
      <c r="E379" s="6"/>
      <c r="F379" s="6"/>
      <c r="G379" s="6"/>
      <c r="H379" s="6"/>
      <c r="I379" s="6"/>
      <c r="J379" s="6"/>
      <c r="K379" s="6"/>
      <c r="L379" s="6"/>
      <c r="M379" s="8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8"/>
      <c r="AB379" s="6"/>
      <c r="AC379" s="6"/>
      <c r="AD379" s="6"/>
      <c r="AE379" s="8"/>
      <c r="AF379" s="8"/>
      <c r="AG379" s="8"/>
      <c r="AH379" s="8"/>
      <c r="AI379" s="6"/>
      <c r="AJ379" s="8"/>
      <c r="AK379" s="8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</row>
    <row r="380" ht="75.0" customHeight="1">
      <c r="A380" s="6"/>
      <c r="B380" s="6"/>
      <c r="C380" s="8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8"/>
      <c r="R380" s="8"/>
      <c r="S380" s="6"/>
      <c r="T380" s="6"/>
      <c r="U380" s="6"/>
      <c r="V380" s="6"/>
      <c r="W380" s="6"/>
      <c r="X380" s="6"/>
      <c r="Y380" s="6"/>
      <c r="Z380" s="6"/>
      <c r="AA380" s="8"/>
      <c r="AB380" s="8"/>
      <c r="AC380" s="8"/>
      <c r="AD380" s="6"/>
      <c r="AE380" s="8"/>
      <c r="AF380" s="8"/>
      <c r="AG380" s="8"/>
      <c r="AH380" s="8"/>
      <c r="AI380" s="6"/>
      <c r="AJ380" s="8"/>
      <c r="AK380" s="8"/>
      <c r="AL380" s="8"/>
      <c r="AM380" s="8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</row>
    <row r="381" ht="75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/>
      <c r="N381" s="6"/>
      <c r="O381" s="6"/>
      <c r="P381" s="6"/>
      <c r="Q381" s="8"/>
      <c r="R381" s="8"/>
      <c r="S381" s="6"/>
      <c r="T381" s="6"/>
      <c r="U381" s="6"/>
      <c r="V381" s="6"/>
      <c r="W381" s="6"/>
      <c r="X381" s="6"/>
      <c r="Y381" s="6"/>
      <c r="Z381" s="6"/>
      <c r="AA381" s="8"/>
      <c r="AB381" s="8"/>
      <c r="AC381" s="8"/>
      <c r="AD381" s="6"/>
      <c r="AE381" s="8"/>
      <c r="AF381" s="8"/>
      <c r="AG381" s="8"/>
      <c r="AH381" s="8"/>
      <c r="AI381" s="6"/>
      <c r="AJ381" s="8"/>
      <c r="AK381" s="8"/>
      <c r="AL381" s="8"/>
      <c r="AM381" s="8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</row>
    <row r="382" ht="75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8"/>
      <c r="U382" s="8"/>
      <c r="V382" s="8"/>
      <c r="W382" s="8"/>
      <c r="X382" s="8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</row>
    <row r="383" ht="75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8"/>
      <c r="L383" s="6"/>
      <c r="M383" s="8"/>
      <c r="N383" s="8"/>
      <c r="O383" s="6"/>
      <c r="P383" s="6"/>
      <c r="Q383" s="8"/>
      <c r="R383" s="8"/>
      <c r="S383" s="6"/>
      <c r="T383" s="8"/>
      <c r="U383" s="8"/>
      <c r="V383" s="8"/>
      <c r="W383" s="8"/>
      <c r="X383" s="6"/>
      <c r="Y383" s="6"/>
      <c r="Z383" s="8"/>
      <c r="AA383" s="8"/>
      <c r="AB383" s="8"/>
      <c r="AC383" s="8"/>
      <c r="AD383" s="6"/>
      <c r="AE383" s="8"/>
      <c r="AF383" s="8"/>
      <c r="AG383" s="8"/>
      <c r="AH383" s="8"/>
      <c r="AI383" s="6"/>
      <c r="AJ383" s="8"/>
      <c r="AK383" s="8"/>
      <c r="AL383" s="8"/>
      <c r="AM383" s="8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</row>
    <row r="384" ht="75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8"/>
      <c r="R384" s="8"/>
      <c r="S384" s="6"/>
      <c r="T384" s="6"/>
      <c r="U384" s="6"/>
      <c r="V384" s="6"/>
      <c r="W384" s="6"/>
      <c r="X384" s="6"/>
      <c r="Y384" s="6"/>
      <c r="Z384" s="6"/>
      <c r="AA384" s="8"/>
      <c r="AB384" s="8"/>
      <c r="AC384" s="8"/>
      <c r="AD384" s="6"/>
      <c r="AE384" s="8"/>
      <c r="AF384" s="8"/>
      <c r="AG384" s="8"/>
      <c r="AH384" s="8"/>
      <c r="AI384" s="6"/>
      <c r="AJ384" s="8"/>
      <c r="AK384" s="8"/>
      <c r="AL384" s="8"/>
      <c r="AM384" s="8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</row>
    <row r="385" ht="75.0" customHeight="1">
      <c r="A385" s="6"/>
      <c r="B385" s="6"/>
      <c r="C385" s="8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</row>
    <row r="386" ht="75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8"/>
      <c r="AB386" s="6"/>
      <c r="AC386" s="6"/>
      <c r="AD386" s="6"/>
      <c r="AE386" s="8"/>
      <c r="AF386" s="8"/>
      <c r="AG386" s="6"/>
      <c r="AH386" s="6"/>
      <c r="AI386" s="6"/>
      <c r="AJ386" s="8"/>
      <c r="AK386" s="8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</row>
    <row r="387" ht="75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8"/>
      <c r="U387" s="8"/>
      <c r="V387" s="8"/>
      <c r="W387" s="8"/>
      <c r="X387" s="8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</row>
    <row r="388" ht="75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8"/>
      <c r="AB388" s="6"/>
      <c r="AC388" s="6"/>
      <c r="AD388" s="6"/>
      <c r="AE388" s="8"/>
      <c r="AF388" s="8"/>
      <c r="AG388" s="6"/>
      <c r="AH388" s="6"/>
      <c r="AI388" s="6"/>
      <c r="AJ388" s="8"/>
      <c r="AK388" s="8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</row>
    <row r="389" ht="75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</row>
    <row r="390" ht="75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/>
      <c r="N390" s="6"/>
      <c r="O390" s="6"/>
      <c r="P390" s="6"/>
      <c r="Q390" s="8"/>
      <c r="R390" s="8"/>
      <c r="S390" s="6"/>
      <c r="T390" s="8"/>
      <c r="U390" s="8"/>
      <c r="V390" s="8"/>
      <c r="W390" s="8"/>
      <c r="X390" s="8"/>
      <c r="Y390" s="6"/>
      <c r="Z390" s="6"/>
      <c r="AA390" s="8"/>
      <c r="AB390" s="8"/>
      <c r="AC390" s="8"/>
      <c r="AD390" s="6"/>
      <c r="AE390" s="8"/>
      <c r="AF390" s="8"/>
      <c r="AG390" s="8"/>
      <c r="AH390" s="8"/>
      <c r="AI390" s="6"/>
      <c r="AJ390" s="8"/>
      <c r="AK390" s="8"/>
      <c r="AL390" s="8"/>
      <c r="AM390" s="8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</row>
    <row r="391" ht="75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/>
      <c r="N391" s="6"/>
      <c r="O391" s="6"/>
      <c r="P391" s="6"/>
      <c r="Q391" s="8"/>
      <c r="R391" s="8"/>
      <c r="S391" s="6"/>
      <c r="T391" s="6"/>
      <c r="U391" s="6"/>
      <c r="V391" s="6"/>
      <c r="W391" s="6"/>
      <c r="X391" s="6"/>
      <c r="Y391" s="6"/>
      <c r="Z391" s="6"/>
      <c r="AA391" s="8"/>
      <c r="AB391" s="8"/>
      <c r="AC391" s="8"/>
      <c r="AD391" s="6"/>
      <c r="AE391" s="8"/>
      <c r="AF391" s="8"/>
      <c r="AG391" s="8"/>
      <c r="AH391" s="8"/>
      <c r="AI391" s="6"/>
      <c r="AJ391" s="8"/>
      <c r="AK391" s="8"/>
      <c r="AL391" s="8"/>
      <c r="AM391" s="8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</row>
    <row r="392" ht="75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</row>
    <row r="393" ht="75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8"/>
      <c r="AB393" s="8"/>
      <c r="AC393" s="8"/>
      <c r="AD393" s="6"/>
      <c r="AE393" s="8"/>
      <c r="AF393" s="8"/>
      <c r="AG393" s="8"/>
      <c r="AH393" s="8"/>
      <c r="AI393" s="6"/>
      <c r="AJ393" s="8"/>
      <c r="AK393" s="8"/>
      <c r="AL393" s="8"/>
      <c r="AM393" s="8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</row>
    <row r="394" ht="75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/>
      <c r="N394" s="6"/>
      <c r="O394" s="6"/>
      <c r="P394" s="6"/>
      <c r="Q394" s="8"/>
      <c r="R394" s="8"/>
      <c r="S394" s="6"/>
      <c r="T394" s="6"/>
      <c r="U394" s="6"/>
      <c r="V394" s="6"/>
      <c r="W394" s="6"/>
      <c r="X394" s="6"/>
      <c r="Y394" s="6"/>
      <c r="Z394" s="8"/>
      <c r="AA394" s="8"/>
      <c r="AB394" s="8"/>
      <c r="AC394" s="8"/>
      <c r="AD394" s="6"/>
      <c r="AE394" s="8"/>
      <c r="AF394" s="8"/>
      <c r="AG394" s="8"/>
      <c r="AH394" s="8"/>
      <c r="AI394" s="6"/>
      <c r="AJ394" s="8"/>
      <c r="AK394" s="8"/>
      <c r="AL394" s="8"/>
      <c r="AM394" s="8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</row>
    <row r="395" ht="30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</row>
    <row r="396" ht="30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</row>
    <row r="397" ht="30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</row>
    <row r="398" ht="30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</row>
    <row r="399" ht="30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</row>
    <row r="400" ht="30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</row>
    <row r="401" ht="30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</row>
    <row r="402" ht="30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</row>
    <row r="403" ht="30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</row>
    <row r="404" ht="30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</row>
    <row r="405" ht="30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</row>
    <row r="406" ht="30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</row>
    <row r="407" ht="30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</row>
    <row r="408" ht="30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</row>
    <row r="409" ht="30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</row>
    <row r="410" ht="30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</row>
    <row r="411" ht="30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</row>
    <row r="412" ht="30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</row>
    <row r="413" ht="30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</row>
    <row r="414" ht="30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</row>
    <row r="415" ht="30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</row>
    <row r="416" ht="30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</row>
    <row r="417" ht="30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</row>
    <row r="418" ht="30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</row>
    <row r="419" ht="30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</row>
    <row r="420" ht="30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</row>
    <row r="421" ht="30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</row>
    <row r="422" ht="30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</row>
    <row r="423" ht="30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</row>
    <row r="949">
      <c r="A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Z949" s="60"/>
      <c r="AA949" s="60"/>
      <c r="AB949" s="60"/>
      <c r="AC949" s="60"/>
      <c r="AJ949" s="60"/>
      <c r="AK949" s="60"/>
      <c r="AL949" s="60"/>
      <c r="AM949" s="60"/>
    </row>
    <row r="950">
      <c r="A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Z950" s="60"/>
      <c r="AA950" s="60"/>
      <c r="AB950" s="60"/>
      <c r="AC950" s="60"/>
      <c r="AJ950" s="60"/>
      <c r="AK950" s="60"/>
      <c r="AL950" s="60"/>
      <c r="AM950" s="60"/>
    </row>
    <row r="951">
      <c r="A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Z951" s="60"/>
      <c r="AA951" s="60"/>
      <c r="AB951" s="60"/>
      <c r="AC951" s="60"/>
      <c r="AJ951" s="60"/>
      <c r="AK951" s="60"/>
      <c r="AL951" s="60"/>
      <c r="AM951" s="60"/>
    </row>
    <row r="952">
      <c r="A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Z952" s="60"/>
      <c r="AA952" s="60"/>
      <c r="AB952" s="60"/>
      <c r="AC952" s="60"/>
      <c r="AJ952" s="60"/>
      <c r="AK952" s="60"/>
      <c r="AL952" s="60"/>
      <c r="AM952" s="60"/>
    </row>
    <row r="953">
      <c r="A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Z953" s="60"/>
      <c r="AA953" s="60"/>
      <c r="AB953" s="60"/>
      <c r="AC953" s="60"/>
      <c r="AJ953" s="60"/>
      <c r="AK953" s="60"/>
      <c r="AL953" s="60"/>
      <c r="AM953" s="60"/>
    </row>
    <row r="954">
      <c r="A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Z954" s="60"/>
      <c r="AA954" s="60"/>
      <c r="AB954" s="60"/>
      <c r="AC954" s="60"/>
      <c r="AJ954" s="60"/>
      <c r="AK954" s="60"/>
      <c r="AL954" s="60"/>
      <c r="AM954" s="60"/>
    </row>
    <row r="955">
      <c r="A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Z955" s="60"/>
      <c r="AA955" s="60"/>
      <c r="AB955" s="60"/>
      <c r="AC955" s="60"/>
      <c r="AJ955" s="60"/>
      <c r="AK955" s="60"/>
      <c r="AL955" s="60"/>
      <c r="AM955" s="60"/>
    </row>
    <row r="956">
      <c r="A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Z956" s="60"/>
      <c r="AA956" s="60"/>
      <c r="AB956" s="60"/>
      <c r="AC956" s="60"/>
      <c r="AJ956" s="60"/>
      <c r="AK956" s="60"/>
      <c r="AL956" s="60"/>
      <c r="AM956" s="60"/>
    </row>
    <row r="957">
      <c r="A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Z957" s="60"/>
      <c r="AA957" s="60"/>
      <c r="AB957" s="60"/>
      <c r="AC957" s="60"/>
      <c r="AJ957" s="60"/>
      <c r="AK957" s="60"/>
      <c r="AL957" s="60"/>
      <c r="AM957" s="60"/>
    </row>
    <row r="958">
      <c r="A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Z958" s="60"/>
      <c r="AA958" s="60"/>
      <c r="AB958" s="60"/>
      <c r="AC958" s="60"/>
      <c r="AJ958" s="60"/>
      <c r="AK958" s="60"/>
      <c r="AL958" s="60"/>
      <c r="AM958" s="60"/>
    </row>
    <row r="959">
      <c r="A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Z959" s="60"/>
      <c r="AA959" s="60"/>
      <c r="AB959" s="60"/>
      <c r="AC959" s="60"/>
      <c r="AJ959" s="60"/>
      <c r="AK959" s="60"/>
      <c r="AL959" s="60"/>
      <c r="AM959" s="60"/>
    </row>
    <row r="960">
      <c r="A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Z960" s="60"/>
      <c r="AA960" s="60"/>
      <c r="AB960" s="60"/>
      <c r="AC960" s="60"/>
      <c r="AJ960" s="60"/>
      <c r="AK960" s="60"/>
      <c r="AL960" s="60"/>
      <c r="AM960" s="60"/>
    </row>
    <row r="961">
      <c r="A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Z961" s="60"/>
      <c r="AA961" s="60"/>
      <c r="AB961" s="60"/>
      <c r="AC961" s="60"/>
      <c r="AJ961" s="60"/>
      <c r="AK961" s="60"/>
      <c r="AL961" s="60"/>
      <c r="AM961" s="60"/>
    </row>
    <row r="962">
      <c r="A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Z962" s="60"/>
      <c r="AA962" s="60"/>
      <c r="AB962" s="60"/>
      <c r="AC962" s="60"/>
      <c r="AJ962" s="60"/>
      <c r="AK962" s="60"/>
      <c r="AL962" s="60"/>
      <c r="AM962" s="60"/>
    </row>
    <row r="963">
      <c r="A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Z963" s="60"/>
      <c r="AA963" s="60"/>
      <c r="AB963" s="60"/>
      <c r="AC963" s="60"/>
      <c r="AJ963" s="60"/>
      <c r="AK963" s="60"/>
      <c r="AL963" s="60"/>
      <c r="AM963" s="60"/>
    </row>
    <row r="964">
      <c r="A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Z964" s="60"/>
      <c r="AA964" s="60"/>
      <c r="AB964" s="60"/>
      <c r="AC964" s="60"/>
      <c r="AJ964" s="60"/>
      <c r="AK964" s="60"/>
      <c r="AL964" s="60"/>
      <c r="AM964" s="60"/>
    </row>
    <row r="965">
      <c r="A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Z965" s="60"/>
      <c r="AA965" s="60"/>
      <c r="AB965" s="60"/>
      <c r="AC965" s="60"/>
      <c r="AJ965" s="60"/>
      <c r="AK965" s="60"/>
      <c r="AL965" s="60"/>
      <c r="AM965" s="60"/>
    </row>
    <row r="966">
      <c r="A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Z966" s="60"/>
      <c r="AA966" s="60"/>
      <c r="AB966" s="60"/>
      <c r="AC966" s="60"/>
      <c r="AJ966" s="60"/>
      <c r="AK966" s="60"/>
      <c r="AL966" s="60"/>
      <c r="AM966" s="60"/>
    </row>
    <row r="967">
      <c r="A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Z967" s="60"/>
      <c r="AA967" s="60"/>
      <c r="AB967" s="60"/>
      <c r="AC967" s="60"/>
      <c r="AJ967" s="60"/>
      <c r="AK967" s="60"/>
      <c r="AL967" s="60"/>
      <c r="AM967" s="60"/>
    </row>
    <row r="968">
      <c r="A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Z968" s="60"/>
      <c r="AA968" s="60"/>
      <c r="AB968" s="60"/>
      <c r="AC968" s="60"/>
      <c r="AJ968" s="60"/>
      <c r="AK968" s="60"/>
      <c r="AL968" s="60"/>
      <c r="AM968" s="60"/>
    </row>
    <row r="969">
      <c r="A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Z969" s="60"/>
      <c r="AA969" s="60"/>
      <c r="AB969" s="60"/>
      <c r="AC969" s="60"/>
      <c r="AJ969" s="60"/>
      <c r="AK969" s="60"/>
      <c r="AL969" s="60"/>
      <c r="AM969" s="60"/>
    </row>
    <row r="970">
      <c r="A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Z970" s="60"/>
      <c r="AA970" s="60"/>
      <c r="AB970" s="60"/>
      <c r="AC970" s="60"/>
      <c r="AJ970" s="60"/>
      <c r="AK970" s="60"/>
      <c r="AL970" s="60"/>
      <c r="AM970" s="60"/>
    </row>
    <row r="971">
      <c r="A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Z971" s="60"/>
      <c r="AA971" s="60"/>
      <c r="AB971" s="60"/>
      <c r="AC971" s="60"/>
      <c r="AJ971" s="60"/>
      <c r="AK971" s="60"/>
      <c r="AL971" s="60"/>
      <c r="AM971" s="60"/>
    </row>
    <row r="972">
      <c r="A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Z972" s="60"/>
      <c r="AA972" s="60"/>
      <c r="AB972" s="60"/>
      <c r="AC972" s="60"/>
      <c r="AJ972" s="60"/>
      <c r="AK972" s="60"/>
      <c r="AL972" s="60"/>
      <c r="AM972" s="60"/>
    </row>
    <row r="973">
      <c r="A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Z973" s="60"/>
      <c r="AA973" s="60"/>
      <c r="AB973" s="60"/>
      <c r="AC973" s="60"/>
      <c r="AJ973" s="60"/>
      <c r="AK973" s="60"/>
      <c r="AL973" s="60"/>
      <c r="AM973" s="60"/>
    </row>
    <row r="974">
      <c r="A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Z974" s="60"/>
      <c r="AA974" s="60"/>
      <c r="AB974" s="60"/>
      <c r="AC974" s="60"/>
      <c r="AJ974" s="60"/>
      <c r="AK974" s="60"/>
      <c r="AL974" s="60"/>
      <c r="AM974" s="60"/>
    </row>
    <row r="975">
      <c r="A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Z975" s="60"/>
      <c r="AA975" s="60"/>
      <c r="AB975" s="60"/>
      <c r="AC975" s="60"/>
      <c r="AJ975" s="60"/>
      <c r="AK975" s="60"/>
      <c r="AL975" s="60"/>
      <c r="AM975" s="60"/>
    </row>
    <row r="976">
      <c r="A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Z976" s="60"/>
      <c r="AA976" s="60"/>
      <c r="AB976" s="60"/>
      <c r="AC976" s="60"/>
      <c r="AJ976" s="60"/>
      <c r="AK976" s="60"/>
      <c r="AL976" s="60"/>
      <c r="AM976" s="60"/>
    </row>
    <row r="977">
      <c r="A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Z977" s="60"/>
      <c r="AA977" s="60"/>
      <c r="AB977" s="60"/>
      <c r="AC977" s="60"/>
      <c r="AJ977" s="60"/>
      <c r="AK977" s="60"/>
      <c r="AL977" s="60"/>
      <c r="AM977" s="60"/>
    </row>
    <row r="978">
      <c r="A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Z978" s="60"/>
      <c r="AA978" s="60"/>
      <c r="AB978" s="60"/>
      <c r="AC978" s="60"/>
      <c r="AJ978" s="60"/>
      <c r="AK978" s="60"/>
      <c r="AL978" s="60"/>
      <c r="AM978" s="60"/>
    </row>
    <row r="979">
      <c r="A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Z979" s="60"/>
      <c r="AA979" s="60"/>
      <c r="AB979" s="60"/>
      <c r="AC979" s="60"/>
      <c r="AJ979" s="60"/>
      <c r="AK979" s="60"/>
      <c r="AL979" s="60"/>
      <c r="AM979" s="60"/>
    </row>
    <row r="980">
      <c r="A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Z980" s="60"/>
      <c r="AA980" s="60"/>
      <c r="AB980" s="60"/>
      <c r="AC980" s="60"/>
      <c r="AJ980" s="60"/>
      <c r="AK980" s="60"/>
      <c r="AL980" s="60"/>
      <c r="AM980" s="60"/>
    </row>
    <row r="981">
      <c r="A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Z981" s="60"/>
      <c r="AA981" s="60"/>
      <c r="AB981" s="60"/>
      <c r="AC981" s="60"/>
      <c r="AJ981" s="60"/>
      <c r="AK981" s="60"/>
      <c r="AL981" s="60"/>
      <c r="AM981" s="60"/>
    </row>
    <row r="982">
      <c r="A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Z982" s="60"/>
      <c r="AA982" s="60"/>
      <c r="AB982" s="60"/>
      <c r="AC982" s="60"/>
      <c r="AJ982" s="60"/>
      <c r="AK982" s="60"/>
      <c r="AL982" s="60"/>
      <c r="AM982" s="60"/>
    </row>
    <row r="983">
      <c r="A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Z983" s="60"/>
      <c r="AA983" s="60"/>
      <c r="AB983" s="60"/>
      <c r="AC983" s="60"/>
      <c r="AJ983" s="60"/>
      <c r="AK983" s="60"/>
      <c r="AL983" s="60"/>
      <c r="AM983" s="60"/>
    </row>
    <row r="984">
      <c r="A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Z984" s="60"/>
      <c r="AA984" s="60"/>
      <c r="AB984" s="60"/>
      <c r="AC984" s="60"/>
      <c r="AJ984" s="60"/>
      <c r="AK984" s="60"/>
      <c r="AL984" s="60"/>
      <c r="AM984" s="60"/>
    </row>
    <row r="985">
      <c r="A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Z985" s="60"/>
      <c r="AA985" s="60"/>
      <c r="AB985" s="60"/>
      <c r="AC985" s="60"/>
      <c r="AJ985" s="60"/>
      <c r="AK985" s="60"/>
      <c r="AL985" s="60"/>
      <c r="AM985" s="60"/>
    </row>
    <row r="986">
      <c r="A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Z986" s="60"/>
      <c r="AA986" s="60"/>
      <c r="AB986" s="60"/>
      <c r="AC986" s="60"/>
      <c r="AJ986" s="60"/>
      <c r="AK986" s="60"/>
      <c r="AL986" s="60"/>
      <c r="AM986" s="60"/>
    </row>
    <row r="987">
      <c r="A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Z987" s="60"/>
      <c r="AA987" s="60"/>
      <c r="AB987" s="60"/>
      <c r="AC987" s="60"/>
      <c r="AJ987" s="60"/>
      <c r="AK987" s="60"/>
      <c r="AL987" s="60"/>
      <c r="AM987" s="60"/>
    </row>
    <row r="988">
      <c r="A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Z988" s="60"/>
      <c r="AA988" s="60"/>
      <c r="AB988" s="60"/>
      <c r="AC988" s="60"/>
      <c r="AJ988" s="60"/>
      <c r="AK988" s="60"/>
      <c r="AL988" s="60"/>
      <c r="AM988" s="60"/>
    </row>
    <row r="989">
      <c r="A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Z989" s="60"/>
      <c r="AA989" s="60"/>
      <c r="AB989" s="60"/>
      <c r="AC989" s="60"/>
      <c r="AJ989" s="60"/>
      <c r="AK989" s="60"/>
      <c r="AL989" s="60"/>
      <c r="AM989" s="60"/>
    </row>
    <row r="990">
      <c r="A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Z990" s="60"/>
      <c r="AA990" s="60"/>
      <c r="AB990" s="60"/>
      <c r="AC990" s="60"/>
      <c r="AJ990" s="60"/>
      <c r="AK990" s="60"/>
      <c r="AL990" s="60"/>
      <c r="AM990" s="60"/>
    </row>
    <row r="991">
      <c r="A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Z991" s="60"/>
      <c r="AA991" s="60"/>
      <c r="AB991" s="60"/>
      <c r="AC991" s="60"/>
      <c r="AJ991" s="60"/>
      <c r="AK991" s="60"/>
      <c r="AL991" s="60"/>
      <c r="AM991" s="60"/>
    </row>
    <row r="992">
      <c r="A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Z992" s="60"/>
      <c r="AA992" s="60"/>
      <c r="AB992" s="60"/>
      <c r="AC992" s="60"/>
      <c r="AJ992" s="60"/>
      <c r="AK992" s="60"/>
      <c r="AL992" s="60"/>
      <c r="AM992" s="60"/>
    </row>
    <row r="993">
      <c r="A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Z993" s="60"/>
      <c r="AA993" s="60"/>
      <c r="AB993" s="60"/>
      <c r="AC993" s="60"/>
      <c r="AJ993" s="60"/>
      <c r="AK993" s="60"/>
      <c r="AL993" s="60"/>
      <c r="AM993" s="60"/>
    </row>
    <row r="994">
      <c r="A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Z994" s="60"/>
      <c r="AA994" s="60"/>
      <c r="AB994" s="60"/>
      <c r="AC994" s="60"/>
      <c r="AJ994" s="60"/>
      <c r="AK994" s="60"/>
      <c r="AL994" s="60"/>
      <c r="AM994" s="60"/>
    </row>
    <row r="995">
      <c r="A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Z995" s="60"/>
      <c r="AA995" s="60"/>
      <c r="AB995" s="60"/>
      <c r="AC995" s="60"/>
      <c r="AJ995" s="60"/>
      <c r="AK995" s="60"/>
      <c r="AL995" s="60"/>
      <c r="AM995" s="60"/>
    </row>
    <row r="996">
      <c r="A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Z996" s="60"/>
      <c r="AA996" s="60"/>
      <c r="AB996" s="60"/>
      <c r="AC996" s="60"/>
      <c r="AJ996" s="60"/>
      <c r="AK996" s="60"/>
      <c r="AL996" s="60"/>
      <c r="AM996" s="60"/>
    </row>
    <row r="997">
      <c r="A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Z997" s="60"/>
      <c r="AA997" s="60"/>
      <c r="AB997" s="60"/>
      <c r="AC997" s="60"/>
      <c r="AJ997" s="60"/>
      <c r="AK997" s="60"/>
      <c r="AL997" s="60"/>
      <c r="AM997" s="60"/>
    </row>
    <row r="998">
      <c r="A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Z998" s="60"/>
      <c r="AA998" s="60"/>
      <c r="AB998" s="60"/>
      <c r="AC998" s="60"/>
      <c r="AJ998" s="60"/>
      <c r="AK998" s="60"/>
      <c r="AL998" s="60"/>
      <c r="AM998" s="60"/>
    </row>
    <row r="999">
      <c r="A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Z999" s="60"/>
      <c r="AA999" s="60"/>
      <c r="AB999" s="60"/>
      <c r="AC999" s="60"/>
      <c r="AJ999" s="60"/>
      <c r="AK999" s="60"/>
      <c r="AL999" s="60"/>
      <c r="AM999" s="60"/>
    </row>
    <row r="1000">
      <c r="A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Z1000" s="60"/>
      <c r="AA1000" s="60"/>
      <c r="AB1000" s="60"/>
      <c r="AC1000" s="60"/>
      <c r="AJ1000" s="60"/>
      <c r="AK1000" s="60"/>
      <c r="AL1000" s="60"/>
      <c r="AM1000" s="60"/>
    </row>
    <row r="1001">
      <c r="A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Z1001" s="60"/>
      <c r="AA1001" s="60"/>
      <c r="AB1001" s="60"/>
      <c r="AC1001" s="60"/>
      <c r="AJ1001" s="60"/>
      <c r="AK1001" s="60"/>
      <c r="AL1001" s="60"/>
      <c r="AM1001" s="60"/>
    </row>
    <row r="1002">
      <c r="A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Z1002" s="60"/>
      <c r="AA1002" s="60"/>
      <c r="AB1002" s="60"/>
      <c r="AC1002" s="60"/>
      <c r="AJ1002" s="60"/>
      <c r="AK1002" s="60"/>
      <c r="AL1002" s="60"/>
      <c r="AM1002" s="60"/>
    </row>
    <row r="1003">
      <c r="A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Z1003" s="60"/>
      <c r="AA1003" s="60"/>
      <c r="AB1003" s="60"/>
      <c r="AC1003" s="60"/>
      <c r="AJ1003" s="60"/>
      <c r="AK1003" s="60"/>
      <c r="AL1003" s="60"/>
      <c r="AM1003" s="60"/>
    </row>
    <row r="1004">
      <c r="A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Z1004" s="60"/>
      <c r="AA1004" s="60"/>
      <c r="AB1004" s="60"/>
      <c r="AC1004" s="60"/>
      <c r="AJ1004" s="60"/>
      <c r="AK1004" s="60"/>
      <c r="AL1004" s="60"/>
      <c r="AM1004" s="60"/>
    </row>
    <row r="1005">
      <c r="A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Z1005" s="60"/>
      <c r="AA1005" s="60"/>
      <c r="AB1005" s="60"/>
      <c r="AC1005" s="60"/>
      <c r="AJ1005" s="60"/>
      <c r="AK1005" s="60"/>
      <c r="AL1005" s="60"/>
      <c r="AM1005" s="60"/>
    </row>
    <row r="1006">
      <c r="A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Z1006" s="60"/>
      <c r="AA1006" s="60"/>
      <c r="AB1006" s="60"/>
      <c r="AC1006" s="60"/>
      <c r="AJ1006" s="60"/>
      <c r="AK1006" s="60"/>
      <c r="AL1006" s="60"/>
      <c r="AM1006" s="60"/>
    </row>
    <row r="1007">
      <c r="A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Z1007" s="60"/>
      <c r="AA1007" s="60"/>
      <c r="AB1007" s="60"/>
      <c r="AC1007" s="60"/>
      <c r="AJ1007" s="60"/>
      <c r="AK1007" s="60"/>
      <c r="AL1007" s="60"/>
      <c r="AM1007" s="60"/>
    </row>
    <row r="1008">
      <c r="A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Z1008" s="60"/>
      <c r="AA1008" s="60"/>
      <c r="AB1008" s="60"/>
      <c r="AC1008" s="60"/>
      <c r="AJ1008" s="60"/>
      <c r="AK1008" s="60"/>
      <c r="AL1008" s="60"/>
      <c r="AM1008" s="60"/>
    </row>
    <row r="1009">
      <c r="A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Z1009" s="60"/>
      <c r="AA1009" s="60"/>
      <c r="AB1009" s="60"/>
      <c r="AC1009" s="60"/>
      <c r="AJ1009" s="60"/>
      <c r="AK1009" s="60"/>
      <c r="AL1009" s="60"/>
      <c r="AM1009" s="60"/>
    </row>
    <row r="1010">
      <c r="A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Z1010" s="60"/>
      <c r="AA1010" s="60"/>
      <c r="AB1010" s="60"/>
      <c r="AC1010" s="60"/>
      <c r="AJ1010" s="60"/>
      <c r="AK1010" s="60"/>
      <c r="AL1010" s="60"/>
      <c r="AM1010" s="60"/>
    </row>
    <row r="1011">
      <c r="A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Z1011" s="60"/>
      <c r="AA1011" s="60"/>
      <c r="AB1011" s="60"/>
      <c r="AC1011" s="60"/>
      <c r="AJ1011" s="60"/>
      <c r="AK1011" s="60"/>
      <c r="AL1011" s="60"/>
      <c r="AM1011" s="60"/>
    </row>
    <row r="1012">
      <c r="A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Z1012" s="60"/>
      <c r="AA1012" s="60"/>
      <c r="AB1012" s="60"/>
      <c r="AC1012" s="60"/>
      <c r="AJ1012" s="60"/>
      <c r="AK1012" s="60"/>
      <c r="AL1012" s="60"/>
      <c r="AM1012" s="60"/>
    </row>
    <row r="1013">
      <c r="A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Z1013" s="60"/>
      <c r="AA1013" s="60"/>
      <c r="AB1013" s="60"/>
      <c r="AC1013" s="60"/>
      <c r="AJ1013" s="60"/>
      <c r="AK1013" s="60"/>
      <c r="AL1013" s="60"/>
      <c r="AM1013" s="60"/>
    </row>
    <row r="1014">
      <c r="A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Z1014" s="60"/>
      <c r="AA1014" s="60"/>
      <c r="AB1014" s="60"/>
      <c r="AC1014" s="60"/>
      <c r="AJ1014" s="60"/>
      <c r="AK1014" s="60"/>
      <c r="AL1014" s="60"/>
      <c r="AM1014" s="60"/>
    </row>
    <row r="1015">
      <c r="A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Z1015" s="60"/>
      <c r="AA1015" s="60"/>
      <c r="AB1015" s="60"/>
      <c r="AC1015" s="60"/>
      <c r="AJ1015" s="60"/>
      <c r="AK1015" s="60"/>
      <c r="AL1015" s="60"/>
      <c r="AM1015" s="60"/>
    </row>
    <row r="1016">
      <c r="A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Z1016" s="60"/>
      <c r="AA1016" s="60"/>
      <c r="AB1016" s="60"/>
      <c r="AC1016" s="60"/>
      <c r="AJ1016" s="60"/>
      <c r="AK1016" s="60"/>
      <c r="AL1016" s="60"/>
      <c r="AM1016" s="60"/>
    </row>
    <row r="1017">
      <c r="A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Z1017" s="60"/>
      <c r="AA1017" s="60"/>
      <c r="AB1017" s="60"/>
      <c r="AC1017" s="60"/>
      <c r="AJ1017" s="60"/>
      <c r="AK1017" s="60"/>
      <c r="AL1017" s="60"/>
      <c r="AM1017" s="60"/>
    </row>
    <row r="1018">
      <c r="A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Z1018" s="60"/>
      <c r="AA1018" s="60"/>
      <c r="AB1018" s="60"/>
      <c r="AC1018" s="60"/>
      <c r="AJ1018" s="60"/>
      <c r="AK1018" s="60"/>
      <c r="AL1018" s="60"/>
      <c r="AM1018" s="60"/>
    </row>
    <row r="1019">
      <c r="A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Z1019" s="60"/>
      <c r="AA1019" s="60"/>
      <c r="AB1019" s="60"/>
      <c r="AC1019" s="60"/>
      <c r="AJ1019" s="60"/>
      <c r="AK1019" s="60"/>
      <c r="AL1019" s="60"/>
      <c r="AM1019" s="60"/>
    </row>
    <row r="1020">
      <c r="A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Z1020" s="60"/>
      <c r="AA1020" s="60"/>
      <c r="AB1020" s="60"/>
      <c r="AC1020" s="60"/>
      <c r="AJ1020" s="60"/>
      <c r="AK1020" s="60"/>
      <c r="AL1020" s="60"/>
      <c r="AM1020" s="60"/>
    </row>
    <row r="1021">
      <c r="A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Z1021" s="60"/>
      <c r="AA1021" s="60"/>
      <c r="AB1021" s="60"/>
      <c r="AC1021" s="60"/>
      <c r="AJ1021" s="60"/>
      <c r="AK1021" s="60"/>
      <c r="AL1021" s="60"/>
      <c r="AM1021" s="60"/>
    </row>
    <row r="1022">
      <c r="A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Z1022" s="60"/>
      <c r="AA1022" s="60"/>
      <c r="AB1022" s="60"/>
      <c r="AC1022" s="60"/>
      <c r="AJ1022" s="60"/>
      <c r="AK1022" s="60"/>
      <c r="AL1022" s="60"/>
      <c r="AM1022" s="60"/>
    </row>
    <row r="1023">
      <c r="A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Z1023" s="60"/>
      <c r="AA1023" s="60"/>
      <c r="AB1023" s="60"/>
      <c r="AC1023" s="60"/>
      <c r="AJ1023" s="60"/>
      <c r="AK1023" s="60"/>
      <c r="AL1023" s="60"/>
      <c r="AM1023" s="60"/>
    </row>
    <row r="1024">
      <c r="A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Z1024" s="60"/>
      <c r="AA1024" s="60"/>
      <c r="AB1024" s="60"/>
      <c r="AC1024" s="60"/>
      <c r="AJ1024" s="60"/>
      <c r="AK1024" s="60"/>
      <c r="AL1024" s="60"/>
      <c r="AM1024" s="60"/>
    </row>
    <row r="1025">
      <c r="A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Z1025" s="60"/>
      <c r="AA1025" s="60"/>
      <c r="AB1025" s="60"/>
      <c r="AC1025" s="60"/>
      <c r="AJ1025" s="60"/>
      <c r="AK1025" s="60"/>
      <c r="AL1025" s="60"/>
      <c r="AM1025" s="60"/>
    </row>
    <row r="1026">
      <c r="A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Z1026" s="60"/>
      <c r="AA1026" s="60"/>
      <c r="AB1026" s="60"/>
      <c r="AC1026" s="60"/>
      <c r="AJ1026" s="60"/>
      <c r="AK1026" s="60"/>
      <c r="AL1026" s="60"/>
      <c r="AM1026" s="60"/>
    </row>
    <row r="1027">
      <c r="A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Z1027" s="60"/>
      <c r="AA1027" s="60"/>
      <c r="AB1027" s="60"/>
      <c r="AC1027" s="60"/>
      <c r="AJ1027" s="60"/>
      <c r="AK1027" s="60"/>
      <c r="AL1027" s="60"/>
      <c r="AM1027" s="60"/>
    </row>
    <row r="1028">
      <c r="A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Z1028" s="60"/>
      <c r="AA1028" s="60"/>
      <c r="AB1028" s="60"/>
      <c r="AC1028" s="60"/>
      <c r="AJ1028" s="60"/>
      <c r="AK1028" s="60"/>
      <c r="AL1028" s="60"/>
      <c r="AM1028" s="60"/>
    </row>
    <row r="1029">
      <c r="A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Z1029" s="60"/>
      <c r="AA1029" s="60"/>
      <c r="AB1029" s="60"/>
      <c r="AC1029" s="60"/>
      <c r="AJ1029" s="60"/>
      <c r="AK1029" s="60"/>
      <c r="AL1029" s="60"/>
      <c r="AM1029" s="60"/>
    </row>
    <row r="1030">
      <c r="A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Z1030" s="60"/>
      <c r="AA1030" s="60"/>
      <c r="AB1030" s="60"/>
      <c r="AC1030" s="60"/>
      <c r="AJ1030" s="60"/>
      <c r="AK1030" s="60"/>
      <c r="AL1030" s="60"/>
      <c r="AM1030" s="60"/>
    </row>
    <row r="1031">
      <c r="A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Z1031" s="60"/>
      <c r="AA1031" s="60"/>
      <c r="AB1031" s="60"/>
      <c r="AC1031" s="60"/>
      <c r="AJ1031" s="60"/>
      <c r="AK1031" s="60"/>
      <c r="AL1031" s="60"/>
      <c r="AM1031" s="60"/>
    </row>
    <row r="1032">
      <c r="A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Z1032" s="60"/>
      <c r="AA1032" s="60"/>
      <c r="AB1032" s="60"/>
      <c r="AC1032" s="60"/>
      <c r="AJ1032" s="60"/>
      <c r="AK1032" s="60"/>
      <c r="AL1032" s="60"/>
      <c r="AM1032" s="60"/>
    </row>
    <row r="1033">
      <c r="A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Z1033" s="60"/>
      <c r="AA1033" s="60"/>
      <c r="AB1033" s="60"/>
      <c r="AC1033" s="60"/>
      <c r="AJ1033" s="60"/>
      <c r="AK1033" s="60"/>
      <c r="AL1033" s="60"/>
      <c r="AM1033" s="60"/>
    </row>
    <row r="1034">
      <c r="A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Z1034" s="60"/>
      <c r="AA1034" s="60"/>
      <c r="AB1034" s="60"/>
      <c r="AC1034" s="60"/>
      <c r="AJ1034" s="60"/>
      <c r="AK1034" s="60"/>
      <c r="AL1034" s="60"/>
      <c r="AM1034" s="60"/>
    </row>
    <row r="1035">
      <c r="A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Z1035" s="60"/>
      <c r="AA1035" s="60"/>
      <c r="AB1035" s="60"/>
      <c r="AC1035" s="60"/>
      <c r="AJ1035" s="60"/>
      <c r="AK1035" s="60"/>
      <c r="AL1035" s="60"/>
      <c r="AM1035" s="60"/>
    </row>
    <row r="1036">
      <c r="A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Z1036" s="60"/>
      <c r="AA1036" s="60"/>
      <c r="AB1036" s="60"/>
      <c r="AC1036" s="60"/>
      <c r="AJ1036" s="60"/>
      <c r="AK1036" s="60"/>
      <c r="AL1036" s="60"/>
      <c r="AM1036" s="60"/>
    </row>
    <row r="1037">
      <c r="A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Z1037" s="60"/>
      <c r="AA1037" s="60"/>
      <c r="AB1037" s="60"/>
      <c r="AC1037" s="60"/>
      <c r="AJ1037" s="60"/>
      <c r="AK1037" s="60"/>
      <c r="AL1037" s="60"/>
      <c r="AM1037" s="60"/>
    </row>
    <row r="1038">
      <c r="A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Z1038" s="60"/>
      <c r="AA1038" s="60"/>
      <c r="AB1038" s="60"/>
      <c r="AC1038" s="60"/>
      <c r="AJ1038" s="60"/>
      <c r="AK1038" s="60"/>
      <c r="AL1038" s="60"/>
      <c r="AM1038" s="60"/>
    </row>
    <row r="1039">
      <c r="A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Z1039" s="60"/>
      <c r="AA1039" s="60"/>
      <c r="AB1039" s="60"/>
      <c r="AC1039" s="60"/>
      <c r="AJ1039" s="60"/>
      <c r="AK1039" s="60"/>
      <c r="AL1039" s="60"/>
      <c r="AM1039" s="60"/>
    </row>
    <row r="1040">
      <c r="A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Z1040" s="60"/>
      <c r="AA1040" s="60"/>
      <c r="AB1040" s="60"/>
      <c r="AC1040" s="60"/>
      <c r="AJ1040" s="60"/>
      <c r="AK1040" s="60"/>
      <c r="AL1040" s="60"/>
      <c r="AM1040" s="60"/>
    </row>
    <row r="1041">
      <c r="A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Z1041" s="60"/>
      <c r="AA1041" s="60"/>
      <c r="AB1041" s="60"/>
      <c r="AC1041" s="60"/>
      <c r="AJ1041" s="60"/>
      <c r="AK1041" s="60"/>
      <c r="AL1041" s="60"/>
      <c r="AM1041" s="60"/>
    </row>
    <row r="1042">
      <c r="A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Z1042" s="60"/>
      <c r="AA1042" s="60"/>
      <c r="AB1042" s="60"/>
      <c r="AC1042" s="60"/>
      <c r="AJ1042" s="60"/>
      <c r="AK1042" s="60"/>
      <c r="AL1042" s="60"/>
      <c r="AM1042" s="60"/>
    </row>
    <row r="1043">
      <c r="A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Z1043" s="60"/>
      <c r="AA1043" s="60"/>
      <c r="AB1043" s="60"/>
      <c r="AC1043" s="60"/>
      <c r="AJ1043" s="60"/>
      <c r="AK1043" s="60"/>
      <c r="AL1043" s="60"/>
      <c r="AM1043" s="60"/>
    </row>
    <row r="1044">
      <c r="A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Z1044" s="60"/>
      <c r="AA1044" s="60"/>
      <c r="AB1044" s="60"/>
      <c r="AC1044" s="60"/>
      <c r="AJ1044" s="60"/>
      <c r="AK1044" s="60"/>
      <c r="AL1044" s="60"/>
      <c r="AM1044" s="60"/>
    </row>
    <row r="1045">
      <c r="A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Z1045" s="60"/>
      <c r="AA1045" s="60"/>
      <c r="AB1045" s="60"/>
      <c r="AC1045" s="60"/>
      <c r="AJ1045" s="60"/>
      <c r="AK1045" s="60"/>
      <c r="AL1045" s="60"/>
      <c r="AM1045" s="60"/>
    </row>
    <row r="1046">
      <c r="A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Z1046" s="60"/>
      <c r="AA1046" s="60"/>
      <c r="AB1046" s="60"/>
      <c r="AC1046" s="60"/>
      <c r="AJ1046" s="60"/>
      <c r="AK1046" s="60"/>
      <c r="AL1046" s="60"/>
      <c r="AM1046" s="60"/>
    </row>
    <row r="1047">
      <c r="A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Z1047" s="60"/>
      <c r="AA1047" s="60"/>
      <c r="AB1047" s="60"/>
      <c r="AC1047" s="60"/>
      <c r="AJ1047" s="60"/>
      <c r="AK1047" s="60"/>
      <c r="AL1047" s="60"/>
      <c r="AM1047" s="60"/>
    </row>
    <row r="1048">
      <c r="A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Z1048" s="60"/>
      <c r="AA1048" s="60"/>
      <c r="AB1048" s="60"/>
      <c r="AC1048" s="60"/>
      <c r="AJ1048" s="60"/>
      <c r="AK1048" s="60"/>
      <c r="AL1048" s="60"/>
      <c r="AM1048" s="60"/>
    </row>
    <row r="1049">
      <c r="A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Z1049" s="60"/>
      <c r="AA1049" s="60"/>
      <c r="AB1049" s="60"/>
      <c r="AC1049" s="60"/>
      <c r="AJ1049" s="60"/>
      <c r="AK1049" s="60"/>
      <c r="AL1049" s="60"/>
      <c r="AM1049" s="60"/>
    </row>
    <row r="1050">
      <c r="A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Z1050" s="60"/>
      <c r="AA1050" s="60"/>
      <c r="AB1050" s="60"/>
      <c r="AC1050" s="60"/>
      <c r="AJ1050" s="60"/>
      <c r="AK1050" s="60"/>
      <c r="AL1050" s="60"/>
      <c r="AM1050" s="60"/>
    </row>
    <row r="1051">
      <c r="A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Z1051" s="60"/>
      <c r="AA1051" s="60"/>
      <c r="AB1051" s="60"/>
      <c r="AC1051" s="60"/>
      <c r="AJ1051" s="60"/>
      <c r="AK1051" s="60"/>
      <c r="AL1051" s="60"/>
      <c r="AM1051" s="60"/>
    </row>
    <row r="1052">
      <c r="A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Z1052" s="60"/>
      <c r="AA1052" s="60"/>
      <c r="AB1052" s="60"/>
      <c r="AC1052" s="60"/>
      <c r="AJ1052" s="60"/>
      <c r="AK1052" s="60"/>
      <c r="AL1052" s="60"/>
      <c r="AM1052" s="60"/>
    </row>
    <row r="1053">
      <c r="A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Z1053" s="60"/>
      <c r="AA1053" s="60"/>
      <c r="AB1053" s="60"/>
      <c r="AC1053" s="60"/>
      <c r="AJ1053" s="60"/>
      <c r="AK1053" s="60"/>
      <c r="AL1053" s="60"/>
      <c r="AM1053" s="60"/>
    </row>
    <row r="1054">
      <c r="A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Z1054" s="60"/>
      <c r="AA1054" s="60"/>
      <c r="AB1054" s="60"/>
      <c r="AC1054" s="60"/>
      <c r="AJ1054" s="60"/>
      <c r="AK1054" s="60"/>
      <c r="AL1054" s="60"/>
      <c r="AM1054" s="60"/>
    </row>
    <row r="1055">
      <c r="A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Z1055" s="60"/>
      <c r="AA1055" s="60"/>
      <c r="AB1055" s="60"/>
      <c r="AC1055" s="60"/>
      <c r="AJ1055" s="60"/>
      <c r="AK1055" s="60"/>
      <c r="AL1055" s="60"/>
      <c r="AM1055" s="60"/>
    </row>
    <row r="1056">
      <c r="A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Z1056" s="60"/>
      <c r="AA1056" s="60"/>
      <c r="AB1056" s="60"/>
      <c r="AC1056" s="60"/>
      <c r="AJ1056" s="60"/>
      <c r="AK1056" s="60"/>
      <c r="AL1056" s="60"/>
      <c r="AM1056" s="60"/>
    </row>
    <row r="1057">
      <c r="A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Z1057" s="60"/>
      <c r="AA1057" s="60"/>
      <c r="AB1057" s="60"/>
      <c r="AC1057" s="60"/>
      <c r="AJ1057" s="60"/>
      <c r="AK1057" s="60"/>
      <c r="AL1057" s="60"/>
      <c r="AM1057" s="60"/>
    </row>
    <row r="1058">
      <c r="A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Z1058" s="60"/>
      <c r="AA1058" s="60"/>
      <c r="AB1058" s="60"/>
      <c r="AC1058" s="60"/>
      <c r="AJ1058" s="60"/>
      <c r="AK1058" s="60"/>
      <c r="AL1058" s="60"/>
      <c r="AM1058" s="60"/>
    </row>
    <row r="1059">
      <c r="A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Z1059" s="60"/>
      <c r="AA1059" s="60"/>
      <c r="AB1059" s="60"/>
      <c r="AC1059" s="60"/>
      <c r="AJ1059" s="60"/>
      <c r="AK1059" s="60"/>
      <c r="AL1059" s="60"/>
      <c r="AM1059" s="60"/>
    </row>
    <row r="1060">
      <c r="A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Z1060" s="60"/>
      <c r="AA1060" s="60"/>
      <c r="AB1060" s="60"/>
      <c r="AC1060" s="60"/>
      <c r="AJ1060" s="60"/>
      <c r="AK1060" s="60"/>
      <c r="AL1060" s="60"/>
      <c r="AM1060" s="60"/>
    </row>
    <row r="1061">
      <c r="A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Z1061" s="60"/>
      <c r="AA1061" s="60"/>
      <c r="AB1061" s="60"/>
      <c r="AC1061" s="60"/>
      <c r="AJ1061" s="60"/>
      <c r="AK1061" s="60"/>
      <c r="AL1061" s="60"/>
      <c r="AM1061" s="60"/>
    </row>
    <row r="1062">
      <c r="A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Z1062" s="60"/>
      <c r="AA1062" s="60"/>
      <c r="AB1062" s="60"/>
      <c r="AC1062" s="60"/>
      <c r="AJ1062" s="60"/>
      <c r="AK1062" s="60"/>
      <c r="AL1062" s="60"/>
      <c r="AM1062" s="60"/>
    </row>
    <row r="1063">
      <c r="A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Z1063" s="60"/>
      <c r="AA1063" s="60"/>
      <c r="AB1063" s="60"/>
      <c r="AC1063" s="60"/>
      <c r="AJ1063" s="60"/>
      <c r="AK1063" s="60"/>
      <c r="AL1063" s="60"/>
      <c r="AM1063" s="60"/>
    </row>
    <row r="1064">
      <c r="A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Z1064" s="60"/>
      <c r="AA1064" s="60"/>
      <c r="AB1064" s="60"/>
      <c r="AC1064" s="60"/>
      <c r="AJ1064" s="60"/>
      <c r="AK1064" s="60"/>
      <c r="AL1064" s="60"/>
      <c r="AM1064" s="60"/>
    </row>
    <row r="1065">
      <c r="A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Z1065" s="60"/>
      <c r="AA1065" s="60"/>
      <c r="AB1065" s="60"/>
      <c r="AC1065" s="60"/>
      <c r="AJ1065" s="60"/>
      <c r="AK1065" s="60"/>
      <c r="AL1065" s="60"/>
      <c r="AM1065" s="60"/>
    </row>
    <row r="1066">
      <c r="A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Z1066" s="60"/>
      <c r="AA1066" s="60"/>
      <c r="AB1066" s="60"/>
      <c r="AC1066" s="60"/>
      <c r="AJ1066" s="60"/>
      <c r="AK1066" s="60"/>
      <c r="AL1066" s="60"/>
      <c r="AM1066" s="60"/>
    </row>
    <row r="1067">
      <c r="A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Z1067" s="60"/>
      <c r="AA1067" s="60"/>
      <c r="AB1067" s="60"/>
      <c r="AC1067" s="60"/>
      <c r="AJ1067" s="60"/>
      <c r="AK1067" s="60"/>
      <c r="AL1067" s="60"/>
      <c r="AM1067" s="60"/>
    </row>
    <row r="1068">
      <c r="A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Z1068" s="60"/>
      <c r="AA1068" s="60"/>
      <c r="AB1068" s="60"/>
      <c r="AC1068" s="60"/>
      <c r="AJ1068" s="60"/>
      <c r="AK1068" s="60"/>
      <c r="AL1068" s="60"/>
      <c r="AM1068" s="60"/>
    </row>
    <row r="1069">
      <c r="A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Z1069" s="60"/>
      <c r="AA1069" s="60"/>
      <c r="AB1069" s="60"/>
      <c r="AC1069" s="60"/>
      <c r="AJ1069" s="60"/>
      <c r="AK1069" s="60"/>
      <c r="AL1069" s="60"/>
      <c r="AM1069" s="60"/>
    </row>
    <row r="1070">
      <c r="A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Z1070" s="60"/>
      <c r="AA1070" s="60"/>
      <c r="AB1070" s="60"/>
      <c r="AC1070" s="60"/>
      <c r="AJ1070" s="60"/>
      <c r="AK1070" s="60"/>
      <c r="AL1070" s="60"/>
      <c r="AM1070" s="60"/>
    </row>
    <row r="1071">
      <c r="A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Z1071" s="60"/>
      <c r="AA1071" s="60"/>
      <c r="AB1071" s="60"/>
      <c r="AC1071" s="60"/>
      <c r="AJ1071" s="60"/>
      <c r="AK1071" s="60"/>
      <c r="AL1071" s="60"/>
      <c r="AM1071" s="60"/>
    </row>
    <row r="1072">
      <c r="A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Z1072" s="60"/>
      <c r="AA1072" s="60"/>
      <c r="AB1072" s="60"/>
      <c r="AC1072" s="60"/>
      <c r="AJ1072" s="60"/>
      <c r="AK1072" s="60"/>
      <c r="AL1072" s="60"/>
      <c r="AM1072" s="60"/>
    </row>
    <row r="1073">
      <c r="A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Z1073" s="60"/>
      <c r="AA1073" s="60"/>
      <c r="AB1073" s="60"/>
      <c r="AC1073" s="60"/>
      <c r="AJ1073" s="60"/>
      <c r="AK1073" s="60"/>
      <c r="AL1073" s="60"/>
      <c r="AM1073" s="60"/>
    </row>
    <row r="1074">
      <c r="A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Z1074" s="60"/>
      <c r="AA1074" s="60"/>
      <c r="AB1074" s="60"/>
      <c r="AC1074" s="60"/>
      <c r="AJ1074" s="60"/>
      <c r="AK1074" s="60"/>
      <c r="AL1074" s="60"/>
      <c r="AM1074" s="60"/>
    </row>
    <row r="1075">
      <c r="A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Z1075" s="60"/>
      <c r="AA1075" s="60"/>
      <c r="AB1075" s="60"/>
      <c r="AC1075" s="60"/>
      <c r="AJ1075" s="60"/>
      <c r="AK1075" s="60"/>
      <c r="AL1075" s="60"/>
      <c r="AM1075" s="60"/>
    </row>
    <row r="1076">
      <c r="A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Z1076" s="60"/>
      <c r="AA1076" s="60"/>
      <c r="AB1076" s="60"/>
      <c r="AC1076" s="60"/>
      <c r="AJ1076" s="60"/>
      <c r="AK1076" s="60"/>
      <c r="AL1076" s="60"/>
      <c r="AM1076" s="60"/>
    </row>
    <row r="1077">
      <c r="A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Z1077" s="60"/>
      <c r="AA1077" s="60"/>
      <c r="AB1077" s="60"/>
      <c r="AC1077" s="60"/>
      <c r="AJ1077" s="60"/>
      <c r="AK1077" s="60"/>
      <c r="AL1077" s="60"/>
      <c r="AM1077" s="60"/>
    </row>
    <row r="1078">
      <c r="A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Z1078" s="60"/>
      <c r="AA1078" s="60"/>
      <c r="AB1078" s="60"/>
      <c r="AC1078" s="60"/>
      <c r="AJ1078" s="60"/>
      <c r="AK1078" s="60"/>
      <c r="AL1078" s="60"/>
      <c r="AM1078" s="60"/>
    </row>
    <row r="1079">
      <c r="A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Z1079" s="60"/>
      <c r="AA1079" s="60"/>
      <c r="AB1079" s="60"/>
      <c r="AC1079" s="60"/>
      <c r="AJ1079" s="60"/>
      <c r="AK1079" s="60"/>
      <c r="AL1079" s="60"/>
      <c r="AM1079" s="60"/>
    </row>
    <row r="1080">
      <c r="A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Z1080" s="60"/>
      <c r="AA1080" s="60"/>
      <c r="AB1080" s="60"/>
      <c r="AC1080" s="60"/>
      <c r="AJ1080" s="60"/>
      <c r="AK1080" s="60"/>
      <c r="AL1080" s="60"/>
      <c r="AM1080" s="60"/>
    </row>
    <row r="1081">
      <c r="A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Z1081" s="60"/>
      <c r="AA1081" s="60"/>
      <c r="AB1081" s="60"/>
      <c r="AC1081" s="60"/>
      <c r="AJ1081" s="60"/>
      <c r="AK1081" s="60"/>
      <c r="AL1081" s="60"/>
      <c r="AM1081" s="60"/>
    </row>
    <row r="1082">
      <c r="A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Z1082" s="60"/>
      <c r="AA1082" s="60"/>
      <c r="AB1082" s="60"/>
      <c r="AC1082" s="60"/>
      <c r="AJ1082" s="60"/>
      <c r="AK1082" s="60"/>
      <c r="AL1082" s="60"/>
      <c r="AM1082" s="60"/>
    </row>
    <row r="1083">
      <c r="A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Z1083" s="60"/>
      <c r="AA1083" s="60"/>
      <c r="AB1083" s="60"/>
      <c r="AC1083" s="60"/>
      <c r="AJ1083" s="60"/>
      <c r="AK1083" s="60"/>
      <c r="AL1083" s="60"/>
      <c r="AM1083" s="60"/>
    </row>
    <row r="1084">
      <c r="A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Z1084" s="60"/>
      <c r="AA1084" s="60"/>
      <c r="AB1084" s="60"/>
      <c r="AC1084" s="60"/>
      <c r="AJ1084" s="60"/>
      <c r="AK1084" s="60"/>
      <c r="AL1084" s="60"/>
      <c r="AM1084" s="60"/>
    </row>
    <row r="1085">
      <c r="A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Z1085" s="60"/>
      <c r="AA1085" s="60"/>
      <c r="AB1085" s="60"/>
      <c r="AC1085" s="60"/>
      <c r="AJ1085" s="60"/>
      <c r="AK1085" s="60"/>
      <c r="AL1085" s="60"/>
      <c r="AM1085" s="60"/>
    </row>
    <row r="1086">
      <c r="A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Z1086" s="60"/>
      <c r="AA1086" s="60"/>
      <c r="AB1086" s="60"/>
      <c r="AC1086" s="60"/>
      <c r="AJ1086" s="60"/>
      <c r="AK1086" s="60"/>
      <c r="AL1086" s="60"/>
      <c r="AM1086" s="60"/>
    </row>
    <row r="1087">
      <c r="A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Z1087" s="60"/>
      <c r="AA1087" s="60"/>
      <c r="AB1087" s="60"/>
      <c r="AC1087" s="60"/>
      <c r="AJ1087" s="60"/>
      <c r="AK1087" s="60"/>
      <c r="AL1087" s="60"/>
      <c r="AM1087" s="60"/>
    </row>
    <row r="1088">
      <c r="A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Z1088" s="60"/>
      <c r="AA1088" s="60"/>
      <c r="AB1088" s="60"/>
      <c r="AC1088" s="60"/>
      <c r="AJ1088" s="60"/>
      <c r="AK1088" s="60"/>
      <c r="AL1088" s="60"/>
      <c r="AM1088" s="60"/>
    </row>
    <row r="1089">
      <c r="A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Z1089" s="60"/>
      <c r="AA1089" s="60"/>
      <c r="AB1089" s="60"/>
      <c r="AC1089" s="60"/>
      <c r="AJ1089" s="60"/>
      <c r="AK1089" s="60"/>
      <c r="AL1089" s="60"/>
      <c r="AM1089" s="60"/>
    </row>
    <row r="1090">
      <c r="A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Z1090" s="60"/>
      <c r="AA1090" s="60"/>
      <c r="AB1090" s="60"/>
      <c r="AC1090" s="60"/>
      <c r="AJ1090" s="60"/>
      <c r="AK1090" s="60"/>
      <c r="AL1090" s="60"/>
      <c r="AM1090" s="60"/>
    </row>
    <row r="1091">
      <c r="A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Z1091" s="60"/>
      <c r="AA1091" s="60"/>
      <c r="AB1091" s="60"/>
      <c r="AC1091" s="60"/>
      <c r="AJ1091" s="60"/>
      <c r="AK1091" s="60"/>
      <c r="AL1091" s="60"/>
      <c r="AM1091" s="60"/>
    </row>
    <row r="1092">
      <c r="A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Z1092" s="60"/>
      <c r="AA1092" s="60"/>
      <c r="AB1092" s="60"/>
      <c r="AC1092" s="60"/>
      <c r="AJ1092" s="60"/>
      <c r="AK1092" s="60"/>
      <c r="AL1092" s="60"/>
      <c r="AM1092" s="60"/>
    </row>
    <row r="1093">
      <c r="A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Z1093" s="60"/>
      <c r="AA1093" s="60"/>
      <c r="AB1093" s="60"/>
      <c r="AC1093" s="60"/>
      <c r="AJ1093" s="60"/>
      <c r="AK1093" s="60"/>
      <c r="AL1093" s="60"/>
      <c r="AM1093" s="60"/>
    </row>
    <row r="1094">
      <c r="A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Z1094" s="60"/>
      <c r="AA1094" s="60"/>
      <c r="AB1094" s="60"/>
      <c r="AC1094" s="60"/>
      <c r="AJ1094" s="60"/>
      <c r="AK1094" s="60"/>
      <c r="AL1094" s="60"/>
      <c r="AM1094" s="60"/>
    </row>
    <row r="1095">
      <c r="A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Z1095" s="60"/>
      <c r="AA1095" s="60"/>
      <c r="AB1095" s="60"/>
      <c r="AC1095" s="60"/>
      <c r="AJ1095" s="60"/>
      <c r="AK1095" s="60"/>
      <c r="AL1095" s="60"/>
      <c r="AM1095" s="60"/>
    </row>
    <row r="1096">
      <c r="A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Z1096" s="60"/>
      <c r="AA1096" s="60"/>
      <c r="AB1096" s="60"/>
      <c r="AC1096" s="60"/>
      <c r="AJ1096" s="60"/>
      <c r="AK1096" s="60"/>
      <c r="AL1096" s="60"/>
      <c r="AM1096" s="60"/>
    </row>
    <row r="1097">
      <c r="A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Z1097" s="60"/>
      <c r="AA1097" s="60"/>
      <c r="AB1097" s="60"/>
      <c r="AC1097" s="60"/>
      <c r="AJ1097" s="60"/>
      <c r="AK1097" s="60"/>
      <c r="AL1097" s="60"/>
      <c r="AM1097" s="60"/>
    </row>
    <row r="1098">
      <c r="A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Z1098" s="60"/>
      <c r="AA1098" s="60"/>
      <c r="AB1098" s="60"/>
      <c r="AC1098" s="60"/>
      <c r="AJ1098" s="60"/>
      <c r="AK1098" s="60"/>
      <c r="AL1098" s="60"/>
      <c r="AM1098" s="60"/>
    </row>
    <row r="1099">
      <c r="A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Z1099" s="60"/>
      <c r="AA1099" s="60"/>
      <c r="AB1099" s="60"/>
      <c r="AC1099" s="60"/>
      <c r="AJ1099" s="60"/>
      <c r="AK1099" s="60"/>
      <c r="AL1099" s="60"/>
      <c r="AM1099" s="60"/>
    </row>
    <row r="1100">
      <c r="A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Z1100" s="60"/>
      <c r="AA1100" s="60"/>
      <c r="AB1100" s="60"/>
      <c r="AC1100" s="60"/>
      <c r="AJ1100" s="60"/>
      <c r="AK1100" s="60"/>
      <c r="AL1100" s="60"/>
      <c r="AM1100" s="60"/>
    </row>
    <row r="1101">
      <c r="A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Z1101" s="60"/>
      <c r="AA1101" s="60"/>
      <c r="AB1101" s="60"/>
      <c r="AC1101" s="60"/>
      <c r="AJ1101" s="60"/>
      <c r="AK1101" s="60"/>
      <c r="AL1101" s="60"/>
      <c r="AM1101" s="60"/>
    </row>
    <row r="1102">
      <c r="A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Z1102" s="60"/>
      <c r="AA1102" s="60"/>
      <c r="AB1102" s="60"/>
      <c r="AC1102" s="60"/>
      <c r="AJ1102" s="60"/>
      <c r="AK1102" s="60"/>
      <c r="AL1102" s="60"/>
      <c r="AM1102" s="60"/>
    </row>
    <row r="1103">
      <c r="A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Z1103" s="60"/>
      <c r="AA1103" s="60"/>
      <c r="AB1103" s="60"/>
      <c r="AC1103" s="60"/>
      <c r="AJ1103" s="60"/>
      <c r="AK1103" s="60"/>
      <c r="AL1103" s="60"/>
      <c r="AM1103" s="60"/>
    </row>
    <row r="1104">
      <c r="A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Z1104" s="60"/>
      <c r="AA1104" s="60"/>
      <c r="AB1104" s="60"/>
      <c r="AC1104" s="60"/>
      <c r="AJ1104" s="60"/>
      <c r="AK1104" s="60"/>
      <c r="AL1104" s="60"/>
      <c r="AM1104" s="60"/>
    </row>
    <row r="1105">
      <c r="A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Z1105" s="60"/>
      <c r="AA1105" s="60"/>
      <c r="AB1105" s="60"/>
      <c r="AC1105" s="60"/>
      <c r="AJ1105" s="60"/>
      <c r="AK1105" s="60"/>
      <c r="AL1105" s="60"/>
      <c r="AM1105" s="60"/>
    </row>
    <row r="1106">
      <c r="A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Z1106" s="60"/>
      <c r="AA1106" s="60"/>
      <c r="AB1106" s="60"/>
      <c r="AC1106" s="60"/>
      <c r="AJ1106" s="60"/>
      <c r="AK1106" s="60"/>
      <c r="AL1106" s="60"/>
      <c r="AM1106" s="60"/>
    </row>
    <row r="1107">
      <c r="A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Z1107" s="60"/>
      <c r="AA1107" s="60"/>
      <c r="AB1107" s="60"/>
      <c r="AC1107" s="60"/>
      <c r="AJ1107" s="60"/>
      <c r="AK1107" s="60"/>
      <c r="AL1107" s="60"/>
      <c r="AM1107" s="60"/>
    </row>
    <row r="1108">
      <c r="A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Z1108" s="60"/>
      <c r="AA1108" s="60"/>
      <c r="AB1108" s="60"/>
      <c r="AC1108" s="60"/>
      <c r="AJ1108" s="60"/>
      <c r="AK1108" s="60"/>
      <c r="AL1108" s="60"/>
      <c r="AM1108" s="60"/>
    </row>
    <row r="1109">
      <c r="A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Z1109" s="60"/>
      <c r="AA1109" s="60"/>
      <c r="AB1109" s="60"/>
      <c r="AC1109" s="60"/>
      <c r="AJ1109" s="60"/>
      <c r="AK1109" s="60"/>
      <c r="AL1109" s="60"/>
      <c r="AM1109" s="60"/>
    </row>
    <row r="1110">
      <c r="A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Z1110" s="60"/>
      <c r="AA1110" s="60"/>
      <c r="AB1110" s="60"/>
      <c r="AC1110" s="60"/>
      <c r="AJ1110" s="60"/>
      <c r="AK1110" s="60"/>
      <c r="AL1110" s="60"/>
      <c r="AM1110" s="60"/>
    </row>
    <row r="1111">
      <c r="A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Z1111" s="60"/>
      <c r="AA1111" s="60"/>
      <c r="AB1111" s="60"/>
      <c r="AC1111" s="60"/>
      <c r="AJ1111" s="60"/>
      <c r="AK1111" s="60"/>
      <c r="AL1111" s="60"/>
      <c r="AM1111" s="60"/>
    </row>
    <row r="1112">
      <c r="A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Z1112" s="60"/>
      <c r="AA1112" s="60"/>
      <c r="AB1112" s="60"/>
      <c r="AC1112" s="60"/>
      <c r="AJ1112" s="60"/>
      <c r="AK1112" s="60"/>
      <c r="AL1112" s="60"/>
      <c r="AM1112" s="60"/>
    </row>
    <row r="1113">
      <c r="A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Z1113" s="60"/>
      <c r="AA1113" s="60"/>
      <c r="AB1113" s="60"/>
      <c r="AC1113" s="60"/>
      <c r="AJ1113" s="60"/>
      <c r="AK1113" s="60"/>
      <c r="AL1113" s="60"/>
      <c r="AM1113" s="60"/>
    </row>
    <row r="1114">
      <c r="A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Z1114" s="60"/>
      <c r="AA1114" s="60"/>
      <c r="AB1114" s="60"/>
      <c r="AC1114" s="60"/>
      <c r="AJ1114" s="60"/>
      <c r="AK1114" s="60"/>
      <c r="AL1114" s="60"/>
      <c r="AM1114" s="60"/>
    </row>
    <row r="1115">
      <c r="A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Z1115" s="60"/>
      <c r="AA1115" s="60"/>
      <c r="AB1115" s="60"/>
      <c r="AC1115" s="60"/>
      <c r="AJ1115" s="60"/>
      <c r="AK1115" s="60"/>
      <c r="AL1115" s="60"/>
      <c r="AM1115" s="60"/>
    </row>
    <row r="1116">
      <c r="A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Z1116" s="60"/>
      <c r="AA1116" s="60"/>
      <c r="AB1116" s="60"/>
      <c r="AC1116" s="60"/>
      <c r="AJ1116" s="60"/>
      <c r="AK1116" s="60"/>
      <c r="AL1116" s="60"/>
      <c r="AM1116" s="60"/>
    </row>
    <row r="1117">
      <c r="A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Z1117" s="60"/>
      <c r="AA1117" s="60"/>
      <c r="AB1117" s="60"/>
      <c r="AC1117" s="60"/>
      <c r="AJ1117" s="60"/>
      <c r="AK1117" s="60"/>
      <c r="AL1117" s="60"/>
      <c r="AM1117" s="60"/>
    </row>
    <row r="1118">
      <c r="A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Z1118" s="60"/>
      <c r="AA1118" s="60"/>
      <c r="AB1118" s="60"/>
      <c r="AC1118" s="60"/>
      <c r="AJ1118" s="60"/>
      <c r="AK1118" s="60"/>
      <c r="AL1118" s="60"/>
      <c r="AM1118" s="60"/>
    </row>
    <row r="1119">
      <c r="A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Z1119" s="60"/>
      <c r="AA1119" s="60"/>
      <c r="AB1119" s="60"/>
      <c r="AC1119" s="60"/>
      <c r="AJ1119" s="60"/>
      <c r="AK1119" s="60"/>
      <c r="AL1119" s="60"/>
      <c r="AM1119" s="60"/>
    </row>
    <row r="1120">
      <c r="A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Z1120" s="60"/>
      <c r="AA1120" s="60"/>
      <c r="AB1120" s="60"/>
      <c r="AC1120" s="60"/>
      <c r="AJ1120" s="60"/>
      <c r="AK1120" s="60"/>
      <c r="AL1120" s="60"/>
      <c r="AM1120" s="60"/>
    </row>
    <row r="1121">
      <c r="A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Z1121" s="60"/>
      <c r="AA1121" s="60"/>
      <c r="AB1121" s="60"/>
      <c r="AC1121" s="60"/>
      <c r="AJ1121" s="60"/>
      <c r="AK1121" s="60"/>
      <c r="AL1121" s="60"/>
      <c r="AM1121" s="60"/>
    </row>
    <row r="1122">
      <c r="A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Z1122" s="60"/>
      <c r="AA1122" s="60"/>
      <c r="AB1122" s="60"/>
      <c r="AC1122" s="60"/>
      <c r="AJ1122" s="60"/>
      <c r="AK1122" s="60"/>
      <c r="AL1122" s="60"/>
      <c r="AM1122" s="60"/>
    </row>
    <row r="1123">
      <c r="A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Z1123" s="60"/>
      <c r="AA1123" s="60"/>
      <c r="AB1123" s="60"/>
      <c r="AC1123" s="60"/>
      <c r="AJ1123" s="60"/>
      <c r="AK1123" s="60"/>
      <c r="AL1123" s="60"/>
      <c r="AM1123" s="60"/>
    </row>
    <row r="1124">
      <c r="A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Z1124" s="60"/>
      <c r="AA1124" s="60"/>
      <c r="AB1124" s="60"/>
      <c r="AC1124" s="60"/>
      <c r="AJ1124" s="60"/>
      <c r="AK1124" s="60"/>
      <c r="AL1124" s="60"/>
      <c r="AM1124" s="60"/>
    </row>
    <row r="1125">
      <c r="A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Z1125" s="60"/>
      <c r="AA1125" s="60"/>
      <c r="AB1125" s="60"/>
      <c r="AC1125" s="60"/>
      <c r="AJ1125" s="60"/>
      <c r="AK1125" s="60"/>
      <c r="AL1125" s="60"/>
      <c r="AM1125" s="60"/>
    </row>
    <row r="1126">
      <c r="A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Z1126" s="60"/>
      <c r="AA1126" s="60"/>
      <c r="AB1126" s="60"/>
      <c r="AC1126" s="60"/>
      <c r="AJ1126" s="60"/>
      <c r="AK1126" s="60"/>
      <c r="AL1126" s="60"/>
      <c r="AM1126" s="60"/>
    </row>
    <row r="1127">
      <c r="A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Z1127" s="60"/>
      <c r="AA1127" s="60"/>
      <c r="AB1127" s="60"/>
      <c r="AC1127" s="60"/>
      <c r="AJ1127" s="60"/>
      <c r="AK1127" s="60"/>
      <c r="AL1127" s="60"/>
      <c r="AM1127" s="60"/>
    </row>
    <row r="1128">
      <c r="A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Z1128" s="60"/>
      <c r="AA1128" s="60"/>
      <c r="AB1128" s="60"/>
      <c r="AC1128" s="60"/>
      <c r="AJ1128" s="60"/>
      <c r="AK1128" s="60"/>
      <c r="AL1128" s="60"/>
      <c r="AM1128" s="60"/>
    </row>
    <row r="1129">
      <c r="A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Z1129" s="60"/>
      <c r="AA1129" s="60"/>
      <c r="AB1129" s="60"/>
      <c r="AC1129" s="60"/>
      <c r="AJ1129" s="60"/>
      <c r="AK1129" s="60"/>
      <c r="AL1129" s="60"/>
      <c r="AM1129" s="60"/>
    </row>
    <row r="1130">
      <c r="A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Z1130" s="60"/>
      <c r="AA1130" s="60"/>
      <c r="AB1130" s="60"/>
      <c r="AC1130" s="60"/>
      <c r="AJ1130" s="60"/>
      <c r="AK1130" s="60"/>
      <c r="AL1130" s="60"/>
      <c r="AM1130" s="60"/>
    </row>
    <row r="1131">
      <c r="A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Z1131" s="60"/>
      <c r="AA1131" s="60"/>
      <c r="AB1131" s="60"/>
      <c r="AC1131" s="60"/>
      <c r="AJ1131" s="60"/>
      <c r="AK1131" s="60"/>
      <c r="AL1131" s="60"/>
      <c r="AM1131" s="60"/>
    </row>
    <row r="1132">
      <c r="A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Z1132" s="60"/>
      <c r="AA1132" s="60"/>
      <c r="AB1132" s="60"/>
      <c r="AC1132" s="60"/>
      <c r="AJ1132" s="60"/>
      <c r="AK1132" s="60"/>
      <c r="AL1132" s="60"/>
      <c r="AM1132" s="60"/>
    </row>
    <row r="1133">
      <c r="A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Z1133" s="60"/>
      <c r="AA1133" s="60"/>
      <c r="AB1133" s="60"/>
      <c r="AC1133" s="60"/>
      <c r="AJ1133" s="60"/>
      <c r="AK1133" s="60"/>
      <c r="AL1133" s="60"/>
      <c r="AM1133" s="60"/>
    </row>
    <row r="1134">
      <c r="A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Z1134" s="60"/>
      <c r="AA1134" s="60"/>
      <c r="AB1134" s="60"/>
      <c r="AC1134" s="60"/>
      <c r="AJ1134" s="60"/>
      <c r="AK1134" s="60"/>
      <c r="AL1134" s="60"/>
      <c r="AM1134" s="60"/>
    </row>
    <row r="1135">
      <c r="A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Z1135" s="60"/>
      <c r="AA1135" s="60"/>
      <c r="AB1135" s="60"/>
      <c r="AC1135" s="60"/>
      <c r="AJ1135" s="60"/>
      <c r="AK1135" s="60"/>
      <c r="AL1135" s="60"/>
      <c r="AM1135" s="60"/>
    </row>
    <row r="1136">
      <c r="A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Z1136" s="60"/>
      <c r="AA1136" s="60"/>
      <c r="AB1136" s="60"/>
      <c r="AC1136" s="60"/>
      <c r="AJ1136" s="60"/>
      <c r="AK1136" s="60"/>
      <c r="AL1136" s="60"/>
      <c r="AM1136" s="60"/>
    </row>
    <row r="1137">
      <c r="A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Z1137" s="60"/>
      <c r="AA1137" s="60"/>
      <c r="AB1137" s="60"/>
      <c r="AC1137" s="60"/>
      <c r="AJ1137" s="60"/>
      <c r="AK1137" s="60"/>
      <c r="AL1137" s="60"/>
      <c r="AM1137" s="60"/>
    </row>
    <row r="1138">
      <c r="A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Z1138" s="60"/>
      <c r="AA1138" s="60"/>
      <c r="AB1138" s="60"/>
      <c r="AC1138" s="60"/>
      <c r="AJ1138" s="60"/>
      <c r="AK1138" s="60"/>
      <c r="AL1138" s="60"/>
      <c r="AM1138" s="60"/>
    </row>
    <row r="1139">
      <c r="A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Z1139" s="60"/>
      <c r="AA1139" s="60"/>
      <c r="AB1139" s="60"/>
      <c r="AC1139" s="60"/>
      <c r="AJ1139" s="60"/>
      <c r="AK1139" s="60"/>
      <c r="AL1139" s="60"/>
      <c r="AM1139" s="60"/>
    </row>
    <row r="1140">
      <c r="A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Z1140" s="60"/>
      <c r="AA1140" s="60"/>
      <c r="AB1140" s="60"/>
      <c r="AC1140" s="60"/>
      <c r="AJ1140" s="60"/>
      <c r="AK1140" s="60"/>
      <c r="AL1140" s="60"/>
      <c r="AM1140" s="60"/>
    </row>
    <row r="1141">
      <c r="A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Z1141" s="60"/>
      <c r="AA1141" s="60"/>
      <c r="AB1141" s="60"/>
      <c r="AC1141" s="60"/>
      <c r="AJ1141" s="60"/>
      <c r="AK1141" s="60"/>
      <c r="AL1141" s="60"/>
      <c r="AM1141" s="60"/>
    </row>
    <row r="1142">
      <c r="A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Z1142" s="60"/>
      <c r="AA1142" s="60"/>
      <c r="AB1142" s="60"/>
      <c r="AC1142" s="60"/>
      <c r="AJ1142" s="60"/>
      <c r="AK1142" s="60"/>
      <c r="AL1142" s="60"/>
      <c r="AM1142" s="60"/>
    </row>
    <row r="1143">
      <c r="A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Z1143" s="60"/>
      <c r="AA1143" s="60"/>
      <c r="AB1143" s="60"/>
      <c r="AC1143" s="60"/>
      <c r="AJ1143" s="60"/>
      <c r="AK1143" s="60"/>
      <c r="AL1143" s="60"/>
      <c r="AM1143" s="60"/>
    </row>
    <row r="1144">
      <c r="A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Z1144" s="60"/>
      <c r="AA1144" s="60"/>
      <c r="AB1144" s="60"/>
      <c r="AC1144" s="60"/>
      <c r="AJ1144" s="60"/>
      <c r="AK1144" s="60"/>
      <c r="AL1144" s="60"/>
      <c r="AM1144" s="60"/>
    </row>
    <row r="1145">
      <c r="A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Z1145" s="60"/>
      <c r="AA1145" s="60"/>
      <c r="AB1145" s="60"/>
      <c r="AC1145" s="60"/>
      <c r="AJ1145" s="60"/>
      <c r="AK1145" s="60"/>
      <c r="AL1145" s="60"/>
      <c r="AM1145" s="60"/>
    </row>
    <row r="1146">
      <c r="A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Z1146" s="60"/>
      <c r="AA1146" s="60"/>
      <c r="AB1146" s="60"/>
      <c r="AC1146" s="60"/>
      <c r="AJ1146" s="60"/>
      <c r="AK1146" s="60"/>
      <c r="AL1146" s="60"/>
      <c r="AM1146" s="60"/>
    </row>
    <row r="1147">
      <c r="A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Z1147" s="60"/>
      <c r="AA1147" s="60"/>
      <c r="AB1147" s="60"/>
      <c r="AC1147" s="60"/>
      <c r="AJ1147" s="60"/>
      <c r="AK1147" s="60"/>
      <c r="AL1147" s="60"/>
      <c r="AM1147" s="60"/>
    </row>
    <row r="1148">
      <c r="A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Z1148" s="60"/>
      <c r="AA1148" s="60"/>
      <c r="AB1148" s="60"/>
      <c r="AC1148" s="60"/>
      <c r="AJ1148" s="60"/>
      <c r="AK1148" s="60"/>
      <c r="AL1148" s="60"/>
      <c r="AM1148" s="60"/>
    </row>
    <row r="1149">
      <c r="A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Z1149" s="60"/>
      <c r="AA1149" s="60"/>
      <c r="AB1149" s="60"/>
      <c r="AC1149" s="60"/>
      <c r="AJ1149" s="60"/>
      <c r="AK1149" s="60"/>
      <c r="AL1149" s="60"/>
      <c r="AM1149" s="60"/>
    </row>
    <row r="1150">
      <c r="A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Z1150" s="60"/>
      <c r="AA1150" s="60"/>
      <c r="AB1150" s="60"/>
      <c r="AC1150" s="60"/>
      <c r="AJ1150" s="60"/>
      <c r="AK1150" s="60"/>
      <c r="AL1150" s="60"/>
      <c r="AM1150" s="60"/>
    </row>
    <row r="1151">
      <c r="A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Z1151" s="60"/>
      <c r="AA1151" s="60"/>
      <c r="AB1151" s="60"/>
      <c r="AC1151" s="60"/>
      <c r="AJ1151" s="60"/>
      <c r="AK1151" s="60"/>
      <c r="AL1151" s="60"/>
      <c r="AM1151" s="60"/>
    </row>
    <row r="1152">
      <c r="A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Z1152" s="60"/>
      <c r="AA1152" s="60"/>
      <c r="AB1152" s="60"/>
      <c r="AC1152" s="60"/>
      <c r="AJ1152" s="60"/>
      <c r="AK1152" s="60"/>
      <c r="AL1152" s="60"/>
      <c r="AM1152" s="60"/>
    </row>
    <row r="1153">
      <c r="A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Z1153" s="60"/>
      <c r="AA1153" s="60"/>
      <c r="AB1153" s="60"/>
      <c r="AC1153" s="60"/>
      <c r="AJ1153" s="60"/>
      <c r="AK1153" s="60"/>
      <c r="AL1153" s="60"/>
      <c r="AM1153" s="60"/>
    </row>
    <row r="1154">
      <c r="A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Z1154" s="60"/>
      <c r="AA1154" s="60"/>
      <c r="AB1154" s="60"/>
      <c r="AC1154" s="60"/>
      <c r="AJ1154" s="60"/>
      <c r="AK1154" s="60"/>
      <c r="AL1154" s="60"/>
      <c r="AM1154" s="60"/>
    </row>
    <row r="1155">
      <c r="A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Z1155" s="60"/>
      <c r="AA1155" s="60"/>
      <c r="AB1155" s="60"/>
      <c r="AC1155" s="60"/>
      <c r="AJ1155" s="60"/>
      <c r="AK1155" s="60"/>
      <c r="AL1155" s="60"/>
      <c r="AM1155" s="60"/>
    </row>
    <row r="1156">
      <c r="A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Z1156" s="60"/>
      <c r="AA1156" s="60"/>
      <c r="AB1156" s="60"/>
      <c r="AC1156" s="60"/>
      <c r="AJ1156" s="60"/>
      <c r="AK1156" s="60"/>
      <c r="AL1156" s="60"/>
      <c r="AM1156" s="60"/>
    </row>
    <row r="1157">
      <c r="A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Z1157" s="60"/>
      <c r="AA1157" s="60"/>
      <c r="AB1157" s="60"/>
      <c r="AC1157" s="60"/>
      <c r="AJ1157" s="60"/>
      <c r="AK1157" s="60"/>
      <c r="AL1157" s="60"/>
      <c r="AM1157" s="60"/>
    </row>
    <row r="1158">
      <c r="A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Z1158" s="60"/>
      <c r="AA1158" s="60"/>
      <c r="AB1158" s="60"/>
      <c r="AC1158" s="60"/>
      <c r="AJ1158" s="60"/>
      <c r="AK1158" s="60"/>
      <c r="AL1158" s="60"/>
      <c r="AM1158" s="60"/>
    </row>
    <row r="1159">
      <c r="A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Z1159" s="60"/>
      <c r="AA1159" s="60"/>
      <c r="AB1159" s="60"/>
      <c r="AC1159" s="60"/>
      <c r="AJ1159" s="60"/>
      <c r="AK1159" s="60"/>
      <c r="AL1159" s="60"/>
      <c r="AM1159" s="60"/>
    </row>
    <row r="1160">
      <c r="A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Z1160" s="60"/>
      <c r="AA1160" s="60"/>
      <c r="AB1160" s="60"/>
      <c r="AC1160" s="60"/>
      <c r="AJ1160" s="60"/>
      <c r="AK1160" s="60"/>
      <c r="AL1160" s="60"/>
      <c r="AM1160" s="60"/>
    </row>
    <row r="1161">
      <c r="A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Z1161" s="60"/>
      <c r="AA1161" s="60"/>
      <c r="AB1161" s="60"/>
      <c r="AC1161" s="60"/>
      <c r="AJ1161" s="60"/>
      <c r="AK1161" s="60"/>
      <c r="AL1161" s="60"/>
      <c r="AM1161" s="60"/>
    </row>
  </sheetData>
  <customSheetViews>
    <customSheetView guid="{B9BFD33D-91FD-4C4A-8AF8-142140D455F0}" filter="1" showAutoFilter="1">
      <autoFilter ref="$B$1:$BA$1161">
        <filterColumn colId="23">
          <filters blank="1">
            <filter val="FALSE"/>
          </filters>
        </filterColumn>
      </autoFilter>
    </customSheetView>
    <customSheetView guid="{B6C0A570-7F3D-4F3F-89D9-F582C0418AAC}" filter="1" showAutoFilter="1">
      <autoFilter ref="$B$1:$BA$1161">
        <filterColumn colId="33">
          <filters blank="1">
            <filter val="FALSE"/>
          </filters>
        </filterColumn>
      </autoFilter>
    </customSheetView>
    <customSheetView guid="{9C7A1747-D4B1-4FC9-9918-18A6A1196854}" filter="1" showAutoFilter="1">
      <autoFilter ref="$B$1:$BA$1161">
        <filterColumn colId="15">
          <filters>
            <filter val="Java"/>
          </filters>
        </filterColumn>
        <filterColumn colId="23">
          <filters blank="1">
            <filter val="TRUE"/>
          </filters>
        </filterColumn>
      </autoFilter>
    </customSheetView>
    <customSheetView guid="{D0C99C2D-3167-4BA8-9272-7BBA603B0914}" filter="1" showAutoFilter="1">
      <autoFilter ref="$B$1:$BA$1161">
        <filterColumn colId="6">
          <filters>
            <filter val="136"/>
            <filter val="TRUE"/>
          </filters>
        </filterColumn>
        <filterColumn colId="15">
          <filters blank="1">
            <filter val="Java"/>
          </filters>
        </filterColumn>
        <filterColumn colId="16">
          <filters blank="1">
            <filter val="Comment"/>
            <filter val="Non-Java"/>
            <filter val="Import"/>
            <filter val="Java Code"/>
            <filter val="Code+Comment"/>
            <filter val="Annotation"/>
          </filters>
        </filterColumn>
      </autoFilter>
    </customSheetView>
    <customSheetView guid="{601FF2AF-5E8D-44D5-B582-FE38F49FF5ED}" filter="1" showAutoFilter="1">
      <autoFilter ref="$B$1:$BA$1161">
        <filterColumn colId="16">
          <filters>
            <filter val="Comment"/>
            <filter val="Non-Java"/>
            <filter val="Code+Comment"/>
            <filter val="File"/>
            <filter val="Annotation"/>
          </filters>
        </filterColumn>
      </autoFilter>
    </customSheetView>
    <customSheetView guid="{58E59B7A-BFB4-4CA3-9012-E328AB87EDCB}" filter="1" showAutoFilter="1">
      <autoFilter ref="$B$1:$AM$194"/>
    </customSheetView>
    <customSheetView guid="{2CC92319-706A-43A9-AC5E-DC956E3A8FED}" filter="1" showAutoFilter="1">
      <autoFilter ref="$B$1:$AM$192"/>
    </customSheetView>
  </customSheetView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</hyperlinks>
  <drawing r:id="rId1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3.5"/>
  </cols>
  <sheetData>
    <row r="1" ht="30.0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2" t="s">
        <v>14</v>
      </c>
      <c r="O1" s="2" t="s">
        <v>15</v>
      </c>
      <c r="P1" s="2" t="s">
        <v>16</v>
      </c>
      <c r="Q1" s="4" t="s">
        <v>17</v>
      </c>
      <c r="R1" s="4" t="s">
        <v>18</v>
      </c>
      <c r="S1" s="2" t="s">
        <v>19</v>
      </c>
      <c r="T1" s="4" t="s">
        <v>20</v>
      </c>
      <c r="U1" s="4" t="s">
        <v>21</v>
      </c>
      <c r="V1" s="2" t="s">
        <v>22</v>
      </c>
      <c r="W1" s="2" t="s">
        <v>23</v>
      </c>
      <c r="X1" s="2" t="s">
        <v>24</v>
      </c>
      <c r="Y1" s="4" t="s">
        <v>25</v>
      </c>
      <c r="Z1" s="4" t="s">
        <v>26</v>
      </c>
      <c r="AA1" s="2" t="s">
        <v>27</v>
      </c>
      <c r="AB1" s="2" t="s">
        <v>28</v>
      </c>
      <c r="AC1" s="2" t="s">
        <v>29</v>
      </c>
      <c r="AD1" s="4" t="s">
        <v>30</v>
      </c>
      <c r="AE1" s="4" t="s">
        <v>31</v>
      </c>
      <c r="AF1" s="2" t="s">
        <v>32</v>
      </c>
      <c r="AG1" s="2" t="s">
        <v>33</v>
      </c>
      <c r="AH1" s="2" t="s">
        <v>34</v>
      </c>
      <c r="AI1" s="4" t="s">
        <v>35</v>
      </c>
      <c r="AJ1" s="4" t="s">
        <v>36</v>
      </c>
      <c r="AK1" s="2" t="s">
        <v>37</v>
      </c>
      <c r="AL1" s="2" t="s">
        <v>38</v>
      </c>
      <c r="AM1" s="2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5" t="s">
        <v>44</v>
      </c>
      <c r="AS1" s="2" t="s">
        <v>45</v>
      </c>
      <c r="AT1" s="6"/>
      <c r="AU1" s="6"/>
      <c r="AV1" s="6"/>
      <c r="AW1" s="6"/>
      <c r="AX1" s="6"/>
      <c r="AY1" s="6"/>
      <c r="AZ1" s="6"/>
      <c r="BA1" s="6"/>
    </row>
    <row r="2" ht="30.0" customHeight="1">
      <c r="A2" s="18" t="s">
        <v>2719</v>
      </c>
      <c r="B2" s="33" t="s">
        <v>2720</v>
      </c>
      <c r="C2" s="8" t="s">
        <v>2721</v>
      </c>
      <c r="D2" s="33" t="s">
        <v>2722</v>
      </c>
      <c r="E2" s="33" t="s">
        <v>2723</v>
      </c>
      <c r="F2" s="33" t="s">
        <v>2724</v>
      </c>
      <c r="G2" s="25" t="s">
        <v>2725</v>
      </c>
      <c r="H2" s="33" t="b">
        <v>1</v>
      </c>
      <c r="I2" s="14" t="s">
        <v>2726</v>
      </c>
      <c r="J2" s="9" t="s">
        <v>2727</v>
      </c>
      <c r="K2" s="9" t="s">
        <v>2728</v>
      </c>
      <c r="L2" s="14" t="s">
        <v>2729</v>
      </c>
      <c r="M2" s="33" t="s">
        <v>1792</v>
      </c>
      <c r="N2" s="6" t="s">
        <v>57</v>
      </c>
      <c r="O2" s="6" t="s">
        <v>58</v>
      </c>
      <c r="Q2" s="9" t="s">
        <v>80</v>
      </c>
      <c r="R2" s="6" t="s">
        <v>133</v>
      </c>
      <c r="T2" s="33" t="b">
        <v>0</v>
      </c>
      <c r="U2" s="33" t="b">
        <v>0</v>
      </c>
      <c r="V2" s="33" t="s">
        <v>63</v>
      </c>
      <c r="W2" s="6" t="s">
        <v>104</v>
      </c>
      <c r="X2" s="6" t="s">
        <v>63</v>
      </c>
      <c r="Y2" s="33" t="b">
        <v>1</v>
      </c>
      <c r="Z2" s="33" t="b">
        <v>0</v>
      </c>
      <c r="AA2" s="51" t="s">
        <v>2730</v>
      </c>
      <c r="AB2" s="33" t="s">
        <v>65</v>
      </c>
      <c r="AC2" s="33" t="s">
        <v>65</v>
      </c>
      <c r="AD2" s="33" t="b">
        <v>1</v>
      </c>
      <c r="AE2" s="9" t="b">
        <v>1</v>
      </c>
      <c r="AF2" s="51" t="s">
        <v>2731</v>
      </c>
      <c r="AG2" s="9" t="s">
        <v>186</v>
      </c>
      <c r="AH2" s="6" t="s">
        <v>58</v>
      </c>
      <c r="AI2" s="33" t="b">
        <v>1</v>
      </c>
      <c r="AJ2" s="33" t="b">
        <v>0</v>
      </c>
      <c r="AK2" s="51" t="s">
        <v>2730</v>
      </c>
      <c r="AL2" s="33" t="s">
        <v>65</v>
      </c>
      <c r="AM2" s="33" t="s">
        <v>65</v>
      </c>
      <c r="AN2" s="33" t="b">
        <v>1</v>
      </c>
      <c r="AO2" s="33" t="b">
        <v>0</v>
      </c>
      <c r="AP2" s="51" t="s">
        <v>2732</v>
      </c>
      <c r="AQ2" s="33" t="s">
        <v>65</v>
      </c>
      <c r="AR2" s="33" t="s">
        <v>65</v>
      </c>
    </row>
    <row r="3" ht="30.0" customHeight="1">
      <c r="A3" s="18" t="s">
        <v>2733</v>
      </c>
      <c r="B3" s="33" t="s">
        <v>2734</v>
      </c>
      <c r="C3" s="8" t="s">
        <v>2735</v>
      </c>
      <c r="D3" s="33" t="s">
        <v>2736</v>
      </c>
      <c r="E3" s="33" t="s">
        <v>2737</v>
      </c>
      <c r="F3" s="33" t="s">
        <v>2738</v>
      </c>
      <c r="G3" s="25" t="s">
        <v>2739</v>
      </c>
      <c r="H3" s="33" t="b">
        <v>0</v>
      </c>
      <c r="I3" s="28" t="s">
        <v>2740</v>
      </c>
      <c r="J3" s="14" t="s">
        <v>2741</v>
      </c>
      <c r="K3" s="14" t="s">
        <v>2742</v>
      </c>
      <c r="L3" s="14" t="s">
        <v>2743</v>
      </c>
      <c r="M3" s="33" t="s">
        <v>1596</v>
      </c>
      <c r="N3" s="6" t="s">
        <v>57</v>
      </c>
      <c r="O3" s="6" t="s">
        <v>58</v>
      </c>
      <c r="Q3" s="9" t="s">
        <v>80</v>
      </c>
      <c r="R3" s="6" t="s">
        <v>133</v>
      </c>
      <c r="T3" s="33" t="b">
        <v>1</v>
      </c>
      <c r="U3" s="33" t="b">
        <v>0</v>
      </c>
      <c r="V3" s="51" t="s">
        <v>2744</v>
      </c>
      <c r="W3" s="9" t="s">
        <v>2745</v>
      </c>
      <c r="X3" s="9" t="s">
        <v>79</v>
      </c>
      <c r="Y3" s="33" t="b">
        <v>1</v>
      </c>
      <c r="Z3" s="33" t="b">
        <v>0</v>
      </c>
      <c r="AA3" s="51" t="s">
        <v>2746</v>
      </c>
      <c r="AB3" s="33" t="s">
        <v>1934</v>
      </c>
      <c r="AC3" s="33" t="s">
        <v>79</v>
      </c>
      <c r="AD3" s="33" t="b">
        <v>1</v>
      </c>
      <c r="AE3" s="33" t="b">
        <v>0</v>
      </c>
      <c r="AF3" s="51" t="s">
        <v>2747</v>
      </c>
      <c r="AG3" s="33" t="s">
        <v>103</v>
      </c>
      <c r="AH3" s="33" t="s">
        <v>86</v>
      </c>
      <c r="AI3" s="33" t="b">
        <v>1</v>
      </c>
      <c r="AJ3" s="33" t="b">
        <v>0</v>
      </c>
      <c r="AK3" s="51" t="s">
        <v>2746</v>
      </c>
      <c r="AL3" s="33" t="s">
        <v>1934</v>
      </c>
      <c r="AM3" s="33" t="s">
        <v>79</v>
      </c>
      <c r="AN3" s="33" t="b">
        <v>1</v>
      </c>
      <c r="AO3" s="33" t="b">
        <v>0</v>
      </c>
      <c r="AP3" s="51" t="s">
        <v>2748</v>
      </c>
      <c r="AQ3" s="33" t="s">
        <v>103</v>
      </c>
      <c r="AR3" s="33" t="s">
        <v>86</v>
      </c>
    </row>
    <row r="4" ht="30.0" customHeight="1">
      <c r="A4" s="18" t="s">
        <v>1319</v>
      </c>
      <c r="B4" s="6" t="s">
        <v>1320</v>
      </c>
      <c r="C4" s="8" t="s">
        <v>2749</v>
      </c>
      <c r="D4" s="33" t="s">
        <v>2750</v>
      </c>
      <c r="E4" s="33" t="s">
        <v>2751</v>
      </c>
      <c r="F4" s="33" t="s">
        <v>2752</v>
      </c>
      <c r="G4" s="33" t="s">
        <v>2753</v>
      </c>
      <c r="H4" s="33" t="b">
        <v>0</v>
      </c>
      <c r="I4" s="51" t="s">
        <v>2754</v>
      </c>
      <c r="J4" s="51" t="s">
        <v>2755</v>
      </c>
      <c r="K4" s="51" t="s">
        <v>2756</v>
      </c>
      <c r="L4" s="51" t="s">
        <v>2757</v>
      </c>
      <c r="M4" s="33" t="s">
        <v>2569</v>
      </c>
      <c r="N4" s="33" t="s">
        <v>2758</v>
      </c>
      <c r="O4" s="9" t="s">
        <v>62</v>
      </c>
      <c r="Q4" s="6" t="s">
        <v>59</v>
      </c>
      <c r="R4" s="6" t="s">
        <v>59</v>
      </c>
      <c r="T4" s="33" t="b">
        <v>1</v>
      </c>
      <c r="U4" s="33" t="b">
        <v>0</v>
      </c>
      <c r="V4" s="51" t="s">
        <v>2759</v>
      </c>
      <c r="W4" s="9" t="s">
        <v>188</v>
      </c>
      <c r="X4" s="9" t="s">
        <v>189</v>
      </c>
      <c r="Y4" s="15" t="b">
        <v>0</v>
      </c>
      <c r="Z4" s="15" t="s">
        <v>63</v>
      </c>
      <c r="AA4" s="6" t="s">
        <v>63</v>
      </c>
      <c r="AB4" s="10" t="s">
        <v>63</v>
      </c>
      <c r="AC4" s="10" t="s">
        <v>63</v>
      </c>
      <c r="AD4" s="10" t="b">
        <v>0</v>
      </c>
      <c r="AE4" s="10" t="s">
        <v>63</v>
      </c>
      <c r="AF4" s="6" t="s">
        <v>63</v>
      </c>
      <c r="AG4" s="10" t="s">
        <v>63</v>
      </c>
      <c r="AH4" s="10" t="s">
        <v>63</v>
      </c>
      <c r="AI4" s="10" t="b">
        <v>0</v>
      </c>
      <c r="AJ4" s="10" t="s">
        <v>63</v>
      </c>
      <c r="AK4" s="6" t="s">
        <v>63</v>
      </c>
      <c r="AL4" s="10" t="s">
        <v>63</v>
      </c>
      <c r="AM4" s="10" t="s">
        <v>63</v>
      </c>
      <c r="AN4" s="33" t="b">
        <v>1</v>
      </c>
      <c r="AO4" s="33" t="b">
        <v>0</v>
      </c>
      <c r="AP4" s="51" t="s">
        <v>2760</v>
      </c>
      <c r="AQ4" s="33" t="s">
        <v>2761</v>
      </c>
      <c r="AR4" s="33" t="s">
        <v>86</v>
      </c>
    </row>
    <row r="5" ht="30.0" customHeight="1">
      <c r="A5" s="18" t="s">
        <v>894</v>
      </c>
      <c r="B5" s="6" t="s">
        <v>895</v>
      </c>
      <c r="C5" s="8" t="s">
        <v>2762</v>
      </c>
      <c r="D5" s="33" t="s">
        <v>2763</v>
      </c>
      <c r="E5" s="33" t="s">
        <v>2764</v>
      </c>
      <c r="F5" s="33" t="s">
        <v>2765</v>
      </c>
      <c r="G5" s="25" t="s">
        <v>2766</v>
      </c>
      <c r="H5" s="33" t="b">
        <v>1</v>
      </c>
      <c r="I5" s="51" t="s">
        <v>2767</v>
      </c>
      <c r="J5" s="51" t="s">
        <v>2768</v>
      </c>
      <c r="K5" s="51" t="s">
        <v>2769</v>
      </c>
      <c r="L5" s="51" t="s">
        <v>2770</v>
      </c>
      <c r="M5" s="33" t="s">
        <v>2319</v>
      </c>
      <c r="N5" s="33" t="s">
        <v>2771</v>
      </c>
      <c r="O5" s="9" t="s">
        <v>79</v>
      </c>
      <c r="Q5" s="9" t="s">
        <v>80</v>
      </c>
      <c r="R5" s="6" t="s">
        <v>133</v>
      </c>
      <c r="S5" s="33" t="b">
        <v>1</v>
      </c>
      <c r="T5" s="33" t="b">
        <v>1</v>
      </c>
      <c r="U5" s="33" t="b">
        <v>0</v>
      </c>
      <c r="V5" s="51" t="s">
        <v>2772</v>
      </c>
      <c r="W5" s="9" t="s">
        <v>2773</v>
      </c>
      <c r="X5" s="9" t="s">
        <v>79</v>
      </c>
      <c r="Y5" s="33" t="b">
        <v>1</v>
      </c>
      <c r="Z5" s="33" t="b">
        <v>1</v>
      </c>
      <c r="AA5" s="51" t="s">
        <v>2774</v>
      </c>
      <c r="AB5" s="25" t="s">
        <v>1993</v>
      </c>
      <c r="AC5" s="25" t="s">
        <v>79</v>
      </c>
      <c r="AD5" s="33" t="b">
        <v>1</v>
      </c>
      <c r="AE5" s="33" t="b">
        <v>0</v>
      </c>
      <c r="AF5" s="51" t="s">
        <v>2775</v>
      </c>
      <c r="AG5" s="33" t="s">
        <v>2771</v>
      </c>
      <c r="AH5" s="25" t="s">
        <v>79</v>
      </c>
      <c r="AI5" s="33" t="b">
        <v>1</v>
      </c>
      <c r="AJ5" s="33" t="b">
        <v>1</v>
      </c>
      <c r="AK5" s="51" t="s">
        <v>2774</v>
      </c>
      <c r="AL5" s="25" t="s">
        <v>1993</v>
      </c>
      <c r="AM5" s="25" t="s">
        <v>79</v>
      </c>
      <c r="AN5" s="33" t="b">
        <v>1</v>
      </c>
      <c r="AO5" s="33" t="b">
        <v>0</v>
      </c>
      <c r="AP5" s="51" t="s">
        <v>2776</v>
      </c>
      <c r="AQ5" s="33" t="s">
        <v>65</v>
      </c>
      <c r="AR5" s="33" t="s">
        <v>65</v>
      </c>
    </row>
    <row r="6" ht="30.0" customHeight="1">
      <c r="A6" s="7" t="s">
        <v>269</v>
      </c>
      <c r="B6" s="8" t="s">
        <v>270</v>
      </c>
      <c r="C6" s="8" t="s">
        <v>2777</v>
      </c>
      <c r="D6" s="33" t="s">
        <v>2778</v>
      </c>
      <c r="E6" s="33" t="s">
        <v>2779</v>
      </c>
      <c r="F6" s="33" t="s">
        <v>2780</v>
      </c>
      <c r="G6" s="33" t="s">
        <v>2781</v>
      </c>
      <c r="H6" s="33" t="b">
        <v>1</v>
      </c>
      <c r="I6" s="51" t="s">
        <v>2782</v>
      </c>
      <c r="J6" s="51" t="s">
        <v>2783</v>
      </c>
      <c r="K6" s="51" t="s">
        <v>2784</v>
      </c>
      <c r="L6" s="51" t="s">
        <v>2785</v>
      </c>
      <c r="M6" s="33" t="s">
        <v>1792</v>
      </c>
      <c r="N6" s="33" t="s">
        <v>2786</v>
      </c>
      <c r="O6" s="33" t="s">
        <v>62</v>
      </c>
      <c r="Q6" s="9" t="s">
        <v>80</v>
      </c>
      <c r="R6" s="6" t="s">
        <v>133</v>
      </c>
      <c r="T6" s="33" t="b">
        <v>0</v>
      </c>
      <c r="U6" s="33" t="b">
        <v>0</v>
      </c>
      <c r="V6" s="33" t="s">
        <v>63</v>
      </c>
      <c r="W6" s="6" t="s">
        <v>104</v>
      </c>
      <c r="X6" s="6" t="s">
        <v>63</v>
      </c>
      <c r="Y6" s="33" t="b">
        <v>0</v>
      </c>
      <c r="Z6" s="33" t="b">
        <v>0</v>
      </c>
      <c r="AA6" s="33" t="s">
        <v>63</v>
      </c>
      <c r="AB6" s="33" t="s">
        <v>104</v>
      </c>
      <c r="AC6" s="33" t="s">
        <v>63</v>
      </c>
      <c r="AD6" s="33" t="b">
        <v>1</v>
      </c>
      <c r="AE6" s="33" t="b">
        <v>0</v>
      </c>
      <c r="AF6" s="51" t="s">
        <v>2787</v>
      </c>
      <c r="AG6" s="33" t="s">
        <v>2788</v>
      </c>
      <c r="AH6" s="33" t="s">
        <v>469</v>
      </c>
      <c r="AI6" s="33" t="b">
        <v>0</v>
      </c>
      <c r="AJ6" s="33" t="b">
        <v>0</v>
      </c>
      <c r="AK6" s="33" t="s">
        <v>63</v>
      </c>
      <c r="AL6" s="33" t="s">
        <v>104</v>
      </c>
      <c r="AM6" s="33" t="s">
        <v>63</v>
      </c>
      <c r="AN6" s="33" t="b">
        <v>1</v>
      </c>
      <c r="AO6" s="33" t="b">
        <v>0</v>
      </c>
      <c r="AP6" s="51" t="s">
        <v>2789</v>
      </c>
      <c r="AQ6" s="6" t="s">
        <v>65</v>
      </c>
      <c r="AR6" s="6" t="s">
        <v>65</v>
      </c>
    </row>
    <row r="7" ht="30.0" customHeight="1">
      <c r="A7" s="18" t="s">
        <v>710</v>
      </c>
      <c r="B7" s="6" t="s">
        <v>711</v>
      </c>
      <c r="C7" s="8" t="s">
        <v>2790</v>
      </c>
      <c r="D7" s="33" t="s">
        <v>2791</v>
      </c>
      <c r="E7" s="33" t="s">
        <v>2792</v>
      </c>
      <c r="F7" s="33" t="s">
        <v>2793</v>
      </c>
      <c r="G7" s="33" t="s">
        <v>2794</v>
      </c>
      <c r="H7" s="33" t="b">
        <v>1</v>
      </c>
      <c r="I7" s="51" t="s">
        <v>2795</v>
      </c>
      <c r="J7" s="51" t="s">
        <v>2796</v>
      </c>
      <c r="K7" s="51" t="s">
        <v>2797</v>
      </c>
      <c r="L7" s="51" t="s">
        <v>2798</v>
      </c>
      <c r="M7" s="33" t="s">
        <v>2319</v>
      </c>
      <c r="N7" s="33" t="s">
        <v>103</v>
      </c>
      <c r="O7" s="33" t="s">
        <v>86</v>
      </c>
      <c r="Q7" s="9" t="s">
        <v>80</v>
      </c>
      <c r="R7" s="6" t="s">
        <v>133</v>
      </c>
      <c r="T7" s="33" t="b">
        <v>1</v>
      </c>
      <c r="U7" s="33" t="b">
        <v>1</v>
      </c>
      <c r="V7" s="33" t="s">
        <v>2799</v>
      </c>
      <c r="W7" s="14" t="s">
        <v>2800</v>
      </c>
      <c r="X7" s="9" t="s">
        <v>79</v>
      </c>
      <c r="Y7" s="33" t="b">
        <v>1</v>
      </c>
      <c r="Z7" s="33" t="b">
        <v>1</v>
      </c>
      <c r="AA7" s="51" t="s">
        <v>2801</v>
      </c>
      <c r="AB7" s="33" t="s">
        <v>135</v>
      </c>
      <c r="AC7" s="33" t="s">
        <v>79</v>
      </c>
      <c r="AD7" s="33" t="b">
        <v>1</v>
      </c>
      <c r="AE7" s="33" t="b">
        <v>1</v>
      </c>
      <c r="AF7" s="51" t="s">
        <v>2802</v>
      </c>
      <c r="AG7" s="33" t="s">
        <v>1993</v>
      </c>
      <c r="AH7" s="33" t="s">
        <v>79</v>
      </c>
      <c r="AI7" s="33" t="b">
        <v>1</v>
      </c>
      <c r="AJ7" s="33" t="b">
        <v>1</v>
      </c>
      <c r="AK7" s="51" t="s">
        <v>2801</v>
      </c>
      <c r="AL7" s="33" t="s">
        <v>1993</v>
      </c>
      <c r="AM7" s="33" t="s">
        <v>79</v>
      </c>
      <c r="AN7" s="33" t="b">
        <v>1</v>
      </c>
      <c r="AO7" s="33" t="b">
        <v>1</v>
      </c>
      <c r="AP7" s="51" t="s">
        <v>2803</v>
      </c>
      <c r="AQ7" s="33" t="s">
        <v>103</v>
      </c>
      <c r="AR7" s="33" t="s">
        <v>86</v>
      </c>
    </row>
    <row r="8" ht="30.0" customHeight="1">
      <c r="A8" s="18" t="s">
        <v>283</v>
      </c>
      <c r="B8" s="6" t="s">
        <v>284</v>
      </c>
      <c r="C8" s="6" t="s">
        <v>285</v>
      </c>
      <c r="D8" s="33" t="s">
        <v>286</v>
      </c>
      <c r="E8" s="33" t="s">
        <v>287</v>
      </c>
      <c r="F8" s="33" t="s">
        <v>288</v>
      </c>
      <c r="G8" s="33" t="s">
        <v>2804</v>
      </c>
      <c r="H8" s="33" t="b">
        <v>1</v>
      </c>
      <c r="I8" s="51" t="s">
        <v>2805</v>
      </c>
      <c r="J8" s="51" t="s">
        <v>2806</v>
      </c>
      <c r="K8" s="51" t="s">
        <v>2807</v>
      </c>
      <c r="L8" s="51" t="s">
        <v>2806</v>
      </c>
      <c r="M8" s="33" t="s">
        <v>2808</v>
      </c>
      <c r="N8" s="33" t="s">
        <v>2809</v>
      </c>
      <c r="O8" s="33" t="s">
        <v>170</v>
      </c>
      <c r="Q8" s="9" t="s">
        <v>80</v>
      </c>
      <c r="R8" s="6" t="s">
        <v>133</v>
      </c>
      <c r="T8" s="33" t="b">
        <v>0</v>
      </c>
      <c r="U8" s="33" t="b">
        <v>0</v>
      </c>
      <c r="V8" s="33" t="s">
        <v>63</v>
      </c>
      <c r="W8" s="6" t="s">
        <v>104</v>
      </c>
      <c r="X8" s="6" t="s">
        <v>63</v>
      </c>
      <c r="Y8" s="33" t="b">
        <v>1</v>
      </c>
      <c r="Z8" s="33" t="b">
        <v>0</v>
      </c>
      <c r="AA8" s="51" t="s">
        <v>2810</v>
      </c>
      <c r="AB8" s="33" t="s">
        <v>2811</v>
      </c>
      <c r="AC8" s="33" t="s">
        <v>189</v>
      </c>
      <c r="AD8" s="33" t="b">
        <v>1</v>
      </c>
      <c r="AE8" s="33" t="b">
        <v>0</v>
      </c>
      <c r="AF8" s="51" t="s">
        <v>2812</v>
      </c>
      <c r="AG8" s="33" t="s">
        <v>65</v>
      </c>
      <c r="AH8" s="33" t="s">
        <v>65</v>
      </c>
      <c r="AI8" s="33" t="b">
        <v>1</v>
      </c>
      <c r="AJ8" s="33" t="b">
        <v>0</v>
      </c>
      <c r="AK8" s="51" t="s">
        <v>2810</v>
      </c>
      <c r="AL8" s="33" t="s">
        <v>2811</v>
      </c>
      <c r="AM8" s="33" t="s">
        <v>189</v>
      </c>
      <c r="AN8" s="33" t="b">
        <v>1</v>
      </c>
      <c r="AO8" s="33" t="b">
        <v>0</v>
      </c>
      <c r="AP8" s="51" t="s">
        <v>2813</v>
      </c>
      <c r="AQ8" s="6" t="s">
        <v>65</v>
      </c>
      <c r="AR8" s="6" t="s">
        <v>65</v>
      </c>
    </row>
    <row r="9" ht="30.0" customHeight="1">
      <c r="A9" s="18" t="s">
        <v>547</v>
      </c>
      <c r="B9" s="6" t="s">
        <v>548</v>
      </c>
      <c r="C9" s="25" t="s">
        <v>2814</v>
      </c>
      <c r="D9" s="33" t="s">
        <v>2815</v>
      </c>
      <c r="E9" s="33" t="s">
        <v>2816</v>
      </c>
      <c r="F9" s="33" t="s">
        <v>2817</v>
      </c>
      <c r="G9" s="33" t="s">
        <v>2818</v>
      </c>
      <c r="H9" s="33" t="b">
        <v>1</v>
      </c>
      <c r="I9" s="51" t="s">
        <v>2819</v>
      </c>
      <c r="J9" s="51" t="s">
        <v>2820</v>
      </c>
      <c r="K9" s="51" t="s">
        <v>2821</v>
      </c>
      <c r="L9" s="51" t="s">
        <v>2822</v>
      </c>
      <c r="M9" s="33" t="s">
        <v>1792</v>
      </c>
      <c r="N9" s="33" t="s">
        <v>2823</v>
      </c>
      <c r="O9" s="33" t="s">
        <v>79</v>
      </c>
      <c r="Q9" s="9" t="s">
        <v>80</v>
      </c>
      <c r="R9" s="6" t="s">
        <v>133</v>
      </c>
      <c r="T9" s="33" t="b">
        <v>0</v>
      </c>
      <c r="U9" s="33" t="b">
        <v>0</v>
      </c>
      <c r="V9" s="33" t="s">
        <v>63</v>
      </c>
      <c r="W9" s="6" t="s">
        <v>104</v>
      </c>
      <c r="X9" s="6" t="s">
        <v>63</v>
      </c>
      <c r="Y9" s="25" t="b">
        <v>1</v>
      </c>
      <c r="Z9" s="33" t="b">
        <v>0</v>
      </c>
      <c r="AA9" s="51" t="s">
        <v>2824</v>
      </c>
      <c r="AB9" s="33" t="s">
        <v>65</v>
      </c>
      <c r="AC9" s="33" t="s">
        <v>65</v>
      </c>
      <c r="AD9" s="33" t="b">
        <v>1</v>
      </c>
      <c r="AE9" s="33" t="b">
        <v>0</v>
      </c>
      <c r="AF9" s="51" t="s">
        <v>2825</v>
      </c>
      <c r="AG9" s="33" t="s">
        <v>2826</v>
      </c>
      <c r="AH9" s="33" t="s">
        <v>469</v>
      </c>
      <c r="AI9" s="25" t="b">
        <v>1</v>
      </c>
      <c r="AJ9" s="33" t="b">
        <v>0</v>
      </c>
      <c r="AK9" s="51" t="s">
        <v>2827</v>
      </c>
      <c r="AL9" s="33" t="s">
        <v>65</v>
      </c>
      <c r="AM9" s="33" t="s">
        <v>65</v>
      </c>
      <c r="AN9" s="33" t="b">
        <v>1</v>
      </c>
      <c r="AO9" s="33" t="b">
        <v>0</v>
      </c>
      <c r="AP9" s="51" t="s">
        <v>2828</v>
      </c>
      <c r="AQ9" s="6" t="s">
        <v>65</v>
      </c>
      <c r="AR9" s="6" t="s">
        <v>65</v>
      </c>
    </row>
    <row r="10" ht="30.0" customHeight="1">
      <c r="A10" s="18" t="s">
        <v>1495</v>
      </c>
      <c r="B10" s="6" t="s">
        <v>1496</v>
      </c>
      <c r="C10" s="33" t="s">
        <v>2829</v>
      </c>
      <c r="D10" s="33" t="s">
        <v>2830</v>
      </c>
      <c r="E10" s="33" t="s">
        <v>2831</v>
      </c>
      <c r="F10" s="33" t="s">
        <v>2832</v>
      </c>
      <c r="G10" s="33" t="s">
        <v>180</v>
      </c>
      <c r="H10" s="33" t="b">
        <v>1</v>
      </c>
      <c r="I10" s="51" t="s">
        <v>2833</v>
      </c>
      <c r="J10" s="51" t="s">
        <v>2834</v>
      </c>
      <c r="K10" s="51" t="s">
        <v>2835</v>
      </c>
      <c r="L10" s="51" t="s">
        <v>2836</v>
      </c>
      <c r="M10" s="33" t="s">
        <v>2837</v>
      </c>
      <c r="N10" s="33" t="s">
        <v>2838</v>
      </c>
      <c r="O10" s="33" t="s">
        <v>469</v>
      </c>
      <c r="Q10" s="25" t="s">
        <v>59</v>
      </c>
      <c r="R10" s="33" t="s">
        <v>59</v>
      </c>
      <c r="S10" s="33" t="b">
        <v>1</v>
      </c>
      <c r="T10" s="33" t="b">
        <v>1</v>
      </c>
      <c r="U10" s="33" t="b">
        <v>0</v>
      </c>
      <c r="V10" s="51" t="s">
        <v>2839</v>
      </c>
      <c r="W10" s="25" t="s">
        <v>2840</v>
      </c>
      <c r="X10" s="25" t="s">
        <v>62</v>
      </c>
      <c r="Y10" s="15" t="b">
        <v>0</v>
      </c>
      <c r="Z10" s="15" t="s">
        <v>63</v>
      </c>
      <c r="AA10" s="6" t="s">
        <v>63</v>
      </c>
      <c r="AB10" s="10" t="s">
        <v>63</v>
      </c>
      <c r="AC10" s="10" t="s">
        <v>63</v>
      </c>
      <c r="AD10" s="10" t="b">
        <v>0</v>
      </c>
      <c r="AE10" s="10" t="s">
        <v>63</v>
      </c>
      <c r="AF10" s="6" t="s">
        <v>63</v>
      </c>
      <c r="AG10" s="10" t="s">
        <v>63</v>
      </c>
      <c r="AH10" s="10" t="s">
        <v>63</v>
      </c>
      <c r="AI10" s="10" t="b">
        <v>0</v>
      </c>
      <c r="AJ10" s="10" t="s">
        <v>63</v>
      </c>
      <c r="AK10" s="6" t="s">
        <v>63</v>
      </c>
      <c r="AL10" s="10" t="s">
        <v>63</v>
      </c>
      <c r="AM10" s="10" t="s">
        <v>63</v>
      </c>
      <c r="AN10" s="33" t="b">
        <v>1</v>
      </c>
      <c r="AO10" s="33" t="b">
        <v>0</v>
      </c>
      <c r="AP10" s="51" t="s">
        <v>2841</v>
      </c>
      <c r="AQ10" s="33" t="s">
        <v>1991</v>
      </c>
      <c r="AR10" s="33" t="s">
        <v>79</v>
      </c>
    </row>
    <row r="11" ht="30.0" customHeight="1">
      <c r="A11" s="18" t="s">
        <v>1111</v>
      </c>
      <c r="B11" s="6" t="s">
        <v>1112</v>
      </c>
      <c r="C11" s="6" t="s">
        <v>1113</v>
      </c>
      <c r="D11" s="33" t="s">
        <v>1114</v>
      </c>
      <c r="E11" s="33" t="s">
        <v>1115</v>
      </c>
      <c r="F11" s="33" t="s">
        <v>1116</v>
      </c>
      <c r="G11" s="33" t="s">
        <v>2842</v>
      </c>
      <c r="H11" s="33" t="b">
        <v>1</v>
      </c>
      <c r="I11" s="51" t="s">
        <v>2843</v>
      </c>
      <c r="J11" s="51" t="s">
        <v>2844</v>
      </c>
      <c r="K11" s="51" t="s">
        <v>2845</v>
      </c>
      <c r="L11" s="51" t="s">
        <v>2843</v>
      </c>
      <c r="M11" s="33" t="s">
        <v>2846</v>
      </c>
      <c r="N11" s="6" t="s">
        <v>57</v>
      </c>
      <c r="O11" s="6" t="s">
        <v>58</v>
      </c>
      <c r="Q11" s="33" t="s">
        <v>80</v>
      </c>
      <c r="R11" s="33" t="s">
        <v>133</v>
      </c>
      <c r="T11" s="33" t="b">
        <v>1</v>
      </c>
      <c r="U11" s="33" t="b">
        <v>0</v>
      </c>
      <c r="V11" s="51" t="s">
        <v>2847</v>
      </c>
      <c r="W11" s="33" t="s">
        <v>65</v>
      </c>
      <c r="X11" s="33" t="s">
        <v>65</v>
      </c>
      <c r="Y11" s="15" t="b">
        <v>0</v>
      </c>
      <c r="Z11" s="15" t="s">
        <v>63</v>
      </c>
      <c r="AA11" s="6" t="s">
        <v>63</v>
      </c>
      <c r="AB11" s="10" t="s">
        <v>63</v>
      </c>
      <c r="AC11" s="10" t="s">
        <v>63</v>
      </c>
      <c r="AD11" s="33" t="b">
        <v>1</v>
      </c>
      <c r="AE11" s="33" t="b">
        <v>0</v>
      </c>
      <c r="AF11" s="14" t="s">
        <v>2848</v>
      </c>
      <c r="AG11" s="12" t="s">
        <v>65</v>
      </c>
      <c r="AH11" s="12" t="s">
        <v>65</v>
      </c>
      <c r="AI11" s="33" t="b">
        <v>1</v>
      </c>
      <c r="AJ11" s="33" t="b">
        <v>1</v>
      </c>
      <c r="AK11" s="51" t="s">
        <v>2849</v>
      </c>
      <c r="AL11" s="33" t="s">
        <v>2850</v>
      </c>
      <c r="AM11" s="33" t="s">
        <v>79</v>
      </c>
      <c r="AN11" s="33" t="b">
        <v>1</v>
      </c>
      <c r="AO11" s="33" t="b">
        <v>0</v>
      </c>
      <c r="AP11" s="51" t="s">
        <v>2851</v>
      </c>
      <c r="AQ11" s="33" t="s">
        <v>65</v>
      </c>
      <c r="AR11" s="33" t="s">
        <v>65</v>
      </c>
    </row>
    <row r="12" ht="30.0" customHeight="1"/>
    <row r="13" ht="30.0" customHeight="1"/>
    <row r="14" ht="30.0" customHeight="1">
      <c r="A14" s="6"/>
      <c r="B14" s="61" t="s">
        <v>2852</v>
      </c>
      <c r="C14" s="6" t="s">
        <v>2853</v>
      </c>
      <c r="D14" s="62" t="s">
        <v>2854</v>
      </c>
    </row>
    <row r="15" ht="30.0" customHeight="1">
      <c r="A15" s="61" t="s">
        <v>2855</v>
      </c>
      <c r="B15" s="63">
        <f>countif(T2:T11,TRUE)</f>
        <v>6</v>
      </c>
      <c r="C15" s="64">
        <v>10.0</v>
      </c>
      <c r="D15" s="65">
        <f t="shared" ref="D15:D19" si="1">B15/C15</f>
        <v>0.6</v>
      </c>
    </row>
    <row r="16" ht="30.0" customHeight="1">
      <c r="A16" s="61" t="s">
        <v>2856</v>
      </c>
      <c r="B16" s="63">
        <f>countif(Y2:Y11,TRUE)</f>
        <v>6</v>
      </c>
      <c r="C16" s="64">
        <v>10.0</v>
      </c>
      <c r="D16" s="65">
        <f t="shared" si="1"/>
        <v>0.6</v>
      </c>
    </row>
    <row r="17" ht="30.0" customHeight="1">
      <c r="A17" s="61" t="s">
        <v>2857</v>
      </c>
      <c r="B17" s="63">
        <f>countif(AD2:AD11,TRUE)</f>
        <v>8</v>
      </c>
      <c r="C17" s="64">
        <v>10.0</v>
      </c>
      <c r="D17" s="65">
        <f t="shared" si="1"/>
        <v>0.8</v>
      </c>
    </row>
    <row r="18" ht="30.0" customHeight="1">
      <c r="A18" s="61" t="s">
        <v>2858</v>
      </c>
      <c r="B18" s="63">
        <f>countif(AI2:AI11,TRUE)</f>
        <v>7</v>
      </c>
      <c r="C18" s="64">
        <v>10.0</v>
      </c>
      <c r="D18" s="65">
        <f t="shared" si="1"/>
        <v>0.7</v>
      </c>
    </row>
    <row r="19" ht="30.0" customHeight="1">
      <c r="A19" s="61" t="s">
        <v>2859</v>
      </c>
      <c r="B19" s="63">
        <f>countif(AN2:AN11,TRUE)</f>
        <v>10</v>
      </c>
      <c r="C19" s="64">
        <v>10.0</v>
      </c>
      <c r="D19" s="65">
        <f t="shared" si="1"/>
        <v>1</v>
      </c>
    </row>
    <row r="20" ht="30.0" customHeight="1">
      <c r="A20" s="6"/>
      <c r="B20" s="6"/>
      <c r="C20" s="6"/>
      <c r="D20" s="6"/>
    </row>
    <row r="21" ht="30.0" customHeight="1">
      <c r="A21" s="6"/>
      <c r="B21" s="6" t="s">
        <v>2860</v>
      </c>
      <c r="C21" s="6" t="s">
        <v>2861</v>
      </c>
      <c r="D21" s="62" t="s">
        <v>2862</v>
      </c>
    </row>
    <row r="22" ht="30.0" customHeight="1">
      <c r="A22" s="61" t="s">
        <v>2855</v>
      </c>
      <c r="B22" s="63">
        <f>countifs(H2:H11,"TRUE",T2:T11,"TRUE",X2:X11,"still conflict")</f>
        <v>1</v>
      </c>
      <c r="C22" s="59">
        <f>countifs(T2:T11,"TRUE",X2:X11,"still conflict")</f>
        <v>1</v>
      </c>
      <c r="D22" s="65">
        <f t="shared" ref="D22:D26" si="2">B22/C22</f>
        <v>1</v>
      </c>
    </row>
    <row r="23" ht="30.0" customHeight="1">
      <c r="A23" s="61" t="s">
        <v>2856</v>
      </c>
      <c r="B23" s="63">
        <f>countifs(H2:H11,"TRUE",Y2:Y11,"TRUE",AC2:AC11,"still conflict")</f>
        <v>2</v>
      </c>
      <c r="C23" s="59">
        <f>countifs(Y2:Y11,"TRUE",AC2:AC11,"still conflict")</f>
        <v>2</v>
      </c>
      <c r="D23" s="65">
        <f t="shared" si="2"/>
        <v>1</v>
      </c>
    </row>
    <row r="24" ht="30.0" customHeight="1">
      <c r="A24" s="61" t="s">
        <v>2857</v>
      </c>
      <c r="B24" s="63">
        <f>countifs(H2:H11,"TRUE",AD2:AD11,"TRUE",AH2:AH11,"still conflict")</f>
        <v>2</v>
      </c>
      <c r="C24" s="59">
        <f>countifs(AD2:AD11,"TRUE",AH2:AH11,"still conflict")</f>
        <v>2</v>
      </c>
      <c r="D24" s="65">
        <f t="shared" si="2"/>
        <v>1</v>
      </c>
    </row>
    <row r="25" ht="30.0" customHeight="1">
      <c r="A25" s="61" t="s">
        <v>2858</v>
      </c>
      <c r="B25" s="63">
        <f>countifs(H2:H11,"TRUE",AI2:AI11,"TRUE",AM2:AM11,"still conflict")</f>
        <v>2</v>
      </c>
      <c r="C25" s="59">
        <f>countifs(AI2:AI11,"TRUE",AM2:AM11,"still conflict")</f>
        <v>2</v>
      </c>
      <c r="D25" s="65">
        <f t="shared" si="2"/>
        <v>1</v>
      </c>
    </row>
    <row r="26" ht="30.0" customHeight="1">
      <c r="A26" s="61" t="s">
        <v>2859</v>
      </c>
      <c r="B26" s="63">
        <f>countifs(H2:H11,"TRUE",AN2:AN11,"TRUE",AR2:AR11,"still conflict")</f>
        <v>6</v>
      </c>
      <c r="C26" s="59">
        <f>countifs(AN2:AN11,"TRUE",AR2:AR11,"still conflict")</f>
        <v>6</v>
      </c>
      <c r="D26" s="65">
        <f t="shared" si="2"/>
        <v>1</v>
      </c>
    </row>
    <row r="27" ht="30.0" customHeight="1">
      <c r="A27" s="6"/>
      <c r="B27" s="6"/>
      <c r="C27" s="6"/>
      <c r="D27" s="6"/>
    </row>
    <row r="28" ht="30.0" customHeight="1">
      <c r="A28" s="6"/>
      <c r="B28" s="61" t="s">
        <v>2863</v>
      </c>
      <c r="C28" s="66" t="s">
        <v>2864</v>
      </c>
      <c r="D28" s="62" t="s">
        <v>2865</v>
      </c>
    </row>
    <row r="29" ht="30.0" customHeight="1">
      <c r="A29" s="61" t="s">
        <v>2855</v>
      </c>
      <c r="B29" s="63">
        <f>countifs(T2:T11,"TRUE",U2:U11,"TRUE")</f>
        <v>1</v>
      </c>
      <c r="C29" s="63">
        <f>countifs(T2:T11,"TRUE",X2:X11,"&lt;&gt;N/A",X2:X11,"&lt;&gt;still conflict")</f>
        <v>5</v>
      </c>
      <c r="D29" s="65">
        <f t="shared" ref="D29:D33" si="3">B29/C29</f>
        <v>0.2</v>
      </c>
    </row>
    <row r="30" ht="30.0" customHeight="1">
      <c r="A30" s="61" t="s">
        <v>2856</v>
      </c>
      <c r="B30" s="63">
        <f>countifs(Y2:Y11,"TRUE",Z2:Z11,"TRUE")</f>
        <v>2</v>
      </c>
      <c r="C30" s="63">
        <f>countifs(Y2:Y11,"TRUE",AC2:AC11,"&lt;&gt;N/A",AC2:AC11,"&lt;&gt;still conflict")</f>
        <v>4</v>
      </c>
      <c r="D30" s="65">
        <f t="shared" si="3"/>
        <v>0.5</v>
      </c>
    </row>
    <row r="31" ht="30.0" customHeight="1">
      <c r="A31" s="61" t="s">
        <v>2857</v>
      </c>
      <c r="B31" s="63">
        <f>countifs(AD2:AD11,"TRUE",AE2:AE11,"TRUE")</f>
        <v>2</v>
      </c>
      <c r="C31" s="63">
        <f>countifs(AD2:AD11,"TRUE",AH2:AH11,"&lt;&gt;N/A",AH2:AH11,"&lt;&gt;still conflict")</f>
        <v>6</v>
      </c>
      <c r="D31" s="65">
        <f t="shared" si="3"/>
        <v>0.3333333333</v>
      </c>
    </row>
    <row r="32" ht="30.0" customHeight="1">
      <c r="A32" s="61" t="s">
        <v>2858</v>
      </c>
      <c r="B32" s="63">
        <f>countifs(AI2:AI11,"TRUE",AJ2:AJ11,"TRUE")</f>
        <v>3</v>
      </c>
      <c r="C32" s="63">
        <f>countifs(AI2:AI11,"TRUE",AM2:AM11,"&lt;&gt;N/A",AM2:AM11,"&lt;&gt;still conflict")</f>
        <v>5</v>
      </c>
      <c r="D32" s="65">
        <f t="shared" si="3"/>
        <v>0.6</v>
      </c>
    </row>
    <row r="33" ht="30.0" customHeight="1">
      <c r="A33" s="61" t="s">
        <v>2859</v>
      </c>
      <c r="B33" s="63">
        <f>countifs(AN2:AN11,"TRUE",AO2:AO11,"TRUE")</f>
        <v>1</v>
      </c>
      <c r="C33" s="63">
        <f>countifs(AN2:AN11,"TRUE",AR2:AR11,"&lt;&gt;N/A",AR2:AR11,"&lt;&gt;still conflict")</f>
        <v>4</v>
      </c>
      <c r="D33" s="65">
        <f t="shared" si="3"/>
        <v>0.25</v>
      </c>
    </row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67" t="s">
        <v>2866</v>
      </c>
      <c r="B1" s="61" t="s">
        <v>2867</v>
      </c>
      <c r="C1" s="66" t="s">
        <v>2142</v>
      </c>
      <c r="D1" s="61" t="s">
        <v>2868</v>
      </c>
      <c r="E1" s="66" t="s">
        <v>2869</v>
      </c>
      <c r="F1" s="61" t="s">
        <v>2870</v>
      </c>
      <c r="G1" s="61" t="s">
        <v>2871</v>
      </c>
      <c r="H1" s="61" t="s">
        <v>1931</v>
      </c>
      <c r="I1" s="66" t="s">
        <v>2872</v>
      </c>
      <c r="J1" s="66" t="s">
        <v>2873</v>
      </c>
      <c r="K1" s="66" t="s">
        <v>2874</v>
      </c>
      <c r="L1" s="66" t="s">
        <v>2875</v>
      </c>
      <c r="M1" s="66" t="s">
        <v>2876</v>
      </c>
      <c r="N1" s="66" t="s">
        <v>2877</v>
      </c>
      <c r="O1" s="66" t="s">
        <v>2878</v>
      </c>
      <c r="P1" s="66" t="s">
        <v>2879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>
      <c r="A2" s="68" t="s">
        <v>2880</v>
      </c>
      <c r="B2" s="66"/>
      <c r="C2" s="66" t="s">
        <v>2881</v>
      </c>
      <c r="D2" s="66" t="s">
        <v>2882</v>
      </c>
      <c r="E2" s="69" t="s">
        <v>2883</v>
      </c>
      <c r="F2" s="69" t="s">
        <v>2884</v>
      </c>
      <c r="G2" s="70" t="s">
        <v>2885</v>
      </c>
      <c r="H2" s="69" t="s">
        <v>2886</v>
      </c>
      <c r="I2" s="69" t="s">
        <v>2887</v>
      </c>
      <c r="J2" s="69" t="s">
        <v>2888</v>
      </c>
      <c r="K2" s="69" t="s">
        <v>2889</v>
      </c>
      <c r="L2" s="69" t="s">
        <v>2890</v>
      </c>
      <c r="M2" s="69" t="s">
        <v>2891</v>
      </c>
      <c r="N2" s="69" t="s">
        <v>2892</v>
      </c>
      <c r="O2" s="69" t="s">
        <v>2893</v>
      </c>
      <c r="P2" s="69" t="s">
        <v>2894</v>
      </c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>
      <c r="A3" s="7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>
      <c r="A4" s="68" t="s">
        <v>2895</v>
      </c>
      <c r="B4" s="37">
        <f>countifs(Paper_Textual_Conflict!H2:H181,FALSE,Conflict_Type!H2:H181,TRUE)</f>
        <v>0</v>
      </c>
      <c r="C4" s="63">
        <f>countifs(Paper_Textual_Conflict!H2:H181,FALSE,Conflict_Type!I2:I181,TRUE)</f>
        <v>7</v>
      </c>
      <c r="D4" s="63">
        <f>countifs(Paper_Textual_Conflict!H2:H181,FALSE,Conflict_Type!J2:J181,TRUE)</f>
        <v>8</v>
      </c>
      <c r="E4" s="64">
        <f>countifs(Paper_Textual_Conflict!H2:H181,FALSE,Conflict_Type!K2:K181,TRUE)</f>
        <v>5</v>
      </c>
      <c r="F4" s="63">
        <f>countifs(Paper_Textual_Conflict!H2:H181,FALSE,Conflict_Type!L2:L181,TRUE)</f>
        <v>1</v>
      </c>
      <c r="G4" s="63">
        <f>countifs(Paper_Textual_Conflict!H2:H181,FALSE,Conflict_Type!M2:M181,TRUE)</f>
        <v>1</v>
      </c>
      <c r="H4" s="63">
        <f>countifs(Paper_Textual_Conflict!H2:H181,FALSE,Conflict_Type!O2:O181,TRUE)</f>
        <v>2</v>
      </c>
      <c r="I4" s="64">
        <f>countifs(Paper_Textual_Conflict!H2:H181,FALSE,Conflict_Type!Q2:Q181,TRUE)</f>
        <v>6</v>
      </c>
      <c r="J4" s="64">
        <f>countifs(Paper_Textual_Conflict!H2:H181,FALSE,Conflict_Type!R2:R181,TRUE)</f>
        <v>1</v>
      </c>
      <c r="K4" s="63">
        <f>countifs(Paper_Textual_Conflict!H2:H181,FALSE,Conflict_Type!S2:S181,TRUE)</f>
        <v>3</v>
      </c>
      <c r="L4" s="64">
        <f>countifs(Paper_Textual_Conflict!H2:H181,FALSE,Conflict_Type!T2:T181,TRUE)</f>
        <v>2</v>
      </c>
      <c r="M4" s="63">
        <f>countifs(Paper_Textual_Conflict!H2:H181,FALSE,Conflict_Type!U2:U181,TRUE)</f>
        <v>1</v>
      </c>
      <c r="N4" s="63">
        <f>countifs(Paper_Textual_Conflict!H2:H181,FALSE,Conflict_Type!W2:W181,TRUE)</f>
        <v>3</v>
      </c>
      <c r="O4" s="63">
        <f>countifs(Paper_Textual_Conflict!H2:H181,FALSE,Conflict_Type!Z2:Z181,TRUE)</f>
        <v>1</v>
      </c>
      <c r="P4" s="64">
        <f>countifs(Paper_Textual_Conflict!H2:H181,FALSE,Conflict_Type!AC2:AC181,TRUE)</f>
        <v>3</v>
      </c>
      <c r="Q4" s="63">
        <f t="shared" ref="Q4:Q6" si="1">sum(B4:P4)</f>
        <v>44</v>
      </c>
      <c r="R4" s="61"/>
      <c r="S4" s="61"/>
      <c r="T4" s="61"/>
      <c r="U4" s="61"/>
      <c r="V4" s="61"/>
      <c r="W4" s="61"/>
      <c r="X4" s="61"/>
      <c r="Y4" s="61"/>
      <c r="Z4" s="61"/>
      <c r="AA4" s="61"/>
    </row>
    <row r="5">
      <c r="A5" s="71" t="s">
        <v>80</v>
      </c>
      <c r="B5" s="37">
        <f>countifs(Paper_Textual_Conflict!H2:H181,FALSE,Paper_Textual_Conflict!Q2:Q181,"Java",Conflict_Type!H2:H181,TRUE)</f>
        <v>0</v>
      </c>
      <c r="C5" s="63">
        <f>countifs(Paper_Textual_Conflict!H2:H181,FALSE,Paper_Textual_Conflict!Q2:Q181,"Java",Conflict_Type!I2:I181,TRUE)</f>
        <v>7</v>
      </c>
      <c r="D5" s="63">
        <f>countifs(Paper_Textual_Conflict!H2:H181,FALSE,Paper_Textual_Conflict!Q2:Q181,"Java",Conflict_Type!J2:J181,TRUE)</f>
        <v>7</v>
      </c>
      <c r="E5" s="64">
        <f>countifs(Paper_Textual_Conflict!H2:H181,FALSE,Paper_Textual_Conflict!Q2:Q181,"Java",Conflict_Type!K2:K181,TRUE)</f>
        <v>4</v>
      </c>
      <c r="F5" s="63">
        <f>countifs(Paper_Textual_Conflict!H2:H181,FALSE,Paper_Textual_Conflict!Q2:Q181,"Java",Conflict_Type!L2:L181,TRUE)</f>
        <v>1</v>
      </c>
      <c r="G5" s="63">
        <f>countifs(Paper_Textual_Conflict!H2:H181,FALSE,Paper_Textual_Conflict!Q2:Q181,"Java",Conflict_Type!M2:M181,TRUE)</f>
        <v>1</v>
      </c>
      <c r="H5" s="63">
        <f>countifs(Paper_Textual_Conflict!H2:H181,FALSE,Paper_Textual_Conflict!Q2:Q181,"Java",Conflict_Type!O2:O181,TRUE)</f>
        <v>1</v>
      </c>
      <c r="I5" s="63">
        <f>countifs(Paper_Textual_Conflict!H2:H181,FALSE,Paper_Textual_Conflict!Q2:Q181,"Java",Conflict_Type!Q2:Q181,TRUE)</f>
        <v>2</v>
      </c>
      <c r="J5" s="64">
        <f>countifs(Paper_Textual_Conflict!H2:H181,FALSE,Paper_Textual_Conflict!Q2:Q181,"Java",Conflict_Type!R2:R181,TRUE)</f>
        <v>0</v>
      </c>
      <c r="K5" s="63">
        <f>countifs(Paper_Textual_Conflict!H2:H181,FALSE,Paper_Textual_Conflict!Q2:Q181,"Java",Conflict_Type!S2:S181,TRUE)</f>
        <v>3</v>
      </c>
      <c r="L5" s="66">
        <f>countifs(Paper_Textual_Conflict!H2:H181,FALSE,Paper_Textual_Conflict!Q2:Q181,"Java",Conflict_Type!T2:T181,TRUE)</f>
        <v>0</v>
      </c>
      <c r="M5" s="66">
        <f>countifs(Paper_Textual_Conflict!H2:H181,FALSE,Paper_Textual_Conflict!Q2:Q181,"Java",Conflict_Type!U2:U181,TRUE)</f>
        <v>0</v>
      </c>
      <c r="N5" s="63">
        <f>countifs(Paper_Textual_Conflict!H2:H181,FALSE,Paper_Textual_Conflict!Q2:Q181,"Java",Conflict_Type!W2:W181,TRUE)</f>
        <v>2</v>
      </c>
      <c r="O5" s="66">
        <f>countifs(Paper_Textual_Conflict!H2:H181,FALSE,Paper_Textual_Conflict!Q2:Q181,"Java",Conflict_Type!Z2:Z181,TRUE)</f>
        <v>0</v>
      </c>
      <c r="P5" s="64">
        <f>countifs(Paper_Textual_Conflict!H2:H181,FALSE,Paper_Textual_Conflict!Q2:Q181,"Java",Conflict_Type!AC2:AC181,TRUE)</f>
        <v>1</v>
      </c>
      <c r="Q5" s="63">
        <f t="shared" si="1"/>
        <v>29</v>
      </c>
      <c r="R5" s="61"/>
      <c r="S5" s="61"/>
      <c r="T5" s="61"/>
      <c r="U5" s="61"/>
      <c r="V5" s="61"/>
      <c r="W5" s="61"/>
      <c r="X5" s="61"/>
      <c r="Y5" s="61"/>
      <c r="Z5" s="61"/>
      <c r="AA5" s="61"/>
    </row>
    <row r="6">
      <c r="A6" s="68" t="s">
        <v>59</v>
      </c>
      <c r="B6" s="37">
        <f>countifs(Paper_Textual_Conflict!H2:H181,FALSE,Paper_Textual_Conflict!Q2:Q181,"Non-Java",Conflict_Type!H2:H181,TRUE)</f>
        <v>0</v>
      </c>
      <c r="C6" s="66">
        <f>countifs(Paper_Textual_Conflict!H2:H181,FALSE,Paper_Textual_Conflict!Q2:Q181,"Non-Java",Conflict_Type!I2:I181,TRUE)</f>
        <v>0</v>
      </c>
      <c r="D6" s="63">
        <f>countifs(Paper_Textual_Conflict!H2:H181,FALSE,Paper_Textual_Conflict!Q2:Q181,"Non-Java",Conflict_Type!J2:J181,TRUE)</f>
        <v>1</v>
      </c>
      <c r="E6" s="63">
        <f>countifs(Paper_Textual_Conflict!H2:H181,FALSE,Paper_Textual_Conflict!Q2:Q181,"Non-Java",Conflict_Type!K2:K181,TRUE)</f>
        <v>1</v>
      </c>
      <c r="F6" s="66">
        <f>countifs(Paper_Textual_Conflict!H2:H181,FALSE,Paper_Textual_Conflict!Q2:Q181,"Non-Java",Conflict_Type!L2:L181,TRUE)</f>
        <v>0</v>
      </c>
      <c r="G6" s="66">
        <f>countifs(Paper_Textual_Conflict!H2:H181,FALSE,Paper_Textual_Conflict!Q2:Q181,"Non-Java",Conflict_Type!M2:M181,TRUE)</f>
        <v>0</v>
      </c>
      <c r="H6" s="63">
        <f>countifs(Paper_Textual_Conflict!H2:H181,FALSE,Paper_Textual_Conflict!Q2:Q181,"Non-Java",Conflict_Type!O2:O181,TRUE)</f>
        <v>1</v>
      </c>
      <c r="I6" s="64">
        <f>countifs(Paper_Textual_Conflict!H2:H181,FALSE,Paper_Textual_Conflict!Q2:Q181,"Non-Java",Conflict_Type!Q2:Q181,TRUE)</f>
        <v>4</v>
      </c>
      <c r="J6" s="64">
        <f>countifs(Paper_Textual_Conflict!H2:H181,FALSE,Paper_Textual_Conflict!Q2:Q181,"Non-Java",Conflict_Type!R2:R181,TRUE)</f>
        <v>1</v>
      </c>
      <c r="K6" s="66">
        <f>countifs(Paper_Textual_Conflict!H2:H181,FALSE,Paper_Textual_Conflict!Q2:Q181,"Non-Java",Conflict_Type!S2:S181,TRUE)</f>
        <v>0</v>
      </c>
      <c r="L6" s="64">
        <f>countifs(Paper_Textual_Conflict!H2:H181,FALSE,Paper_Textual_Conflict!Q2:Q181,"Non-Java",Conflict_Type!T2:T181,TRUE)</f>
        <v>2</v>
      </c>
      <c r="M6" s="63">
        <f>countifs(Paper_Textual_Conflict!H2:H181,FALSE,Paper_Textual_Conflict!Q2:Q181,"Non-Java",Conflict_Type!U2:U181,TRUE)</f>
        <v>1</v>
      </c>
      <c r="N6" s="63">
        <f>countifs(Paper_Textual_Conflict!H2:H181,FALSE,Paper_Textual_Conflict!Q2:Q181,"Non-Java",Conflict_Type!W2:W181,TRUE)</f>
        <v>1</v>
      </c>
      <c r="O6" s="63">
        <f>countifs(Paper_Textual_Conflict!H2:H181,FALSE,Paper_Textual_Conflict!Q2:Q181,"Non-Java",Conflict_Type!Z2:Z181,TRUE)</f>
        <v>1</v>
      </c>
      <c r="P6" s="64">
        <f>countifs(Paper_Textual_Conflict!H2:H181,FALSE,Paper_Textual_Conflict!Q2:Q181,"Non-Java",Conflict_Type!AC2:AC181,TRUE)</f>
        <v>2</v>
      </c>
      <c r="Q6" s="63">
        <f t="shared" si="1"/>
        <v>15</v>
      </c>
      <c r="R6" s="61"/>
      <c r="S6" s="61"/>
      <c r="T6" s="61"/>
      <c r="U6" s="61"/>
      <c r="V6" s="61"/>
      <c r="W6" s="61"/>
      <c r="X6" s="61"/>
      <c r="Y6" s="61"/>
      <c r="Z6" s="61"/>
      <c r="AA6" s="61"/>
    </row>
    <row r="7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>
      <c r="A9" s="67" t="s">
        <v>2896</v>
      </c>
      <c r="B9" s="66" t="s">
        <v>2897</v>
      </c>
      <c r="C9" s="66" t="s">
        <v>2898</v>
      </c>
      <c r="D9" s="61" t="s">
        <v>2899</v>
      </c>
      <c r="E9" s="66" t="s">
        <v>2900</v>
      </c>
      <c r="F9" s="61" t="s">
        <v>891</v>
      </c>
      <c r="G9" s="66" t="s">
        <v>2901</v>
      </c>
      <c r="H9" s="66" t="s">
        <v>2902</v>
      </c>
      <c r="I9" s="66" t="s">
        <v>2903</v>
      </c>
      <c r="J9" s="66" t="s">
        <v>2904</v>
      </c>
      <c r="K9" s="66" t="s">
        <v>2905</v>
      </c>
      <c r="L9" s="66" t="s">
        <v>2906</v>
      </c>
      <c r="M9" s="66" t="s">
        <v>2907</v>
      </c>
      <c r="N9" s="66" t="s">
        <v>2908</v>
      </c>
      <c r="O9" s="66" t="s">
        <v>2319</v>
      </c>
      <c r="P9" s="66" t="s">
        <v>2909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>
      <c r="A10" s="68" t="s">
        <v>2880</v>
      </c>
      <c r="B10" s="66" t="s">
        <v>2910</v>
      </c>
      <c r="C10" s="66">
        <v>124.0</v>
      </c>
      <c r="D10" s="63">
        <v>35.0</v>
      </c>
      <c r="E10" s="69" t="s">
        <v>2911</v>
      </c>
      <c r="F10" s="69" t="s">
        <v>2912</v>
      </c>
      <c r="G10" s="69" t="s">
        <v>2913</v>
      </c>
      <c r="H10" s="69" t="s">
        <v>2914</v>
      </c>
      <c r="I10" s="69" t="s">
        <v>2915</v>
      </c>
      <c r="J10" s="69" t="s">
        <v>2916</v>
      </c>
      <c r="K10" s="69" t="s">
        <v>2917</v>
      </c>
      <c r="L10" s="69" t="s">
        <v>2918</v>
      </c>
      <c r="M10" s="69" t="s">
        <v>2919</v>
      </c>
      <c r="N10" s="69" t="s">
        <v>2920</v>
      </c>
      <c r="O10" s="66" t="s">
        <v>2921</v>
      </c>
      <c r="P10" s="66" t="s">
        <v>2922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</row>
    <row r="1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>
      <c r="A12" s="66" t="s">
        <v>2895</v>
      </c>
      <c r="B12" s="64">
        <f>countifs(Paper_Textual_Conflict!H2:H181,TRUE,Conflict_Type!AE2:AE181,TRUE)</f>
        <v>3</v>
      </c>
      <c r="C12" s="63">
        <f>countifs(Paper_Textual_Conflict!H2:H181,TRUE,Conflict_Type!AF2:AF181,TRUE)</f>
        <v>1</v>
      </c>
      <c r="D12" s="63">
        <f>countifs(Paper_Textual_Conflict!H2:H181,TRUE,Conflict_Type!AG2:AG181,TRUE)</f>
        <v>1</v>
      </c>
      <c r="E12" s="63">
        <f>countifs(Paper_Textual_Conflict!H2:H181,TRUE,Conflict_Type!AH2:AH181,TRUE)</f>
        <v>26</v>
      </c>
      <c r="F12" s="64">
        <f>countifs(Paper_Textual_Conflict!H2:H181,TRUE,Conflict_Type!AI2:AI181,TRUE)</f>
        <v>30</v>
      </c>
      <c r="G12" s="64">
        <f>countifs(Paper_Textual_Conflict!H2:H181,TRUE,Conflict_Type!AK2:AK181,TRUE)</f>
        <v>4</v>
      </c>
      <c r="H12" s="64">
        <f>countifs(Paper_Textual_Conflict!H2:H181,TRUE,Conflict_Type!AL2:AL181,TRUE)</f>
        <v>8</v>
      </c>
      <c r="I12" s="63">
        <f>countifs(Paper_Textual_Conflict!H2:H181,TRUE,Conflict_Type!AO2:AO181,TRUE)</f>
        <v>4</v>
      </c>
      <c r="J12" s="63">
        <f>countifs(Paper_Textual_Conflict!H2:H181,TRUE,Conflict_Type!AQ2:AQ181,TRUE)</f>
        <v>1</v>
      </c>
      <c r="K12" s="63">
        <f>countifs(Paper_Textual_Conflict!H2:H181,TRUE,Conflict_Type!AR2:AR181,TRUE)</f>
        <v>1</v>
      </c>
      <c r="L12" s="63">
        <f>countifs(Paper_Textual_Conflict!H2:H181,TRUE,Conflict_Type!AS2:AS181,TRUE)</f>
        <v>9</v>
      </c>
      <c r="M12" s="63">
        <f>countifs(Paper_Textual_Conflict!H2:H181,TRUE,Conflict_Type!AT2:AT181,TRUE)</f>
        <v>4</v>
      </c>
      <c r="N12" s="64">
        <f>countifs(Paper_Textual_Conflict!H2:H181,TRUE,Conflict_Type!AU2:AU181,TRUE)</f>
        <v>4</v>
      </c>
      <c r="O12" s="63">
        <f>countifs(Paper_Textual_Conflict!H2:H181,TRUE,Conflict_Type!AD2:AD181,TRUE)</f>
        <v>38</v>
      </c>
      <c r="P12" s="61">
        <f>countifs(Paper_Textual_Conflict!H2:H181,TRUE,Conflict_Type!AJ2:AJ181,TRUE)</f>
        <v>2</v>
      </c>
      <c r="Q12" s="63">
        <f t="shared" ref="Q12:Q14" si="2">sum(B12:P12)</f>
        <v>136</v>
      </c>
      <c r="R12" s="63"/>
      <c r="S12" s="61"/>
      <c r="T12" s="61"/>
      <c r="U12" s="61"/>
      <c r="V12" s="61"/>
      <c r="W12" s="61"/>
      <c r="X12" s="61"/>
      <c r="Y12" s="61"/>
      <c r="Z12" s="61"/>
      <c r="AA12" s="61"/>
    </row>
    <row r="13">
      <c r="A13" s="61" t="s">
        <v>80</v>
      </c>
      <c r="B13" s="64">
        <f>countifs(Paper_Textual_Conflict!H2:H181,TRUE,Paper_Textual_Conflict!Q2:Q181,"Java",Conflict_Type!AE2:AE181,TRUE)</f>
        <v>3</v>
      </c>
      <c r="C13" s="63">
        <f>countifs(Paper_Textual_Conflict!H2:H181,TRUE,Paper_Textual_Conflict!Q2:Q181,"Java",Conflict_Type!AF2:AF181,TRUE)</f>
        <v>1</v>
      </c>
      <c r="D13" s="66">
        <f>countifs(Paper_Textual_Conflict!H2:H181,TRUE,Paper_Textual_Conflict!Q2:Q181,"Java",Conflict_Type!AG2:AG181,TRUE)</f>
        <v>0</v>
      </c>
      <c r="E13" s="63">
        <f>countifs(Paper_Textual_Conflict!H2:H181,TRUE,Paper_Textual_Conflict!Q2:Q181,"Java",Conflict_Type!AH2:AH181,TRUE)</f>
        <v>15</v>
      </c>
      <c r="F13" s="63">
        <f>countifs(Paper_Textual_Conflict!H2:H181,TRUE,Paper_Textual_Conflict!Q2:Q181,"Java",Conflict_Type!AI2:AI181,TRUE)</f>
        <v>14</v>
      </c>
      <c r="G13" s="64">
        <f>countifs(Paper_Textual_Conflict!H2:H181,TRUE,Paper_Textual_Conflict!Q2:Q181,"Java",Conflict_Type!AK2:AK181,TRUE)</f>
        <v>2</v>
      </c>
      <c r="H13" s="64">
        <f>countifs(Paper_Textual_Conflict!H2:H181,TRUE,Paper_Textual_Conflict!Q2:Q181,"Java",Conflict_Type!AL2:AL181,TRUE)</f>
        <v>5</v>
      </c>
      <c r="I13" s="63">
        <f>countifs(Paper_Textual_Conflict!H2:H181,TRUE,Paper_Textual_Conflict!Q2:Q181,"Java",Conflict_Type!AO2:AO181,TRUE)</f>
        <v>2</v>
      </c>
      <c r="J13" s="63">
        <f>countifs(Paper_Textual_Conflict!H2:H181,TRUE,Paper_Textual_Conflict!Q2:Q181,"Java",Conflict_Type!AQ2:AQ181,TRUE)</f>
        <v>1</v>
      </c>
      <c r="K13" s="66">
        <f>countifs(Paper_Textual_Conflict!H2:H181,TRUE,Paper_Textual_Conflict!Q2:Q181,"Java",Conflict_Type!AR2:AR181,TRUE)</f>
        <v>0</v>
      </c>
      <c r="L13" s="64">
        <f>countifs(Paper_Textual_Conflict!H2:H181,TRUE,Paper_Textual_Conflict!Q2:Q181,"Java",Conflict_Type!AS2:AS181,TRUE)</f>
        <v>6</v>
      </c>
      <c r="M13" s="63">
        <f>countifs(Paper_Textual_Conflict!H2:H181,TRUE,Paper_Textual_Conflict!Q2:Q181,"Java",Conflict_Type!AT2:AT181,TRUE)</f>
        <v>3</v>
      </c>
      <c r="N13" s="64">
        <f>countifs(Paper_Textual_Conflict!H2:H181,TRUE,Paper_Textual_Conflict!Q2:Q181,"Java",Conflict_Type!AU2:AU181,TRUE)</f>
        <v>3</v>
      </c>
      <c r="O13" s="64">
        <f>countifs(Paper_Textual_Conflict!H2:H181,TRUE,Paper_Textual_Conflict!Q2:Q181,"Java",Conflict_Type!AD2:AD181,TRUE)</f>
        <v>20</v>
      </c>
      <c r="P13" s="63">
        <f>countifs(Paper_Textual_Conflict!H2:H181,TRUE,Paper_Textual_Conflict!Q2:Q181,"Java",Conflict_Type!AJ2:AJ181,TRUE)</f>
        <v>2</v>
      </c>
      <c r="Q13" s="63">
        <f t="shared" si="2"/>
        <v>77</v>
      </c>
      <c r="R13" s="63"/>
      <c r="S13" s="61"/>
      <c r="T13" s="61"/>
      <c r="U13" s="61"/>
      <c r="V13" s="61"/>
      <c r="W13" s="61"/>
      <c r="X13" s="61"/>
      <c r="Y13" s="61"/>
      <c r="Z13" s="61"/>
      <c r="AA13" s="61"/>
    </row>
    <row r="14">
      <c r="A14" s="66" t="s">
        <v>59</v>
      </c>
      <c r="B14" s="66">
        <f>countifs(Paper_Textual_Conflict!H2:H181,TRUE,Paper_Textual_Conflict!Q2:Q181,"Non-Java",Conflict_Type!AE2:AE181,TRUE)</f>
        <v>0</v>
      </c>
      <c r="C14" s="66">
        <f>countifs(Paper_Textual_Conflict!H2:H181,TRUE,Paper_Textual_Conflict!Q2:Q181,"Non-Java",Conflict_Type!AF2:AF181,TRUE)</f>
        <v>0</v>
      </c>
      <c r="D14" s="63">
        <f>countifs(Paper_Textual_Conflict!H2:H181,TRUE,Paper_Textual_Conflict!Q2:Q181,"Non-Java",Conflict_Type!AG2:AG181,TRUE)</f>
        <v>1</v>
      </c>
      <c r="E14" s="63">
        <f>countifs(Paper_Textual_Conflict!H2:H181,TRUE,Paper_Textual_Conflict!Q2:Q181,"Non-Java",Conflict_Type!AH2:AH181,TRUE)</f>
        <v>11</v>
      </c>
      <c r="F14" s="64">
        <f>countifs(Paper_Textual_Conflict!H2:H181,TRUE,Paper_Textual_Conflict!Q2:Q181,"Non-Java",Conflict_Type!AI2:AI181,TRUE)</f>
        <v>16</v>
      </c>
      <c r="G14" s="63">
        <f>countifs(Paper_Textual_Conflict!H2:H181,TRUE,Paper_Textual_Conflict!Q2:Q181,"Non-Java",Conflict_Type!AK2:AK181,TRUE)</f>
        <v>2</v>
      </c>
      <c r="H14" s="63">
        <f>countifs(Paper_Textual_Conflict!H2:H181,TRUE,Paper_Textual_Conflict!Q2:Q181,"Non-Java",Conflict_Type!AL2:AL181,TRUE)</f>
        <v>3</v>
      </c>
      <c r="I14" s="63">
        <f>countifs(Paper_Textual_Conflict!H2:H181,TRUE,Paper_Textual_Conflict!Q2:Q181,"Non-Java",Conflict_Type!AO2:AO181,TRUE)</f>
        <v>2</v>
      </c>
      <c r="J14" s="66">
        <f>countifs(Paper_Textual_Conflict!H2:H181,TRUE,Paper_Textual_Conflict!Q2:Q181,"Non-Java",Conflict_Type!AQ2:AQ181,TRUE)</f>
        <v>0</v>
      </c>
      <c r="K14" s="63">
        <f>countifs(Paper_Textual_Conflict!H2:H181,TRUE,Paper_Textual_Conflict!Q2:Q181,"Non-Java",Conflict_Type!AR2:AR181,TRUE)</f>
        <v>1</v>
      </c>
      <c r="L14" s="64">
        <f>countifs(Paper_Textual_Conflict!H2:H181,TRUE,Paper_Textual_Conflict!Q2:Q181,"Non-Java",Conflict_Type!AS2:AS181,TRUE)</f>
        <v>3</v>
      </c>
      <c r="M14" s="63">
        <f>countifs(Paper_Textual_Conflict!H2:H181,TRUE,Paper_Textual_Conflict!Q2:Q181,"Non-Java",Conflict_Type!AT2:AT181,TRUE)</f>
        <v>1</v>
      </c>
      <c r="N14" s="64">
        <f>countifs(Paper_Textual_Conflict!H2:H181,TRUE,Paper_Textual_Conflict!Q2:Q181,"Non-Java",Conflict_Type!AU2:AU181,TRUE)</f>
        <v>1</v>
      </c>
      <c r="O14" s="63">
        <f>countifs(Paper_Textual_Conflict!H2:H181,TRUE,Paper_Textual_Conflict!Q2:Q181,"Non-Java",Conflict_Type!AD2:AD181,TRUE)</f>
        <v>18</v>
      </c>
      <c r="P14" s="63">
        <f>countifs(Paper_Textual_Conflict!H2:H181,TRUE,Paper_Textual_Conflict!Q2:Q181,"Non-Java",Conflict_Type!AJ2:AJ181,TRUE)</f>
        <v>0</v>
      </c>
      <c r="Q14" s="63">
        <f t="shared" si="2"/>
        <v>59</v>
      </c>
      <c r="R14" s="63"/>
      <c r="S14" s="61"/>
      <c r="T14" s="61"/>
      <c r="U14" s="61"/>
      <c r="V14" s="61"/>
      <c r="W14" s="61"/>
      <c r="X14" s="61"/>
      <c r="Y14" s="61"/>
      <c r="Z14" s="61"/>
      <c r="AA14" s="61"/>
    </row>
    <row r="17">
      <c r="A17" s="61"/>
      <c r="B17" s="66" t="s">
        <v>2852</v>
      </c>
      <c r="C17" s="33" t="s">
        <v>2853</v>
      </c>
      <c r="D17" s="66" t="s">
        <v>2854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>
      <c r="A18" s="66" t="s">
        <v>2855</v>
      </c>
      <c r="B18" s="66">
        <f>countifs(Paper_Textual_Conflict!T2:T181,"TRUE",Paper_Textual_Conflict!X2:X181,"&lt;&gt;N/A")</f>
        <v>113</v>
      </c>
      <c r="C18" s="66">
        <v>180.0</v>
      </c>
      <c r="D18" s="72">
        <f t="shared" ref="D18:D22" si="3">B18/C18</f>
        <v>0.6277777778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>
      <c r="A19" s="66" t="s">
        <v>2856</v>
      </c>
      <c r="B19" s="66">
        <f>countifs(Paper_Textual_Conflict!Y2:Y181,"TRUE",Paper_Textual_Conflict!AC2:AC181,"&lt;&gt;N/A")</f>
        <v>93</v>
      </c>
      <c r="C19" s="66">
        <v>180.0</v>
      </c>
      <c r="D19" s="72">
        <f t="shared" si="3"/>
        <v>0.5166666667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>
      <c r="A20" s="66" t="s">
        <v>2857</v>
      </c>
      <c r="B20" s="66">
        <f>countifs(Paper_Textual_Conflict!AD2:AD181,"TRUE",Paper_Textual_Conflict!AH2:AH181,"&lt;&gt;N/A")</f>
        <v>92</v>
      </c>
      <c r="C20" s="66">
        <v>180.0</v>
      </c>
      <c r="D20" s="72">
        <f t="shared" si="3"/>
        <v>0.5111111111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</row>
    <row r="21">
      <c r="A21" s="66" t="s">
        <v>2858</v>
      </c>
      <c r="B21" s="66">
        <f>countifs(Paper_Textual_Conflict!AI2:AI181,"TRUE",Paper_Textual_Conflict!AM2:AM181,"&lt;&gt;N/A")</f>
        <v>94</v>
      </c>
      <c r="C21" s="66">
        <v>180.0</v>
      </c>
      <c r="D21" s="72">
        <f t="shared" si="3"/>
        <v>0.5222222222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</row>
    <row r="22">
      <c r="A22" s="66" t="s">
        <v>2859</v>
      </c>
      <c r="B22" s="66">
        <f>countifs(Paper_Textual_Conflict!AN2:AN181,"TRUE",Paper_Textual_Conflict!AR2:AR181,"&lt;&gt;N/A")</f>
        <v>171</v>
      </c>
      <c r="C22" s="66">
        <v>180.0</v>
      </c>
      <c r="D22" s="72">
        <f t="shared" si="3"/>
        <v>0.95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</row>
    <row r="2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</row>
    <row r="24">
      <c r="A24" s="61"/>
      <c r="B24" s="33" t="s">
        <v>2860</v>
      </c>
      <c r="C24" s="33" t="s">
        <v>2861</v>
      </c>
      <c r="D24" s="66" t="s">
        <v>2862</v>
      </c>
      <c r="E24" s="61"/>
      <c r="F24" s="66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</row>
    <row r="25">
      <c r="A25" s="66" t="s">
        <v>2855</v>
      </c>
      <c r="B25" s="61">
        <f>countifs(Paper_Textual_Conflict!T2:T181,"TRUE",Paper_Textual_Conflict!H2:H181,"TRUE",Paper_Textual_Conflict!X2:X181,"still conflict")</f>
        <v>28</v>
      </c>
      <c r="C25" s="37">
        <f>countifs(Paper_Textual_Conflict!T2:T181,"TRUE",Paper_Textual_Conflict!X2:X181,"still conflict")</f>
        <v>38</v>
      </c>
      <c r="D25" s="72">
        <f t="shared" ref="D25:D29" si="4">B25/C25</f>
        <v>0.7368421053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</row>
    <row r="26">
      <c r="A26" s="66" t="s">
        <v>2856</v>
      </c>
      <c r="B26" s="61">
        <f>countifs(Paper_Textual_Conflict!Y2:Y181,"TRUE",Paper_Textual_Conflict!H2:H181,"TRUE",Paper_Textual_Conflict!AC2:AC181,"still conflict")</f>
        <v>22</v>
      </c>
      <c r="C26" s="33">
        <f>countifs(Paper_Textual_Conflict!Y2:Y181,"TRUE",Paper_Textual_Conflict!AC2:AC181,"still conflict")</f>
        <v>24</v>
      </c>
      <c r="D26" s="72">
        <f t="shared" si="4"/>
        <v>0.9166666667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</row>
    <row r="27">
      <c r="A27" s="66" t="s">
        <v>2857</v>
      </c>
      <c r="B27" s="61">
        <f>countifs(Paper_Textual_Conflict!AD2:AD181,"TRUE",Paper_Textual_Conflict!H2:H181,"TRUE",Paper_Textual_Conflict!AH2:AH181,"still conflict")</f>
        <v>30</v>
      </c>
      <c r="C27" s="37">
        <f>countifs(Paper_Textual_Conflict!AD2:AD181,TRUE,Paper_Textual_Conflict!AH2:AH181,"still conflict")</f>
        <v>38</v>
      </c>
      <c r="D27" s="72">
        <f t="shared" si="4"/>
        <v>0.7894736842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</row>
    <row r="28">
      <c r="A28" s="66" t="s">
        <v>2858</v>
      </c>
      <c r="B28" s="61">
        <f>countifs(Paper_Textual_Conflict!AI2:AI181,"TRUE",Paper_Textual_Conflict!H2:H181,"TRUE",Paper_Textual_Conflict!AM2:AM181,"still conflict")</f>
        <v>15</v>
      </c>
      <c r="C28" s="37">
        <f>countifs(Paper_Textual_Conflict!AI2:AI181,"TRUE",Paper_Textual_Conflict!AM2:AM181,"still conflict")</f>
        <v>17</v>
      </c>
      <c r="D28" s="72">
        <f t="shared" si="4"/>
        <v>0.8823529412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</row>
    <row r="29">
      <c r="A29" s="66" t="s">
        <v>2859</v>
      </c>
      <c r="B29" s="61">
        <f>countifs(Paper_Textual_Conflict!AN2:AN181,"TRUE",Paper_Textual_Conflict!H2:H181,"TRUE",Paper_Textual_Conflict!AR2:AR181,"still conflict")</f>
        <v>114</v>
      </c>
      <c r="C29" s="37">
        <f>countifs(Paper_Textual_Conflict!AN2:AN181,"TRUE",Paper_Textual_Conflict!AR2:AR181,"still conflict")</f>
        <v>136</v>
      </c>
      <c r="D29" s="72">
        <f t="shared" si="4"/>
        <v>0.8382352941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</row>
    <row r="30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</row>
    <row r="31">
      <c r="A31" s="61"/>
      <c r="B31" s="66" t="s">
        <v>2863</v>
      </c>
      <c r="C31" s="66" t="s">
        <v>2864</v>
      </c>
      <c r="D31" s="66" t="s">
        <v>2865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</row>
    <row r="32">
      <c r="A32" s="66" t="s">
        <v>2855</v>
      </c>
      <c r="B32" s="61">
        <f>countifs(Paper_Textual_Conflict!T2:T181,"TRUE",Paper_Textual_Conflict!U2:U181,"TRUE")</f>
        <v>33</v>
      </c>
      <c r="C32" s="61">
        <f>countifs(Paper_Textual_Conflict!T2:T181,"TRUE",Paper_Textual_Conflict!X2:X181,"&lt;&gt;N/A",Paper_Textual_Conflict!X2:X181,"&lt;&gt;still conflict")</f>
        <v>75</v>
      </c>
      <c r="D32" s="72">
        <f t="shared" ref="D32:D36" si="5">B32/C32</f>
        <v>0.44</v>
      </c>
      <c r="E32" s="61"/>
      <c r="F32" s="66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</row>
    <row r="33">
      <c r="A33" s="66" t="s">
        <v>2856</v>
      </c>
      <c r="B33" s="61">
        <f>countifs(Paper_Textual_Conflict!Y2:Y181,"TRUE",Paper_Textual_Conflict!Z2:Z181,"TRUE")</f>
        <v>47</v>
      </c>
      <c r="C33" s="61">
        <f>countifs(Paper_Textual_Conflict!Y2:Y181,"TRUE",Paper_Textual_Conflict!AC2:AC181,"&lt;&gt;N/A",Paper_Textual_Conflict!AC2:AC181,"&lt;&gt;still conflict")</f>
        <v>69</v>
      </c>
      <c r="D33" s="72">
        <f t="shared" si="5"/>
        <v>0.6811594203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</row>
    <row r="34">
      <c r="A34" s="66" t="s">
        <v>2857</v>
      </c>
      <c r="B34" s="61">
        <f>countifs(Paper_Textual_Conflict!AD2:AD181,"TRUE",Paper_Textual_Conflict!AE2:AE181,"TRUE")</f>
        <v>29</v>
      </c>
      <c r="C34" s="61">
        <f>countifs(Paper_Textual_Conflict!AD2:AD181,"TRUE",Paper_Textual_Conflict!AH2:AH181,"&lt;&gt;N/A",Paper_Textual_Conflict!AH2:AH181,"&lt;&gt;still conflict")</f>
        <v>54</v>
      </c>
      <c r="D34" s="72">
        <f t="shared" si="5"/>
        <v>0.537037037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</row>
    <row r="35">
      <c r="A35" s="66" t="s">
        <v>2858</v>
      </c>
      <c r="B35" s="61">
        <f>countifs(Paper_Textual_Conflict!AI2:AI181,"TRUE",Paper_Textual_Conflict!AJ2:AJ181,"TRUE")</f>
        <v>49</v>
      </c>
      <c r="C35" s="61">
        <f>countifs(Paper_Textual_Conflict!AI2:AI181,"TRUE",Paper_Textual_Conflict!AM2:AM181,"&lt;&gt;N/A",Paper_Textual_Conflict!AM2:AM181,"&lt;&gt;still conflict")</f>
        <v>77</v>
      </c>
      <c r="D35" s="72">
        <f t="shared" si="5"/>
        <v>0.6363636364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>
      <c r="A36" s="66" t="s">
        <v>2859</v>
      </c>
      <c r="B36" s="61">
        <f>countifs(Paper_Textual_Conflict!AN2:AN181,"TRUE",Paper_Textual_Conflict!AO2:AO181,"TRUE")</f>
        <v>29</v>
      </c>
      <c r="C36" s="61">
        <f>countifs(Paper_Textual_Conflict!AN2:AN181,"TRUE",Paper_Textual_Conflict!AR2:AR181,"&lt;&gt;N/A",Paper_Textual_Conflict!AR2:AR181,"&lt;&gt;still conflict")</f>
        <v>35</v>
      </c>
      <c r="D36" s="72">
        <f t="shared" si="5"/>
        <v>0.8285714286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</row>
    <row r="37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</row>
    <row r="38">
      <c r="A38" s="25" t="s">
        <v>2923</v>
      </c>
      <c r="B38" s="25" t="s">
        <v>2895</v>
      </c>
      <c r="C38" s="25" t="s">
        <v>2924</v>
      </c>
      <c r="D38" s="73" t="s">
        <v>2925</v>
      </c>
      <c r="E38" s="33" t="s">
        <v>2926</v>
      </c>
      <c r="F38" s="33" t="s">
        <v>2927</v>
      </c>
      <c r="G38" s="74" t="s">
        <v>2928</v>
      </c>
      <c r="H38" s="25" t="s">
        <v>2929</v>
      </c>
      <c r="I38" s="33" t="s">
        <v>2930</v>
      </c>
      <c r="J38" s="74" t="s">
        <v>2931</v>
      </c>
      <c r="K38" s="75" t="s">
        <v>2932</v>
      </c>
      <c r="L38" s="33" t="s">
        <v>2933</v>
      </c>
      <c r="M38" s="74" t="s">
        <v>2934</v>
      </c>
      <c r="N38" s="75" t="s">
        <v>2935</v>
      </c>
      <c r="O38" s="33" t="s">
        <v>2936</v>
      </c>
      <c r="P38" s="74" t="s">
        <v>2937</v>
      </c>
      <c r="Q38" s="75" t="s">
        <v>2938</v>
      </c>
      <c r="R38" s="33" t="s">
        <v>2939</v>
      </c>
      <c r="S38" s="33" t="s">
        <v>2940</v>
      </c>
    </row>
    <row r="39">
      <c r="A39" s="37" t="s">
        <v>58</v>
      </c>
      <c r="B39" s="37">
        <f>COUNTif(Resolution_Type!D2:D181,TRUE)</f>
        <v>72</v>
      </c>
      <c r="C39" s="25">
        <f>COUNTA(Resolution_Type!D186:D1005)</f>
        <v>61</v>
      </c>
      <c r="D39" s="73">
        <f t="shared" ref="D39:D45" si="6">B39-C39</f>
        <v>11</v>
      </c>
      <c r="E39" s="37">
        <f>IFERROR(__xludf.DUMMYFUNCTION("counta(iferror(filter(Paper_Textual_Conflict!X2:X181,Resolution_Type!D2:D181=TRUE,Paper_Textual_Conflict!T2:T181=TRUE,(Paper_Textual_Conflict!X2:X181&lt;&gt;""N/A"")*(Paper_Textual_Conflict!X2:X181&lt;&gt;""still conflict"")),))"),34.0)</f>
        <v>34</v>
      </c>
      <c r="F39" s="37">
        <f>IFERROR(__xludf.DUMMYFUNCTION("counta(iferror(filter(Paper_Textual_Conflict!X2:X181,Resolution_Type!D2:D181=TRUE,Paper_Textual_Conflict!T2:T181=TRUE,(Paper_Textual_Conflict!X2:X181&lt;&gt;""N/A"")*(Paper_Textual_Conflict!X2:X181&lt;&gt;""still conflict""),Paper_Textual_Conflict!U2:U181=TRUE),))"),19.0)</f>
        <v>19</v>
      </c>
      <c r="G39" s="76">
        <f>IFERROR(__xludf.DUMMYFUNCTION("counta(iferror(filter(Paper_Textual_Conflict!X2:X181,Resolution_Type!D2:D181=TRUE,Paper_Textual_Conflict!T2:T181=TRUE,(Paper_Textual_Conflict!X2:X181&lt;&gt;""N/A"")*(Paper_Textual_Conflict!X2:X181&lt;&gt;""still conflict""),Paper_Textual_Conflict!U2:U181=FALSE),))"),15.0)</f>
        <v>15</v>
      </c>
      <c r="H39" s="37">
        <f>IFERROR(__xludf.DUMMYFUNCTION("counta(iferror(filter(Paper_Textual_Conflict!AC2:AC181,Resolution_Type!D2:D181=TRUE,Paper_Textual_Conflict!Y2:Y181=TRUE,(Paper_Textual_Conflict!AC2:AC181&lt;&gt;""N/A"")*(Paper_Textual_Conflict!AC2:AC181&lt;&gt;""still conflict"")),))"),26.0)</f>
        <v>26</v>
      </c>
      <c r="I39" s="37">
        <f>IFERROR(__xludf.DUMMYFUNCTION("counta(iferror(filter(Paper_Textual_Conflict!AC2:AC181,Resolution_Type!D2:D181=TRUE,Paper_Textual_Conflict!Y2:Y181=TRUE,(Paper_Textual_Conflict!AC2:AC181&lt;&gt;""N/A"")*(Paper_Textual_Conflict!AC2:AC181&lt;&gt;""still conflict""),Paper_Textual_Conflict!Z2:Z181=TRUE)"&amp;",))"),19.0)</f>
        <v>19</v>
      </c>
      <c r="J39" s="76">
        <f>IFERROR(__xludf.DUMMYFUNCTION("counta(iferror(filter(Paper_Textual_Conflict!AC2:AC181,Resolution_Type!D2:D181=TRUE,Paper_Textual_Conflict!Y2:Y181=TRUE,(Paper_Textual_Conflict!AC2:AC181&lt;&gt;""N/A"")*(Paper_Textual_Conflict!AC2:AC181&lt;&gt;""still conflict""),Paper_Textual_Conflict!Z2:Z181=FALSE"&amp;"),))"),7.0)</f>
        <v>7</v>
      </c>
      <c r="K39" s="37">
        <f>IFERROR(__xludf.DUMMYFUNCTION("counta(iferror(filter(Paper_Textual_Conflict!AH2:AH181,Resolution_Type!D2:D181=TRUE,Paper_Textual_Conflict!AD2:AD181=TRUE,(Paper_Textual_Conflict!AH2:AH181&lt;&gt;""N/A"")*(Paper_Textual_Conflict!AH2:AH181&lt;&gt;""still conflict"")),))"),23.0)</f>
        <v>23</v>
      </c>
      <c r="L39" s="37">
        <f>IFERROR(__xludf.DUMMYFUNCTION("counta(iferror(filter(Paper_Textual_Conflict!AH2:AH181,Resolution_Type!D2:D181=TRUE,Paper_Textual_Conflict!AD2:AD181=TRUE,(Paper_Textual_Conflict!AH2:AH181&lt;&gt;""N/A"")*(Paper_Textual_Conflict!AH2:AH181&lt;&gt;""still conflict""),Paper_Textual_Conflict!AE2:AE181=T"&amp;"RUE),))"),11.0)</f>
        <v>11</v>
      </c>
      <c r="M39" s="76">
        <f>IFERROR(__xludf.DUMMYFUNCTION("counta(iferror(filter(Paper_Textual_Conflict!AH2:AH181,Resolution_Type!D2:D181=TRUE,Paper_Textual_Conflict!AD2:AD181=TRUE,(Paper_Textual_Conflict!AH2:AH181&lt;&gt;""N/A"")*(Paper_Textual_Conflict!AH2:AH181&lt;&gt;""still conflict""),Paper_Textual_Conflict!AE2:AE181=F"&amp;"ALSE),))"),12.0)</f>
        <v>12</v>
      </c>
      <c r="N39" s="37">
        <f>IFERROR(__xludf.DUMMYFUNCTION("counta(iferror(filter(Paper_Textual_Conflict!AM2:AM181,Resolution_Type!D2:D181=TRUE,Paper_Textual_Conflict!AI2:AI181=TRUE,(Paper_Textual_Conflict!AM2:AM181&lt;&gt;""N/A"")*(Paper_Textual_Conflict!AM2:AM181&lt;&gt;""still conflict"")),))"),28.0)</f>
        <v>28</v>
      </c>
      <c r="O39" s="37">
        <f>IFERROR(__xludf.DUMMYFUNCTION("counta(iferror(filter(Paper_Textual_Conflict!AM2:AM181,Resolution_Type!D2:D181=TRUE,Paper_Textual_Conflict!AI2:AI181=TRUE,(Paper_Textual_Conflict!AM2:AM181&lt;&gt;""N/A"")*(Paper_Textual_Conflict!AM2:AM181&lt;&gt;""still conflict""),Paper_Textual_Conflict!AJ2:AJ181=T"&amp;"RUE),))"),19.0)</f>
        <v>19</v>
      </c>
      <c r="P39" s="76">
        <f>IFERROR(__xludf.DUMMYFUNCTION("counta(iferror(filter(Paper_Textual_Conflict!AM2:AM181,Resolution_Type!D2:D181=TRUE,Paper_Textual_Conflict!AI2:AI181=TRUE,(Paper_Textual_Conflict!AM2:AM181&lt;&gt;""N/A"")*(Paper_Textual_Conflict!AM2:AM181&lt;&gt;""still conflict""),Paper_Textual_Conflict!AJ2:AJ181=F"&amp;"ALSE),))"),9.0)</f>
        <v>9</v>
      </c>
      <c r="Q39" s="77">
        <f>IFERROR(__xludf.DUMMYFUNCTION("counta(iferror(filter(Paper_Textual_Conflict!AR2:AR181,Resolution_Type!D2:D181=TRUE,Paper_Textual_Conflict!AN2:AN181=TRUE,(Paper_Textual_Conflict!AR2:AR181&lt;&gt;""N/A"")*(Paper_Textual_Conflict!AR2:AR181&lt;&gt;""still conflict"")),))"),8.0)</f>
        <v>8</v>
      </c>
      <c r="R39" s="37">
        <f>IFERROR(__xludf.DUMMYFUNCTION("counta(iferror(filter(Paper_Textual_Conflict!AR2:AR181,Resolution_Type!D2:D181=TRUE,Paper_Textual_Conflict!AN2:AN181=TRUE,(Paper_Textual_Conflict!AR2:AR181&lt;&gt;""N/A"")*(Paper_Textual_Conflict!AR2:AR181&lt;&gt;""still conflict""),Paper_Textual_Conflict!AO2:AO181=T"&amp;"RUE),))"),4.0)</f>
        <v>4</v>
      </c>
      <c r="S39" s="37">
        <f>IFERROR(__xludf.DUMMYFUNCTION("counta(iferror(filter(Paper_Textual_Conflict!AR2:AR181,Resolution_Type!D2:D181=TRUE,Paper_Textual_Conflict!AN2:AN181=TRUE,(Paper_Textual_Conflict!AR2:AR181&lt;&gt;""N/A"")*(Paper_Textual_Conflict!AR2:AR181&lt;&gt;""still conflict""),Paper_Textual_Conflict!AO2:AO181=F"&amp;"ALSE),))"),4.0)</f>
        <v>4</v>
      </c>
    </row>
    <row r="40">
      <c r="A40" s="37" t="s">
        <v>170</v>
      </c>
      <c r="B40" s="37">
        <f>COUNTif(Resolution_Type!E2:E181,TRUE)</f>
        <v>47</v>
      </c>
      <c r="C40" s="25">
        <f>COUNTA(Resolution_Type!E186:E1005)</f>
        <v>36</v>
      </c>
      <c r="D40" s="73">
        <f t="shared" si="6"/>
        <v>11</v>
      </c>
      <c r="E40" s="37">
        <f>IFERROR(__xludf.DUMMYFUNCTION("counta(iferror(filter(Paper_Textual_Conflict!X2:X181,Resolution_Type!E2:E181=TRUE,Paper_Textual_Conflict!T2:T181=TRUE,(Paper_Textual_Conflict!X2:X181&lt;&gt;""N/A"")*(Paper_Textual_Conflict!X2:X181&lt;&gt;""still conflict"")),))"),16.0)</f>
        <v>16</v>
      </c>
      <c r="F40" s="37">
        <f>IFERROR(__xludf.DUMMYFUNCTION("counta(iferror(filter(Paper_Textual_Conflict!X2:X181,Resolution_Type!E2:E181=TRUE,Paper_Textual_Conflict!T2:T181=TRUE,(Paper_Textual_Conflict!X2:X181&lt;&gt;""N/A"")*(Paper_Textual_Conflict!X2:X181&lt;&gt;""still conflict""),Paper_Textual_Conflict!U2:U181=TRUE),))"),5.0)</f>
        <v>5</v>
      </c>
      <c r="G40" s="76">
        <f>IFERROR(__xludf.DUMMYFUNCTION("counta(iferror(filter(Paper_Textual_Conflict!X2:X181,Resolution_Type!E2:E181=TRUE,Paper_Textual_Conflict!T2:T181=TRUE,(Paper_Textual_Conflict!X2:X181&lt;&gt;""N/A"")*(Paper_Textual_Conflict!X2:X181&lt;&gt;""still conflict""),Paper_Textual_Conflict!U2:U181=FALSE),))"),11.0)</f>
        <v>11</v>
      </c>
      <c r="H40" s="37">
        <f>IFERROR(__xludf.DUMMYFUNCTION("counta(iferror(filter(Paper_Textual_Conflict!AC2:AC181,Resolution_Type!E2:E181=TRUE,Paper_Textual_Conflict!Y2:Y181=TRUE,(Paper_Textual_Conflict!AC2:AC181&lt;&gt;""N/A"")*(Paper_Textual_Conflict!AC2:AC181&lt;&gt;""still conflict"")),))"),17.0)</f>
        <v>17</v>
      </c>
      <c r="I40" s="37">
        <f>IFERROR(__xludf.DUMMYFUNCTION("counta(iferror(filter(Paper_Textual_Conflict!AC2:AC181,Resolution_Type!E2:E181=TRUE,Paper_Textual_Conflict!Y2:Y181=TRUE,(Paper_Textual_Conflict!AC2:AC181&lt;&gt;""N/A"")*(Paper_Textual_Conflict!AC2:AC181&lt;&gt;""still conflict""),Paper_Textual_Conflict!Z2:Z181=TRUE)"&amp;",))"),8.0)</f>
        <v>8</v>
      </c>
      <c r="J40" s="76">
        <f>IFERROR(__xludf.DUMMYFUNCTION("counta(iferror(filter(Paper_Textual_Conflict!AC2:AC181,Resolution_Type!E2:E181=TRUE,Paper_Textual_Conflict!Y2:Y181=TRUE,(Paper_Textual_Conflict!AC2:AC181&lt;&gt;""N/A"")*(Paper_Textual_Conflict!AC2:AC181&lt;&gt;""still conflict""),Paper_Textual_Conflict!Z2:Z181=FALSE"&amp;"),))"),9.0)</f>
        <v>9</v>
      </c>
      <c r="K40" s="37">
        <f>IFERROR(__xludf.DUMMYFUNCTION("counta(iferror(filter(Paper_Textual_Conflict!AH2:AH181,Resolution_Type!E2:E181=TRUE,Paper_Textual_Conflict!AD2:AD181=TRUE,(Paper_Textual_Conflict!AH2:AH181&lt;&gt;""N/A"")*(Paper_Textual_Conflict!AH2:AH181&lt;&gt;""still conflict"")),))"),11.0)</f>
        <v>11</v>
      </c>
      <c r="L40" s="37">
        <f>IFERROR(__xludf.DUMMYFUNCTION("counta(iferror(filter(Paper_Textual_Conflict!AH2:AH181,Resolution_Type!E2:E181=TRUE,Paper_Textual_Conflict!AD2:AD181=TRUE,(Paper_Textual_Conflict!AH2:AH181&lt;&gt;""N/A"")*(Paper_Textual_Conflict!AH2:AH181&lt;&gt;""still conflict""),Paper_Textual_Conflict!AE2:AE181=T"&amp;"RUE),))"),7.0)</f>
        <v>7</v>
      </c>
      <c r="M40" s="76">
        <f>IFERROR(__xludf.DUMMYFUNCTION("counta(iferror(filter(Paper_Textual_Conflict!AH2:AH181,Resolution_Type!E2:E181=TRUE,Paper_Textual_Conflict!AD2:AD181=TRUE,(Paper_Textual_Conflict!AH2:AH181&lt;&gt;""N/A"")*(Paper_Textual_Conflict!AH2:AH181&lt;&gt;""still conflict""),Paper_Textual_Conflict!AE2:AE181=F"&amp;"ALSE),))"),4.0)</f>
        <v>4</v>
      </c>
      <c r="N40" s="37">
        <f>IFERROR(__xludf.DUMMYFUNCTION("counta(iferror(filter(Paper_Textual_Conflict!AM2:AM181,Resolution_Type!E2:E181=TRUE,Paper_Textual_Conflict!AI2:AI181=TRUE,(Paper_Textual_Conflict!AM2:AM181&lt;&gt;""N/A"")*(Paper_Textual_Conflict!AM2:AM181&lt;&gt;""still conflict"")),))"),19.0)</f>
        <v>19</v>
      </c>
      <c r="O40" s="37">
        <f>IFERROR(__xludf.DUMMYFUNCTION("counta(iferror(filter(Paper_Textual_Conflict!AM2:AM181,Resolution_Type!E2:E181=TRUE,Paper_Textual_Conflict!AI2:AI181=TRUE,(Paper_Textual_Conflict!AM2:AM181&lt;&gt;""N/A"")*(Paper_Textual_Conflict!AM2:AM181&lt;&gt;""still conflict""),Paper_Textual_Conflict!AJ2:AJ181=T"&amp;"RUE),))"),8.0)</f>
        <v>8</v>
      </c>
      <c r="P40" s="76">
        <f>IFERROR(__xludf.DUMMYFUNCTION("counta(iferror(filter(Paper_Textual_Conflict!AM2:AM181,Resolution_Type!E2:E181=TRUE,Paper_Textual_Conflict!AI2:AI181=TRUE,(Paper_Textual_Conflict!AM2:AM181&lt;&gt;""N/A"")*(Paper_Textual_Conflict!AM2:AM181&lt;&gt;""still conflict""),Paper_Textual_Conflict!AJ2:AJ181=F"&amp;"ALSE),))"),11.0)</f>
        <v>11</v>
      </c>
      <c r="Q40" s="77">
        <f>IFERROR(__xludf.DUMMYFUNCTION("counta(iferror(filter(Paper_Textual_Conflict!AR2:AR181,Resolution_Type!E2:E181=TRUE,Paper_Textual_Conflict!AN2:AN181=TRUE,(Paper_Textual_Conflict!AR2:AR181&lt;&gt;""N/A"")*(Paper_Textual_Conflict!AR2:AR181&lt;&gt;""still conflict"")),))"),7.0)</f>
        <v>7</v>
      </c>
      <c r="R40" s="37">
        <f>IFERROR(__xludf.DUMMYFUNCTION("counta(iferror(filter(Paper_Textual_Conflict!AR2:AR181,Resolution_Type!E2:E181=TRUE,Paper_Textual_Conflict!AN2:AN181=TRUE,(Paper_Textual_Conflict!AR2:AR181&lt;&gt;""N/A"")*(Paper_Textual_Conflict!AR2:AR181&lt;&gt;""still conflict""),Paper_Textual_Conflict!AO2:AO181=T"&amp;"RUE),))"),7.0)</f>
        <v>7</v>
      </c>
      <c r="S40" s="37">
        <f>IFERROR(__xludf.DUMMYFUNCTION("counta(iferror(filter(Paper_Textual_Conflict!AR2:AR181,Resolution_Type!E2:E181=TRUE,Paper_Textual_Conflict!AN2:AN181=TRUE,(Paper_Textual_Conflict!AR2:AR181&lt;&gt;""N/A"")*(Paper_Textual_Conflict!AR2:AR181&lt;&gt;""still conflict""),Paper_Textual_Conflict!AO2:AO181=F"&amp;"ALSE),))"),0.0)</f>
        <v>0</v>
      </c>
    </row>
    <row r="41">
      <c r="A41" s="37" t="s">
        <v>86</v>
      </c>
      <c r="B41" s="37">
        <f>COUNTif(Resolution_Type!G2:G181,TRUE)</f>
        <v>30</v>
      </c>
      <c r="C41" s="25">
        <f>COUNTA(Resolution_Type!G186:G1005)</f>
        <v>15</v>
      </c>
      <c r="D41" s="73">
        <f t="shared" si="6"/>
        <v>15</v>
      </c>
      <c r="E41" s="37">
        <f>IFERROR(__xludf.DUMMYFUNCTION("counta(iferror(filter(Paper_Textual_Conflict!X2:X181,Resolution_Type!G2:G181=TRUE,Paper_Textual_Conflict!T2:T181=TRUE,(Paper_Textual_Conflict!X2:X181&lt;&gt;""N/A"")*(Paper_Textual_Conflict!X2:X181&lt;&gt;""still conflict"")),))"),14.0)</f>
        <v>14</v>
      </c>
      <c r="F41" s="37">
        <f>IFERROR(__xludf.DUMMYFUNCTION("counta(iferror(filter(Paper_Textual_Conflict!X2:X181,Resolution_Type!G2:G181=TRUE,Paper_Textual_Conflict!T2:T181=TRUE,(Paper_Textual_Conflict!X2:X181&lt;&gt;""N/A"")*(Paper_Textual_Conflict!X2:X181&lt;&gt;""still conflict""),Paper_Textual_Conflict!U2:U181=TRUE),))"),7.0)</f>
        <v>7</v>
      </c>
      <c r="G41" s="76">
        <f>IFERROR(__xludf.DUMMYFUNCTION("counta(iferror(filter(Paper_Textual_Conflict!X2:X181,Resolution_Type!G2:G181=TRUE,Paper_Textual_Conflict!T2:T181=TRUE,(Paper_Textual_Conflict!X2:X181&lt;&gt;""N/A"")*(Paper_Textual_Conflict!X2:X181&lt;&gt;""still conflict""),Paper_Textual_Conflict!U2:U181=FALSE),))"),7.0)</f>
        <v>7</v>
      </c>
      <c r="H41" s="37">
        <f>IFERROR(__xludf.DUMMYFUNCTION("counta(iferror(filter(Paper_Textual_Conflict!AC2:AC181,Resolution_Type!G2:G181=TRUE,Paper_Textual_Conflict!Y2:Y181=TRUE,(Paper_Textual_Conflict!AC2:AC181&lt;&gt;""N/A"")*(Paper_Textual_Conflict!AC2:AC181&lt;&gt;""still conflict"")),))"),13.0)</f>
        <v>13</v>
      </c>
      <c r="I41" s="37">
        <f>IFERROR(__xludf.DUMMYFUNCTION("counta(iferror(filter(Paper_Textual_Conflict!AC2:AC181,Resolution_Type!G2:G181=TRUE,Paper_Textual_Conflict!Y2:Y181=TRUE,(Paper_Textual_Conflict!AC2:AC181&lt;&gt;""N/A"")*(Paper_Textual_Conflict!AC2:AC181&lt;&gt;""still conflict""),Paper_Textual_Conflict!Z2:Z181=TRUE)"&amp;",))"),13.0)</f>
        <v>13</v>
      </c>
      <c r="J41" s="76">
        <f>IFERROR(__xludf.DUMMYFUNCTION("counta(iferror(filter(Paper_Textual_Conflict!AC2:AC181,Resolution_Type!G2:G181=TRUE,Paper_Textual_Conflict!Y2:Y181=TRUE,(Paper_Textual_Conflict!AC2:AC181&lt;&gt;""N/A"")*(Paper_Textual_Conflict!AC2:AC181&lt;&gt;""still conflict""),Paper_Textual_Conflict!Z2:Z181=FALSE"&amp;"),))"),0.0)</f>
        <v>0</v>
      </c>
      <c r="K41" s="37">
        <f>IFERROR(__xludf.DUMMYFUNCTION("counta(iferror(filter(Paper_Textual_Conflict!AH2:AH181,Resolution_Type!G2:G181=TRUE,Paper_Textual_Conflict!AD2:AD181=TRUE,(Paper_Textual_Conflict!AH2:AH181&lt;&gt;""N/A"")*(Paper_Textual_Conflict!AH2:AH181&lt;&gt;""still conflict"")),))"),11.0)</f>
        <v>11</v>
      </c>
      <c r="L41" s="37">
        <f>IFERROR(__xludf.DUMMYFUNCTION("counta(iferror(filter(Paper_Textual_Conflict!AH2:AH181,Resolution_Type!G2:G181=TRUE,Paper_Textual_Conflict!AD2:AD181=TRUE,(Paper_Textual_Conflict!AH2:AH181&lt;&gt;""N/A"")*(Paper_Textual_Conflict!AH2:AH181&lt;&gt;""still conflict""),Paper_Textual_Conflict!AE2:AE181=T"&amp;"RUE),))"),8.0)</f>
        <v>8</v>
      </c>
      <c r="M41" s="76">
        <f>IFERROR(__xludf.DUMMYFUNCTION("counta(iferror(filter(Paper_Textual_Conflict!AH2:AH181,Resolution_Type!G2:G181=TRUE,Paper_Textual_Conflict!AD2:AD181=TRUE,(Paper_Textual_Conflict!AH2:AH181&lt;&gt;""N/A"")*(Paper_Textual_Conflict!AH2:AH181&lt;&gt;""still conflict""),Paper_Textual_Conflict!AE2:AE181=F"&amp;"ALSE),))"),3.0)</f>
        <v>3</v>
      </c>
      <c r="N41" s="37">
        <f>IFERROR(__xludf.DUMMYFUNCTION("counta(iferror(filter(Paper_Textual_Conflict!AM2:AM181,Resolution_Type!G2:G181=TRUE,Paper_Textual_Conflict!AI2:AI181=TRUE,(Paper_Textual_Conflict!AM2:AM181&lt;&gt;""N/A"")*(Paper_Textual_Conflict!AM2:AM181&lt;&gt;""still conflict"")),))"),14.0)</f>
        <v>14</v>
      </c>
      <c r="O41" s="37">
        <f>IFERROR(__xludf.DUMMYFUNCTION("counta(iferror(filter(Paper_Textual_Conflict!AM2:AM181,Resolution_Type!G2:G181=TRUE,Paper_Textual_Conflict!AI2:AI181=TRUE,(Paper_Textual_Conflict!AM2:AM181&lt;&gt;""N/A"")*(Paper_Textual_Conflict!AM2:AM181&lt;&gt;""still conflict""),Paper_Textual_Conflict!AJ2:AJ181=T"&amp;"RUE),))"),14.0)</f>
        <v>14</v>
      </c>
      <c r="P41" s="76">
        <f>IFERROR(__xludf.DUMMYFUNCTION("counta(iferror(filter(Paper_Textual_Conflict!AM2:AM181,Resolution_Type!G2:G181=TRUE,Paper_Textual_Conflict!AI2:AI181=TRUE,(Paper_Textual_Conflict!AM2:AM181&lt;&gt;""N/A"")*(Paper_Textual_Conflict!AM2:AM181&lt;&gt;""still conflict""),Paper_Textual_Conflict!AJ2:AJ181=F"&amp;"ALSE),))"),0.0)</f>
        <v>0</v>
      </c>
      <c r="Q41" s="77">
        <f>IFERROR(__xludf.DUMMYFUNCTION("counta(iferror(filter(Paper_Textual_Conflict!AR2:AR181,Resolution_Type!G2:G181=TRUE,Paper_Textual_Conflict!AN2:AN181=TRUE,(Paper_Textual_Conflict!AR2:AR181&lt;&gt;""N/A"")*(Paper_Textual_Conflict!AR2:AR181&lt;&gt;""still conflict"")),))"),11.0)</f>
        <v>11</v>
      </c>
      <c r="R41" s="37">
        <f>IFERROR(__xludf.DUMMYFUNCTION("counta(iferror(filter(Paper_Textual_Conflict!AR2:AR181,Resolution_Type!G2:G181=TRUE,Paper_Textual_Conflict!AN2:AN181=TRUE,(Paper_Textual_Conflict!AR2:AR181&lt;&gt;""N/A"")*(Paper_Textual_Conflict!AR2:AR181&lt;&gt;""still conflict""),Paper_Textual_Conflict!AO2:AO181=T"&amp;"RUE),))"),11.0)</f>
        <v>11</v>
      </c>
      <c r="S41" s="37">
        <f>IFERROR(__xludf.DUMMYFUNCTION("counta(iferror(filter(Paper_Textual_Conflict!AR2:AR181,Resolution_Type!G2:G181=TRUE,Paper_Textual_Conflict!AN2:AN181=TRUE,(Paper_Textual_Conflict!AR2:AR181&lt;&gt;""N/A"")*(Paper_Textual_Conflict!AR2:AR181&lt;&gt;""still conflict""),Paper_Textual_Conflict!AO2:AO181=F"&amp;"ALSE),))"),0.0)</f>
        <v>0</v>
      </c>
    </row>
    <row r="42">
      <c r="A42" s="37" t="s">
        <v>189</v>
      </c>
      <c r="B42" s="37">
        <f>COUNTif(Resolution_Type!F2:F181,TRUE)</f>
        <v>4</v>
      </c>
      <c r="C42" s="25">
        <f>COUNTA(Resolution_Type!F186:F1005)</f>
        <v>3</v>
      </c>
      <c r="D42" s="73">
        <f t="shared" si="6"/>
        <v>1</v>
      </c>
      <c r="E42" s="37">
        <f>IFERROR(__xludf.DUMMYFUNCTION("counta(iferror(filter(Paper_Textual_Conflict!X2:X181,Resolution_Type!F2:F181=TRUE,Paper_Textual_Conflict!T2:T181=TRUE,(Paper_Textual_Conflict!X2:X181&lt;&gt;""N/A"")*(Paper_Textual_Conflict!X2:X181&lt;&gt;""still conflict"")),))"),3.0)</f>
        <v>3</v>
      </c>
      <c r="F42" s="37">
        <f>IFERROR(__xludf.DUMMYFUNCTION("counta(iferror(filter(Paper_Textual_Conflict!X2:X181,Resolution_Type!F2:F181=TRUE,Paper_Textual_Conflict!T2:T181=TRUE,(Paper_Textual_Conflict!X2:X181&lt;&gt;""N/A"")*(Paper_Textual_Conflict!X2:X181&lt;&gt;""still conflict""),Paper_Textual_Conflict!U2:U181=TRUE),))"),0.0)</f>
        <v>0</v>
      </c>
      <c r="G42" s="76">
        <f>IFERROR(__xludf.DUMMYFUNCTION("counta(iferror(filter(Paper_Textual_Conflict!X2:X181,Resolution_Type!F2:F181=TRUE,Paper_Textual_Conflict!T2:T181=TRUE,(Paper_Textual_Conflict!X2:X181&lt;&gt;""N/A"")*(Paper_Textual_Conflict!X2:X181&lt;&gt;""still conflict""),Paper_Textual_Conflict!U2:U181=FALSE),))"),3.0)</f>
        <v>3</v>
      </c>
      <c r="H42" s="37">
        <f>IFERROR(__xludf.DUMMYFUNCTION("counta(iferror(filter(Paper_Textual_Conflict!AC2:AC181,Resolution_Type!F2:F181=TRUE,Paper_Textual_Conflict!Y2:Y181=TRUE,(Paper_Textual_Conflict!AC2:AC181&lt;&gt;""N/A"")*(Paper_Textual_Conflict!AC2:AC181&lt;&gt;""still conflict"")),))"),1.0)</f>
        <v>1</v>
      </c>
      <c r="I42" s="37">
        <f>IFERROR(__xludf.DUMMYFUNCTION("counta(iferror(filter(Paper_Textual_Conflict!AC2:AC181,Resolution_Type!F2:F181=TRUE,Paper_Textual_Conflict!Y2:Y181=TRUE,(Paper_Textual_Conflict!AC2:AC181&lt;&gt;""N/A"")*(Paper_Textual_Conflict!AC2:AC181&lt;&gt;""still conflict""),Paper_Textual_Conflict!Z2:Z181=TRUE)"&amp;",))"),0.0)</f>
        <v>0</v>
      </c>
      <c r="J42" s="76">
        <f>IFERROR(__xludf.DUMMYFUNCTION("counta(iferror(filter(Paper_Textual_Conflict!AC2:AC181,Resolution_Type!F2:F181=TRUE,Paper_Textual_Conflict!Y2:Y181=TRUE,(Paper_Textual_Conflict!AC2:AC181&lt;&gt;""N/A"")*(Paper_Textual_Conflict!AC2:AC181&lt;&gt;""still conflict""),Paper_Textual_Conflict!Z2:Z181=FALSE"&amp;"),))"),1.0)</f>
        <v>1</v>
      </c>
      <c r="K42" s="37">
        <f>IFERROR(__xludf.DUMMYFUNCTION("counta(iferror(filter(Paper_Textual_Conflict!AH2:AH181,Resolution_Type!F2:F181=TRUE,Paper_Textual_Conflict!AD2:AD181=TRUE,(Paper_Textual_Conflict!AH2:AH181&lt;&gt;""N/A"")*(Paper_Textual_Conflict!AH2:AH181&lt;&gt;""still conflict"")),))"),1.0)</f>
        <v>1</v>
      </c>
      <c r="L42" s="37">
        <f>IFERROR(__xludf.DUMMYFUNCTION("counta(iferror(filter(Paper_Textual_Conflict!AH2:AH181,Resolution_Type!F2:F181=TRUE,Paper_Textual_Conflict!AD2:AD181=TRUE,(Paper_Textual_Conflict!AH2:AH181&lt;&gt;""N/A"")*(Paper_Textual_Conflict!AH2:AH181&lt;&gt;""still conflict""),Paper_Textual_Conflict!AE2:AE181=T"&amp;"RUE),))"),0.0)</f>
        <v>0</v>
      </c>
      <c r="M42" s="76">
        <f>IFERROR(__xludf.DUMMYFUNCTION("counta(iferror(filter(Paper_Textual_Conflict!AH2:AH181,Resolution_Type!F2:F181=TRUE,Paper_Textual_Conflict!AD2:AD181=TRUE,(Paper_Textual_Conflict!AH2:AH181&lt;&gt;""N/A"")*(Paper_Textual_Conflict!AH2:AH181&lt;&gt;""still conflict""),Paper_Textual_Conflict!AE2:AE181=F"&amp;"ALSE),))"),1.0)</f>
        <v>1</v>
      </c>
      <c r="N42" s="37">
        <f>IFERROR(__xludf.DUMMYFUNCTION("counta(iferror(filter(Paper_Textual_Conflict!AM2:AM181,Resolution_Type!F2:F181=TRUE,Paper_Textual_Conflict!AI2:AI181=TRUE,(Paper_Textual_Conflict!AM2:AM181&lt;&gt;""N/A"")*(Paper_Textual_Conflict!AM2:AM181&lt;&gt;""still conflict"")),))"),1.0)</f>
        <v>1</v>
      </c>
      <c r="O42" s="37">
        <f>IFERROR(__xludf.DUMMYFUNCTION("counta(iferror(filter(Paper_Textual_Conflict!AM2:AM181,Resolution_Type!F2:F181=TRUE,Paper_Textual_Conflict!AI2:AI181=TRUE,(Paper_Textual_Conflict!AM2:AM181&lt;&gt;""N/A"")*(Paper_Textual_Conflict!AM2:AM181&lt;&gt;""still conflict""),Paper_Textual_Conflict!AJ2:AJ181=T"&amp;"RUE),))"),0.0)</f>
        <v>0</v>
      </c>
      <c r="P42" s="76">
        <f>IFERROR(__xludf.DUMMYFUNCTION("counta(iferror(filter(Paper_Textual_Conflict!AM2:AM181,Resolution_Type!F2:F181=TRUE,Paper_Textual_Conflict!AI2:AI181=TRUE,(Paper_Textual_Conflict!AM2:AM181&lt;&gt;""N/A"")*(Paper_Textual_Conflict!AM2:AM181&lt;&gt;""still conflict""),Paper_Textual_Conflict!AJ2:AJ181=F"&amp;"ALSE),))"),1.0)</f>
        <v>1</v>
      </c>
      <c r="Q42" s="77">
        <f>IFERROR(__xludf.DUMMYFUNCTION("counta(iferror(filter(Paper_Textual_Conflict!AR2:AR181,Resolution_Type!F2:F181=TRUE,Paper_Textual_Conflict!AN2:AN181=TRUE,(Paper_Textual_Conflict!AR2:AR181&lt;&gt;""N/A"")*(Paper_Textual_Conflict!AR2:AR181&lt;&gt;""still conflict"")),))"),1.0)</f>
        <v>1</v>
      </c>
      <c r="R42" s="37">
        <f>IFERROR(__xludf.DUMMYFUNCTION("counta(iferror(filter(Paper_Textual_Conflict!AR2:AR181,Resolution_Type!F2:F181=TRUE,Paper_Textual_Conflict!AN2:AN181=TRUE,(Paper_Textual_Conflict!AR2:AR181&lt;&gt;""N/A"")*(Paper_Textual_Conflict!AR2:AR181&lt;&gt;""still conflict""),Paper_Textual_Conflict!AO2:AO181=T"&amp;"RUE),))"),1.0)</f>
        <v>1</v>
      </c>
      <c r="S42" s="37">
        <f>IFERROR(__xludf.DUMMYFUNCTION("counta(iferror(filter(Paper_Textual_Conflict!AR2:AR181,Resolution_Type!F2:F181=TRUE,Paper_Textual_Conflict!AN2:AN181=TRUE,(Paper_Textual_Conflict!AR2:AR181&lt;&gt;""N/A"")*(Paper_Textual_Conflict!AR2:AR181&lt;&gt;""still conflict""),Paper_Textual_Conflict!AO2:AO181=F"&amp;"ALSE),))"),0.0)</f>
        <v>0</v>
      </c>
    </row>
    <row r="43">
      <c r="A43" s="37" t="s">
        <v>62</v>
      </c>
      <c r="B43" s="37">
        <f>COUNTif(Resolution_Type!H2:H181,TRUE)</f>
        <v>3</v>
      </c>
      <c r="C43" s="25">
        <f>COUNTA(Resolution_Type!H186:H1005)</f>
        <v>2</v>
      </c>
      <c r="D43" s="73">
        <f t="shared" si="6"/>
        <v>1</v>
      </c>
      <c r="E43" s="37">
        <f>IFERROR(__xludf.DUMMYFUNCTION("counta(iferror(filter(Paper_Textual_Conflict!X2:X181,Resolution_Type!H2:H181=TRUE,Paper_Textual_Conflict!T2:T181=TRUE,(Paper_Textual_Conflict!X2:X181&lt;&gt;""N/A"")*(Paper_Textual_Conflict!X2:X181&lt;&gt;""still conflict"")),))"),1.0)</f>
        <v>1</v>
      </c>
      <c r="F43" s="37">
        <f>IFERROR(__xludf.DUMMYFUNCTION("counta(iferror(filter(Paper_Textual_Conflict!X2:X181,Resolution_Type!H2:H181=TRUE,Paper_Textual_Conflict!T2:T181=TRUE,(Paper_Textual_Conflict!X2:X181&lt;&gt;""N/A"")*(Paper_Textual_Conflict!X2:X181&lt;&gt;""still conflict""),Paper_Textual_Conflict!U2:U181=TRUE),))"),1.0)</f>
        <v>1</v>
      </c>
      <c r="G43" s="76">
        <f>IFERROR(__xludf.DUMMYFUNCTION("counta(iferror(filter(Paper_Textual_Conflict!X2:X181,Resolution_Type!H2:H181=TRUE,Paper_Textual_Conflict!T2:T181=TRUE,(Paper_Textual_Conflict!X2:X181&lt;&gt;""N/A"")*(Paper_Textual_Conflict!X2:X181&lt;&gt;""still conflict""),Paper_Textual_Conflict!U2:U181=FALSE),))"),0.0)</f>
        <v>0</v>
      </c>
      <c r="H43" s="37">
        <f>IFERROR(__xludf.DUMMYFUNCTION("counta(iferror(filter(Paper_Textual_Conflict!AC2:AC181,Resolution_Type!H2:H181=TRUE,Paper_Textual_Conflict!Y2:Y181=TRUE,(Paper_Textual_Conflict!AC2:AC181&lt;&gt;""N/A"")*(Paper_Textual_Conflict!AC2:AC181&lt;&gt;""still conflict"")),))"),2.0)</f>
        <v>2</v>
      </c>
      <c r="I43" s="37">
        <f>IFERROR(__xludf.DUMMYFUNCTION("counta(iferror(filter(Paper_Textual_Conflict!AC2:AC181,Resolution_Type!H2:H181=TRUE,Paper_Textual_Conflict!Y2:Y181=TRUE,(Paper_Textual_Conflict!AC2:AC181&lt;&gt;""N/A"")*(Paper_Textual_Conflict!AC2:AC181&lt;&gt;""still conflict""),Paper_Textual_Conflict!Z2:Z181=TRUE)"&amp;",))"),1.0)</f>
        <v>1</v>
      </c>
      <c r="J43" s="76">
        <f>IFERROR(__xludf.DUMMYFUNCTION("counta(iferror(filter(Paper_Textual_Conflict!AC2:AC181,Resolution_Type!H2:H181=TRUE,Paper_Textual_Conflict!Y2:Y181=TRUE,(Paper_Textual_Conflict!AC2:AC181&lt;&gt;""N/A"")*(Paper_Textual_Conflict!AC2:AC181&lt;&gt;""still conflict""),Paper_Textual_Conflict!Z2:Z181=FALSE"&amp;"),))"),1.0)</f>
        <v>1</v>
      </c>
      <c r="K43" s="37">
        <f>IFERROR(__xludf.DUMMYFUNCTION("counta(iferror(filter(Paper_Textual_Conflict!AH2:AH181,Resolution_Type!H2:H181=TRUE,Paper_Textual_Conflict!AD2:AD181=TRUE,(Paper_Textual_Conflict!AH2:AH181&lt;&gt;""N/A"")*(Paper_Textual_Conflict!AH2:AH181&lt;&gt;""still conflict"")),))"),2.0)</f>
        <v>2</v>
      </c>
      <c r="L43" s="37">
        <f>IFERROR(__xludf.DUMMYFUNCTION("counta(iferror(filter(Paper_Textual_Conflict!AH2:AH181,Resolution_Type!H2:H181=TRUE,Paper_Textual_Conflict!AD2:AD181=TRUE,(Paper_Textual_Conflict!AH2:AH181&lt;&gt;""N/A"")*(Paper_Textual_Conflict!AH2:AH181&lt;&gt;""still conflict""),Paper_Textual_Conflict!AE2:AE181=T"&amp;"RUE),))"),1.0)</f>
        <v>1</v>
      </c>
      <c r="M43" s="76">
        <f>IFERROR(__xludf.DUMMYFUNCTION("counta(iferror(filter(Paper_Textual_Conflict!AH2:AH181,Resolution_Type!H2:H181=TRUE,Paper_Textual_Conflict!AD2:AD181=TRUE,(Paper_Textual_Conflict!AH2:AH181&lt;&gt;""N/A"")*(Paper_Textual_Conflict!AH2:AH181&lt;&gt;""still conflict""),Paper_Textual_Conflict!AE2:AE181=F"&amp;"ALSE),))"),1.0)</f>
        <v>1</v>
      </c>
      <c r="N43" s="37">
        <f>IFERROR(__xludf.DUMMYFUNCTION("counta(iferror(filter(Paper_Textual_Conflict!AM2:AM181,Resolution_Type!H2:H181=TRUE,Paper_Textual_Conflict!AI2:AI181=TRUE,(Paper_Textual_Conflict!AM2:AM181&lt;&gt;""N/A"")*(Paper_Textual_Conflict!AM2:AM181&lt;&gt;""still conflict"")),))"),2.0)</f>
        <v>2</v>
      </c>
      <c r="O43" s="37">
        <f>IFERROR(__xludf.DUMMYFUNCTION("counta(iferror(filter(Paper_Textual_Conflict!AM2:AM181,Resolution_Type!H2:H181=TRUE,Paper_Textual_Conflict!AI2:AI181=TRUE,(Paper_Textual_Conflict!AM2:AM181&lt;&gt;""N/A"")*(Paper_Textual_Conflict!AM2:AM181&lt;&gt;""still conflict""),Paper_Textual_Conflict!AJ2:AJ181=T"&amp;"RUE),))"),1.0)</f>
        <v>1</v>
      </c>
      <c r="P43" s="76">
        <f>IFERROR(__xludf.DUMMYFUNCTION("counta(iferror(filter(Paper_Textual_Conflict!AM2:AM181,Resolution_Type!H2:H181=TRUE,Paper_Textual_Conflict!AI2:AI181=TRUE,(Paper_Textual_Conflict!AM2:AM181&lt;&gt;""N/A"")*(Paper_Textual_Conflict!AM2:AM181&lt;&gt;""still conflict""),Paper_Textual_Conflict!AJ2:AJ181=F"&amp;"ALSE),))"),1.0)</f>
        <v>1</v>
      </c>
      <c r="Q43" s="77">
        <f>IFERROR(__xludf.DUMMYFUNCTION("counta(iferror(filter(Paper_Textual_Conflict!AR2:AR181,Resolution_Type!H2:H181=TRUE,Paper_Textual_Conflict!AN2:AN181=TRUE,(Paper_Textual_Conflict!AR2:AR181&lt;&gt;""N/A"")*(Paper_Textual_Conflict!AR2:AR181&lt;&gt;""still conflict"")),))"),0.0)</f>
        <v>0</v>
      </c>
      <c r="R43" s="37">
        <f>IFERROR(__xludf.DUMMYFUNCTION("counta(iferror(filter(Paper_Textual_Conflict!AR2:AR181,Resolution_Type!H2:H181=TRUE,Paper_Textual_Conflict!AN2:AN181=TRUE,(Paper_Textual_Conflict!AR2:AR181&lt;&gt;""N/A"")*(Paper_Textual_Conflict!AR2:AR181&lt;&gt;""still conflict""),Paper_Textual_Conflict!AO2:AO181=T"&amp;"RUE),))"),0.0)</f>
        <v>0</v>
      </c>
      <c r="S43" s="37">
        <f>IFERROR(__xludf.DUMMYFUNCTION("counta(iferror(filter(Paper_Textual_Conflict!AR2:AR181,Resolution_Type!H2:H181=TRUE,Paper_Textual_Conflict!AN2:AN181=TRUE,(Paper_Textual_Conflict!AR2:AR181&lt;&gt;""N/A"")*(Paper_Textual_Conflict!AR2:AR181&lt;&gt;""still conflict""),Paper_Textual_Conflict!AO2:AO181=F"&amp;"ALSE),))"),0.0)</f>
        <v>0</v>
      </c>
    </row>
    <row r="44">
      <c r="A44" s="37" t="s">
        <v>469</v>
      </c>
      <c r="B44" s="37">
        <f>COUNTif(Resolution_Type!I2:I181,TRUE)</f>
        <v>5</v>
      </c>
      <c r="C44" s="25">
        <f>COUNTA(Resolution_Type!I186:I1005)</f>
        <v>5</v>
      </c>
      <c r="D44" s="73">
        <f t="shared" si="6"/>
        <v>0</v>
      </c>
      <c r="E44" s="37">
        <f>IFERROR(__xludf.DUMMYFUNCTION("counta(iferror(filter(Paper_Textual_Conflict!X2:X181,Resolution_Type!I2:I181=TRUE,Paper_Textual_Conflict!T2:T181=TRUE,(Paper_Textual_Conflict!X2:X181&lt;&gt;""N/A"")*(Paper_Textual_Conflict!X2:X181&lt;&gt;""still conflict"")),))"),0.0)</f>
        <v>0</v>
      </c>
      <c r="F44" s="37">
        <f>IFERROR(__xludf.DUMMYFUNCTION("counta(iferror(filter(Paper_Textual_Conflict!X2:X181,Resolution_Type!I2:I181=TRUE,Paper_Textual_Conflict!T2:T181=TRUE,(Paper_Textual_Conflict!X2:X181&lt;&gt;""N/A"")*(Paper_Textual_Conflict!X2:X181&lt;&gt;""still conflict""),Paper_Textual_Conflict!U2:U181=TRUE),))"),0.0)</f>
        <v>0</v>
      </c>
      <c r="G44" s="76">
        <f>IFERROR(__xludf.DUMMYFUNCTION("counta(iferror(filter(Paper_Textual_Conflict!X2:X181,Resolution_Type!I2:I181=TRUE,Paper_Textual_Conflict!T2:T181=TRUE,(Paper_Textual_Conflict!X2:X181&lt;&gt;""N/A"")*(Paper_Textual_Conflict!X2:X181&lt;&gt;""still conflict""),Paper_Textual_Conflict!U2:U181=FALSE),))"),0.0)</f>
        <v>0</v>
      </c>
      <c r="H44" s="37">
        <f>IFERROR(__xludf.DUMMYFUNCTION("counta(iferror(filter(Paper_Textual_Conflict!AC2:AC181,Resolution_Type!I2:I181=TRUE,Paper_Textual_Conflict!Y2:Y181=TRUE,(Paper_Textual_Conflict!AC2:AC181&lt;&gt;""N/A"")*(Paper_Textual_Conflict!AC2:AC181&lt;&gt;""still conflict"")),))"),1.0)</f>
        <v>1</v>
      </c>
      <c r="I44" s="37">
        <f>IFERROR(__xludf.DUMMYFUNCTION("counta(iferror(filter(Paper_Textual_Conflict!AC2:AC181,Resolution_Type!I2:I181=TRUE,Paper_Textual_Conflict!Y2:Y181=TRUE,(Paper_Textual_Conflict!AC2:AC181&lt;&gt;""N/A"")*(Paper_Textual_Conflict!AC2:AC181&lt;&gt;""still conflict""),Paper_Textual_Conflict!Z2:Z181=TRUE)"&amp;",))"),1.0)</f>
        <v>1</v>
      </c>
      <c r="J44" s="76">
        <f>IFERROR(__xludf.DUMMYFUNCTION("counta(iferror(filter(Paper_Textual_Conflict!AC2:AC181,Resolution_Type!I2:I181=TRUE,Paper_Textual_Conflict!Y2:Y181=TRUE,(Paper_Textual_Conflict!AC2:AC181&lt;&gt;""N/A"")*(Paper_Textual_Conflict!AC2:AC181&lt;&gt;""still conflict""),Paper_Textual_Conflict!Z2:Z181=FALSE"&amp;"),))"),0.0)</f>
        <v>0</v>
      </c>
      <c r="K44" s="37">
        <f>IFERROR(__xludf.DUMMYFUNCTION("counta(iferror(filter(Paper_Textual_Conflict!AH2:AH181,Resolution_Type!I2:I181=TRUE,Paper_Textual_Conflict!AD2:AD181=TRUE,(Paper_Textual_Conflict!AH2:AH181&lt;&gt;""N/A"")*(Paper_Textual_Conflict!AH2:AH181&lt;&gt;""still conflict"")),))"),1.0)</f>
        <v>1</v>
      </c>
      <c r="L44" s="37">
        <f>IFERROR(__xludf.DUMMYFUNCTION("counta(iferror(filter(Paper_Textual_Conflict!AH2:AH181,Resolution_Type!I2:I181=TRUE,Paper_Textual_Conflict!AD2:AD181=TRUE,(Paper_Textual_Conflict!AH2:AH181&lt;&gt;""N/A"")*(Paper_Textual_Conflict!AH2:AH181&lt;&gt;""still conflict""),Paper_Textual_Conflict!AE2:AE181=T"&amp;"RUE),))"),1.0)</f>
        <v>1</v>
      </c>
      <c r="M44" s="76">
        <f>IFERROR(__xludf.DUMMYFUNCTION("counta(iferror(filter(Paper_Textual_Conflict!AH2:AH181,Resolution_Type!I2:I181=TRUE,Paper_Textual_Conflict!AD2:AD181=TRUE,(Paper_Textual_Conflict!AH2:AH181&lt;&gt;""N/A"")*(Paper_Textual_Conflict!AH2:AH181&lt;&gt;""still conflict""),Paper_Textual_Conflict!AE2:AE181=F"&amp;"ALSE),))"),0.0)</f>
        <v>0</v>
      </c>
      <c r="N44" s="37">
        <f>IFERROR(__xludf.DUMMYFUNCTION("counta(iferror(filter(Paper_Textual_Conflict!AM2:AM181,Resolution_Type!I2:I181=TRUE,Paper_Textual_Conflict!AI2:AI181=TRUE,(Paper_Textual_Conflict!AM2:AM181&lt;&gt;""N/A"")*(Paper_Textual_Conflict!AM2:AM181&lt;&gt;""still conflict"")),))"),2.0)</f>
        <v>2</v>
      </c>
      <c r="O44" s="37">
        <f>IFERROR(__xludf.DUMMYFUNCTION("counta(iferror(filter(Paper_Textual_Conflict!AM2:AM181,Resolution_Type!I2:I181=TRUE,Paper_Textual_Conflict!AI2:AI181=TRUE,(Paper_Textual_Conflict!AM2:AM181&lt;&gt;""N/A"")*(Paper_Textual_Conflict!AM2:AM181&lt;&gt;""still conflict""),Paper_Textual_Conflict!AJ2:AJ181=T"&amp;"RUE),))"),2.0)</f>
        <v>2</v>
      </c>
      <c r="P44" s="76">
        <f>IFERROR(__xludf.DUMMYFUNCTION("counta(iferror(filter(Paper_Textual_Conflict!AM2:AM181,Resolution_Type!I2:I181=TRUE,Paper_Textual_Conflict!AI2:AI181=TRUE,(Paper_Textual_Conflict!AM2:AM181&lt;&gt;""N/A"")*(Paper_Textual_Conflict!AM2:AM181&lt;&gt;""still conflict""),Paper_Textual_Conflict!AJ2:AJ181=F"&amp;"ALSE),))"),0.0)</f>
        <v>0</v>
      </c>
      <c r="Q44" s="77">
        <f>IFERROR(__xludf.DUMMYFUNCTION("counta(iferror(filter(Paper_Textual_Conflict!AR2:AR181,Resolution_Type!I2:I181=TRUE,Paper_Textual_Conflict!AN2:AN181=TRUE,(Paper_Textual_Conflict!AR2:AR181&lt;&gt;""N/A"")*(Paper_Textual_Conflict!AR2:AR181&lt;&gt;""still conflict"")),))"),2.0)</f>
        <v>2</v>
      </c>
      <c r="R44" s="37">
        <f>IFERROR(__xludf.DUMMYFUNCTION("counta(iferror(filter(Paper_Textual_Conflict!AR2:AR181,Resolution_Type!I2:I181=TRUE,Paper_Textual_Conflict!AN2:AN181=TRUE,(Paper_Textual_Conflict!AR2:AR181&lt;&gt;""N/A"")*(Paper_Textual_Conflict!AR2:AR181&lt;&gt;""still conflict""),Paper_Textual_Conflict!AO2:AO181=T"&amp;"RUE),))"),2.0)</f>
        <v>2</v>
      </c>
      <c r="S44" s="37">
        <f>IFERROR(__xludf.DUMMYFUNCTION("counta(iferror(filter(Paper_Textual_Conflict!AR2:AR181,Resolution_Type!I2:I181=TRUE,Paper_Textual_Conflict!AN2:AN181=TRUE,(Paper_Textual_Conflict!AR2:AR181&lt;&gt;""N/A"")*(Paper_Textual_Conflict!AR2:AR181&lt;&gt;""still conflict""),Paper_Textual_Conflict!AO2:AO181=F"&amp;"ALSE),))"),0.0)</f>
        <v>0</v>
      </c>
    </row>
    <row r="45">
      <c r="A45" s="37" t="s">
        <v>79</v>
      </c>
      <c r="B45" s="37">
        <f>COUNTif(Resolution_Type!J2:J181,TRUE)</f>
        <v>19</v>
      </c>
      <c r="C45" s="25">
        <f>COUNTA(Resolution_Type!J186:J1005)</f>
        <v>14</v>
      </c>
      <c r="D45" s="73">
        <f t="shared" si="6"/>
        <v>5</v>
      </c>
      <c r="E45" s="37">
        <f>IFERROR(__xludf.DUMMYFUNCTION("counta(iferror(filter(Paper_Textual_Conflict!X2:X181,Resolution_Type!J2:J181=TRUE,Paper_Textual_Conflict!T2:T181=TRUE,(Paper_Textual_Conflict!X2:X181&lt;&gt;""N/A"")*(Paper_Textual_Conflict!X2:X181&lt;&gt;""still conflict"")),))"),7.0)</f>
        <v>7</v>
      </c>
      <c r="F45" s="37">
        <f>IFERROR(__xludf.DUMMYFUNCTION("counta(iferror(filter(Paper_Textual_Conflict!X2:X181,Resolution_Type!J2:J181=TRUE,Paper_Textual_Conflict!T2:T181=TRUE,(Paper_Textual_Conflict!X2:X181&lt;&gt;""N/A"")*(Paper_Textual_Conflict!X2:X181&lt;&gt;""still conflict""),Paper_Textual_Conflict!U2:U181=TRUE),))"),1.0)</f>
        <v>1</v>
      </c>
      <c r="G45" s="76">
        <f>IFERROR(__xludf.DUMMYFUNCTION("counta(iferror(filter(Paper_Textual_Conflict!X2:X181,Resolution_Type!J2:J181=TRUE,Paper_Textual_Conflict!T2:T181=TRUE,(Paper_Textual_Conflict!X2:X181&lt;&gt;""N/A"")*(Paper_Textual_Conflict!X2:X181&lt;&gt;""still conflict""),Paper_Textual_Conflict!U2:U181=FALSE),))"),6.0)</f>
        <v>6</v>
      </c>
      <c r="H45" s="37">
        <f>IFERROR(__xludf.DUMMYFUNCTION("counta(iferror(filter(Paper_Textual_Conflict!AC2:AC181,Resolution_Type!J2:J181=TRUE,Paper_Textual_Conflict!Y2:Y181=TRUE,(Paper_Textual_Conflict!AC2:AC181&lt;&gt;""N/A"")*(Paper_Textual_Conflict!AC2:AC181&lt;&gt;""still conflict"")),))"),9.0)</f>
        <v>9</v>
      </c>
      <c r="I45" s="37">
        <f>IFERROR(__xludf.DUMMYFUNCTION("counta(iferror(filter(Paper_Textual_Conflict!AC2:AC181,Resolution_Type!J2:J181=TRUE,Paper_Textual_Conflict!Y2:Y181=TRUE,(Paper_Textual_Conflict!AC2:AC181&lt;&gt;""N/A"")*(Paper_Textual_Conflict!AC2:AC181&lt;&gt;""still conflict""),Paper_Textual_Conflict!Z2:Z181=TRUE)"&amp;",))"),5.0)</f>
        <v>5</v>
      </c>
      <c r="J45" s="76">
        <f>IFERROR(__xludf.DUMMYFUNCTION("counta(iferror(filter(Paper_Textual_Conflict!AC2:AC181,Resolution_Type!J2:J181=TRUE,Paper_Textual_Conflict!Y2:Y181=TRUE,(Paper_Textual_Conflict!AC2:AC181&lt;&gt;""N/A"")*(Paper_Textual_Conflict!AC2:AC181&lt;&gt;""still conflict""),Paper_Textual_Conflict!Z2:Z181=FALSE"&amp;"),))"),4.0)</f>
        <v>4</v>
      </c>
      <c r="K45" s="37">
        <f>IFERROR(__xludf.DUMMYFUNCTION("counta(iferror(filter(Paper_Textual_Conflict!AH2:AH181,Resolution_Type!J2:J181=TRUE,Paper_Textual_Conflict!AD2:AD181=TRUE,(Paper_Textual_Conflict!AH2:AH181&lt;&gt;""N/A"")*(Paper_Textual_Conflict!AH2:AH181&lt;&gt;""still conflict"")),))"),5.0)</f>
        <v>5</v>
      </c>
      <c r="L45" s="37">
        <f>IFERROR(__xludf.DUMMYFUNCTION("counta(iferror(filter(Paper_Textual_Conflict!AH2:AH181,Resolution_Type!J2:J181=TRUE,Paper_Textual_Conflict!AD2:AD181=TRUE,(Paper_Textual_Conflict!AH2:AH181&lt;&gt;""N/A"")*(Paper_Textual_Conflict!AH2:AH181&lt;&gt;""still conflict""),Paper_Textual_Conflict!AE2:AE181=T"&amp;"RUE),))"),1.0)</f>
        <v>1</v>
      </c>
      <c r="M45" s="76">
        <f>IFERROR(__xludf.DUMMYFUNCTION("counta(iferror(filter(Paper_Textual_Conflict!AH2:AH181,Resolution_Type!J2:J181=TRUE,Paper_Textual_Conflict!AD2:AD181=TRUE,(Paper_Textual_Conflict!AH2:AH181&lt;&gt;""N/A"")*(Paper_Textual_Conflict!AH2:AH181&lt;&gt;""still conflict""),Paper_Textual_Conflict!AE2:AE181=F"&amp;"ALSE),))"),4.0)</f>
        <v>4</v>
      </c>
      <c r="N45" s="37">
        <f>IFERROR(__xludf.DUMMYFUNCTION("counta(iferror(filter(Paper_Textual_Conflict!AM2:AM181,Resolution_Type!J2:J181=TRUE,Paper_Textual_Conflict!AI2:AI181=TRUE,(Paper_Textual_Conflict!AM2:AM181&lt;&gt;""N/A"")*(Paper_Textual_Conflict!AM2:AM181&lt;&gt;""still conflict"")),))"),11.0)</f>
        <v>11</v>
      </c>
      <c r="O45" s="37">
        <f>IFERROR(__xludf.DUMMYFUNCTION("counta(iferror(filter(Paper_Textual_Conflict!AM2:AM181,Resolution_Type!J2:J181=TRUE,Paper_Textual_Conflict!AI2:AI181=TRUE,(Paper_Textual_Conflict!AM2:AM181&lt;&gt;""N/A"")*(Paper_Textual_Conflict!AM2:AM181&lt;&gt;""still conflict""),Paper_Textual_Conflict!AJ2:AJ181=T"&amp;"RUE),))"),5.0)</f>
        <v>5</v>
      </c>
      <c r="P45" s="76">
        <f>IFERROR(__xludf.DUMMYFUNCTION("counta(iferror(filter(Paper_Textual_Conflict!AM2:AM181,Resolution_Type!J2:J181=TRUE,Paper_Textual_Conflict!AI2:AI181=TRUE,(Paper_Textual_Conflict!AM2:AM181&lt;&gt;""N/A"")*(Paper_Textual_Conflict!AM2:AM181&lt;&gt;""still conflict""),Paper_Textual_Conflict!AJ2:AJ181=F"&amp;"ALSE),))"),6.0)</f>
        <v>6</v>
      </c>
      <c r="Q45" s="77">
        <f>IFERROR(__xludf.DUMMYFUNCTION("counta(iferror(filter(Paper_Textual_Conflict!AR2:AR181,Resolution_Type!J2:J181=TRUE,Paper_Textual_Conflict!AN2:AN181=TRUE,(Paper_Textual_Conflict!AR2:AR181&lt;&gt;""N/A"")*(Paper_Textual_Conflict!AR2:AR181&lt;&gt;""still conflict"")),))"),6.0)</f>
        <v>6</v>
      </c>
      <c r="R45" s="37">
        <f>IFERROR(__xludf.DUMMYFUNCTION("counta(iferror(filter(Paper_Textual_Conflict!AR2:AR181,Resolution_Type!J2:J181=TRUE,Paper_Textual_Conflict!AN2:AN181=TRUE,(Paper_Textual_Conflict!AR2:AR181&lt;&gt;""N/A"")*(Paper_Textual_Conflict!AR2:AR181&lt;&gt;""still conflict""),Paper_Textual_Conflict!AO2:AO181=T"&amp;"RUE),))"),4.0)</f>
        <v>4</v>
      </c>
      <c r="S45" s="37">
        <f>IFERROR(__xludf.DUMMYFUNCTION("counta(iferror(filter(Paper_Textual_Conflict!AR2:AR181,Resolution_Type!J2:J181=TRUE,Paper_Textual_Conflict!AN2:AN181=TRUE,(Paper_Textual_Conflict!AR2:AR181&lt;&gt;""N/A"")*(Paper_Textual_Conflict!AR2:AR181&lt;&gt;""still conflict""),Paper_Textual_Conflict!AO2:AO181=F"&amp;"ALSE),))"),2.0)</f>
        <v>2</v>
      </c>
    </row>
    <row r="46">
      <c r="A46" s="25" t="s">
        <v>2895</v>
      </c>
      <c r="B46" s="37">
        <f t="shared" ref="B46:S46" si="7">sum(B39:B45)</f>
        <v>180</v>
      </c>
      <c r="C46" s="37">
        <f t="shared" si="7"/>
        <v>136</v>
      </c>
      <c r="D46" s="76">
        <f t="shared" si="7"/>
        <v>44</v>
      </c>
      <c r="E46" s="37">
        <f t="shared" si="7"/>
        <v>75</v>
      </c>
      <c r="F46" s="37">
        <f t="shared" si="7"/>
        <v>33</v>
      </c>
      <c r="G46" s="76">
        <f t="shared" si="7"/>
        <v>42</v>
      </c>
      <c r="H46" s="37">
        <f t="shared" si="7"/>
        <v>69</v>
      </c>
      <c r="I46" s="37">
        <f t="shared" si="7"/>
        <v>47</v>
      </c>
      <c r="J46" s="76">
        <f t="shared" si="7"/>
        <v>22</v>
      </c>
      <c r="K46" s="37">
        <f t="shared" si="7"/>
        <v>54</v>
      </c>
      <c r="L46" s="37">
        <f t="shared" si="7"/>
        <v>29</v>
      </c>
      <c r="M46" s="76">
        <f t="shared" si="7"/>
        <v>25</v>
      </c>
      <c r="N46" s="37">
        <f t="shared" si="7"/>
        <v>77</v>
      </c>
      <c r="O46" s="37">
        <f t="shared" si="7"/>
        <v>49</v>
      </c>
      <c r="P46" s="76">
        <f t="shared" si="7"/>
        <v>28</v>
      </c>
      <c r="Q46" s="77">
        <f t="shared" si="7"/>
        <v>35</v>
      </c>
      <c r="R46" s="37">
        <f t="shared" si="7"/>
        <v>29</v>
      </c>
      <c r="S46" s="37">
        <f t="shared" si="7"/>
        <v>6</v>
      </c>
    </row>
    <row r="48">
      <c r="A48" s="33" t="s">
        <v>2941</v>
      </c>
      <c r="B48" s="33" t="s">
        <v>2855</v>
      </c>
      <c r="C48" s="33" t="s">
        <v>2856</v>
      </c>
      <c r="D48" s="33" t="s">
        <v>2857</v>
      </c>
      <c r="E48" s="33" t="s">
        <v>2858</v>
      </c>
      <c r="F48" s="33" t="s">
        <v>2859</v>
      </c>
      <c r="H48" s="25"/>
      <c r="K48" s="25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>
      <c r="A49" s="66" t="s">
        <v>2897</v>
      </c>
      <c r="B49" s="37">
        <f>countifs(Paper_Textual_Conflict!H2:H181,TRUE,Paper_Textual_Conflict!T2:T181,TRUE,Paper_Textual_Conflict!X2:X181,"still conflict",Conflict_Type!AE2:AE181,TRUE)</f>
        <v>1</v>
      </c>
      <c r="C49" s="37">
        <f>countifs(Paper_Textual_Conflict!H2:H181,TRUE,Paper_Textual_Conflict!Y2:Y181,TRUE,Paper_Textual_Conflict!AC2:AC181,"still conflict",Conflict_Type!AE2:AE181,TRUE)</f>
        <v>1</v>
      </c>
      <c r="D49" s="25">
        <f>countifs(Paper_Textual_Conflict!H2:H181,TRUE,Paper_Textual_Conflict!AD2:AD181,TRUE,Paper_Textual_Conflict!AH2:AH181,"still conflict",Conflict_Type!AE2:AE181,TRUE)</f>
        <v>0</v>
      </c>
      <c r="E49" s="37">
        <f>countifs(Paper_Textual_Conflict!H2:H181,TRUE,Paper_Textual_Conflict!AI2:AI181,TRUE,Paper_Textual_Conflict!AM2:AM181,"still conflict",Conflict_Type!AE2:AE181,TRUE)</f>
        <v>1</v>
      </c>
      <c r="F49" s="37">
        <f>countifs(Paper_Textual_Conflict!H2:H181,TRUE,Paper_Textual_Conflict!AN2:AN181,TRUE,Paper_Textual_Conflict!AR2:AR181,"still conflict",Conflict_Type!AE2:AE181,TRUE)</f>
        <v>2</v>
      </c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</row>
    <row r="50">
      <c r="A50" s="66" t="s">
        <v>2319</v>
      </c>
      <c r="B50" s="61">
        <f>countifs(Paper_Textual_Conflict!H2:H181,TRUE,Paper_Textual_Conflict!T2:T181,TRUE,Paper_Textual_Conflict!X2:X181,"still conflict",Conflict_Type!AD2:AD181,TRUE)</f>
        <v>3</v>
      </c>
      <c r="C50" s="61">
        <f>countifs(Paper_Textual_Conflict!H2:H181,TRUE,Paper_Textual_Conflict!Y2:Y181,TRUE,Paper_Textual_Conflict!AC2:AC181,"still conflict",Conflict_Type!AD2:AD181,TRUE)</f>
        <v>3</v>
      </c>
      <c r="D50" s="61">
        <f>countifs(Paper_Textual_Conflict!H2:H181,TRUE,Paper_Textual_Conflict!AD2:AD181,TRUE,Paper_Textual_Conflict!AH2:AH181,"still conflict",Conflict_Type!AD2:AD181,TRUE)</f>
        <v>4</v>
      </c>
      <c r="E50" s="61">
        <f>countifs(Paper_Textual_Conflict!H2:H181,TRUE,Paper_Textual_Conflict!AI2:AI181,TRUE,Paper_Textual_Conflict!AM2:AM181,"still conflict",Conflict_Type!AD2:AD181,TRUE)</f>
        <v>2</v>
      </c>
      <c r="F50" s="61">
        <f>countifs(Paper_Textual_Conflict!H2:H181,TRUE,Paper_Textual_Conflict!AN2:AN181,TRUE,Paper_Textual_Conflict!AR2:AR181,"still conflict",Conflict_Type!AD2:AD181,TRUE)</f>
        <v>34</v>
      </c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</row>
    <row r="51">
      <c r="A51" s="66" t="s">
        <v>2898</v>
      </c>
      <c r="B51" s="37">
        <f>countifs(Paper_Textual_Conflict!H2:H181,TRUE,Paper_Textual_Conflict!T2:T181,TRUE,Paper_Textual_Conflict!X2:X181,"still conflict",Conflict_Type!AF2:AF181,TRUE)</f>
        <v>0</v>
      </c>
      <c r="C51" s="37">
        <f>countifs(Paper_Textual_Conflict!H2:H181,TRUE,Paper_Textual_Conflict!Y2:Y181,TRUE,Paper_Textual_Conflict!AC2:AC181,"still conflict",Conflict_Type!AF2:AF181,TRUE)</f>
        <v>0</v>
      </c>
      <c r="D51" s="25">
        <f>countifs(Paper_Textual_Conflict!H2:H181,TRUE,Paper_Textual_Conflict!AD2:AD181,TRUE,Paper_Textual_Conflict!AH2:AH181,"still conflict",Conflict_Type!AF2:AF181,TRUE)</f>
        <v>0</v>
      </c>
      <c r="E51" s="37">
        <f>countifs(Paper_Textual_Conflict!H2:H181,TRUE,Paper_Textual_Conflict!AI2:AI181,TRUE,Paper_Textual_Conflict!AM2:AM181,"still conflict",Conflict_Type!AF2:AF181,TRUE)</f>
        <v>0</v>
      </c>
      <c r="F51" s="37">
        <f>countifs(Paper_Textual_Conflict!H2:H181,TRUE,Paper_Textual_Conflict!AN2:AN181,TRUE,Paper_Textual_Conflict!AR2:AR181,"still conflict",Conflict_Type!AF2:AF181,TRUE)</f>
        <v>0</v>
      </c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</row>
    <row r="52">
      <c r="A52" s="61" t="s">
        <v>2899</v>
      </c>
      <c r="B52" s="37">
        <f>countifs(Paper_Textual_Conflict!H2:H181,TRUE,Paper_Textual_Conflict!T2:T181,TRUE,Paper_Textual_Conflict!X2:X181,"still conflict",Conflict_Type!AG2:AG181,TRUE)</f>
        <v>0</v>
      </c>
      <c r="C52" s="37">
        <f>countifs(Paper_Textual_Conflict!H2:H181,TRUE,Paper_Textual_Conflict!Y2:Y181,TRUE,Paper_Textual_Conflict!AC2:AC181,"still conflict",Conflict_Type!AG2:AG181,TRUE)</f>
        <v>0</v>
      </c>
      <c r="D52" s="25">
        <f>countifs(Paper_Textual_Conflict!H2:H181,TRUE,Paper_Textual_Conflict!AD2:AD181,TRUE,Paper_Textual_Conflict!AH2:AH181,"still conflict",Conflict_Type!AG2:AG181,TRUE)</f>
        <v>0</v>
      </c>
      <c r="E52" s="37">
        <f>countifs(Paper_Textual_Conflict!H2:H181,TRUE,Paper_Textual_Conflict!AI2:AI181,TRUE,Paper_Textual_Conflict!AM2:AM181,"still conflict",Conflict_Type!AG2:AG181,TRUE)</f>
        <v>0</v>
      </c>
      <c r="F52" s="37">
        <f>countifs(Paper_Textual_Conflict!H2:H181,TRUE,Paper_Textual_Conflict!AN2:AN181,TRUE,Paper_Textual_Conflict!AR2:AR181,"still conflict",Conflict_Type!AG2:AG181,TRUE)</f>
        <v>0</v>
      </c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</row>
    <row r="53">
      <c r="A53" s="66" t="s">
        <v>2900</v>
      </c>
      <c r="B53" s="37">
        <f>countifs(Paper_Textual_Conflict!H2:H181,TRUE,Paper_Textual_Conflict!T2:T181,TRUE,Paper_Textual_Conflict!X2:X181,"still conflict",Conflict_Type!AH2:AH181,TRUE)</f>
        <v>6</v>
      </c>
      <c r="C53" s="37">
        <f>countifs(Paper_Textual_Conflict!H2:H181,TRUE,Paper_Textual_Conflict!Y2:Y181,TRUE,Paper_Textual_Conflict!AC2:AC181,"still conflict",Conflict_Type!AH2:AH181,TRUE)</f>
        <v>2</v>
      </c>
      <c r="D53" s="25">
        <f>countifs(Paper_Textual_Conflict!H2:H181,TRUE,Paper_Textual_Conflict!AD2:AD181,TRUE,Paper_Textual_Conflict!AH2:AH181,"still conflict",Conflict_Type!AH2:AH181,TRUE)</f>
        <v>1</v>
      </c>
      <c r="E53" s="37">
        <f>countifs(Paper_Textual_Conflict!H2:H181,TRUE,Paper_Textual_Conflict!AI2:AI181,TRUE,Paper_Textual_Conflict!AM2:AM181,"still conflict",Conflict_Type!AH2:AH181,TRUE)</f>
        <v>1</v>
      </c>
      <c r="F53" s="37">
        <f>countifs(Paper_Textual_Conflict!H2:H181,TRUE,Paper_Textual_Conflict!AN2:AN181,TRUE,Paper_Textual_Conflict!AR2:AR181,"still conflict",Conflict_Type!AH2:AH181,TRUE)</f>
        <v>17</v>
      </c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</row>
    <row r="54">
      <c r="A54" s="61" t="s">
        <v>891</v>
      </c>
      <c r="B54" s="37">
        <f>countifs(Paper_Textual_Conflict!H2:H181,TRUE,Paper_Textual_Conflict!T2:T181,TRUE,Paper_Textual_Conflict!X2:X181,"still conflict",Conflict_Type!AI2:AI181,TRUE)</f>
        <v>8</v>
      </c>
      <c r="C54" s="37">
        <f>countifs(Paper_Textual_Conflict!H2:H181,TRUE,Paper_Textual_Conflict!Y2:Y181,TRUE,Paper_Textual_Conflict!AC2:AC181,"still conflict",Conflict_Type!AI2:AI181,TRUE)</f>
        <v>8</v>
      </c>
      <c r="D54" s="25">
        <f>countifs(Paper_Textual_Conflict!H2:H181,TRUE,Paper_Textual_Conflict!AD2:AD181,TRUE,Paper_Textual_Conflict!AH2:AH181,"still conflict",Conflict_Type!AI2:AI181,TRUE)</f>
        <v>11</v>
      </c>
      <c r="E54" s="37">
        <f>countifs(Paper_Textual_Conflict!H2:H181,TRUE,Paper_Textual_Conflict!AI2:AI181,TRUE,Paper_Textual_Conflict!AM2:AM181,"still conflict",Conflict_Type!AI2:AI181,TRUE)</f>
        <v>6</v>
      </c>
      <c r="F54" s="37">
        <f>countifs(Paper_Textual_Conflict!H2:H181,TRUE,Paper_Textual_Conflict!AN2:AN181,TRUE,Paper_Textual_Conflict!AR2:AR181,"still conflict",Conflict_Type!AI2:AI181,TRUE)</f>
        <v>28</v>
      </c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</row>
    <row r="55">
      <c r="A55" s="66" t="s">
        <v>2901</v>
      </c>
      <c r="B55" s="37">
        <f>countifs(Paper_Textual_Conflict!H2:H181,TRUE,Paper_Textual_Conflict!T2:T181,TRUE,Paper_Textual_Conflict!X2:X181,"still conflict",Conflict_Type!AK2:AK181,TRUE)</f>
        <v>0</v>
      </c>
      <c r="C55" s="37">
        <f>countifs(Paper_Textual_Conflict!H2:H181,TRUE,Paper_Textual_Conflict!Y2:Y181,TRUE,Paper_Textual_Conflict!AC2:AC181,"still conflict",Conflict_Type!AK2:AK181,TRUE)</f>
        <v>1</v>
      </c>
      <c r="D55" s="37">
        <f>countifs(Paper_Textual_Conflict!H2:H181,TRUE,Paper_Textual_Conflict!AD2:AD181,TRUE,Paper_Textual_Conflict!AH2:AH181,"still conflict",Conflict_Type!AK2:AK181,TRUE)</f>
        <v>0</v>
      </c>
      <c r="E55" s="37">
        <f>countifs(Paper_Textual_Conflict!H2:H181,TRUE,Paper_Textual_Conflict!AI2:AI181,TRUE,Paper_Textual_Conflict!AM2:AM181,"still conflict",Conflict_Type!AK2:AK181,TRUE)</f>
        <v>1</v>
      </c>
      <c r="F55" s="37">
        <f>countifs(Paper_Textual_Conflict!H2:H181,TRUE,Paper_Textual_Conflict!AN2:AN181,TRUE,Paper_Textual_Conflict!AR2:AR181,"still conflict",Conflict_Type!AK2:AK181,TRUE)</f>
        <v>3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</row>
    <row r="56">
      <c r="A56" s="66" t="s">
        <v>2909</v>
      </c>
      <c r="B56" s="37">
        <f>countifs(Paper_Textual_Conflict!H2:H181,TRUE,Paper_Textual_Conflict!T2:T181,TRUE,Paper_Textual_Conflict!X2:X181,"still conflict",Conflict_Type!AJ2:AJ181,TRUE)</f>
        <v>1</v>
      </c>
      <c r="C56" s="37">
        <f>countifs(Paper_Textual_Conflict!H2:H181,TRUE,Paper_Textual_Conflict!Y2:Y181,TRUE,Paper_Textual_Conflict!AC2:AC181,"still conflict",Conflict_Type!AJ2:AJ181,TRUE)</f>
        <v>1</v>
      </c>
      <c r="D56" s="25">
        <f>countifs(Paper_Textual_Conflict!H2:H181,TRUE,Paper_Textual_Conflict!AD2:AD181,TRUE,Paper_Textual_Conflict!AH2:AH181,"still conflict",Conflict_Type!AJ2:AJ181,TRUE)</f>
        <v>0</v>
      </c>
      <c r="E56" s="37">
        <f>countifs(Paper_Textual_Conflict!H2:H181,TRUE,Paper_Textual_Conflict!AI2:AI181,TRUE,Paper_Textual_Conflict!AM2:AM181,"still conflict",Conflict_Type!AJ2:AJ181,TRUE)</f>
        <v>1</v>
      </c>
      <c r="F56" s="37">
        <f>countifs(Paper_Textual_Conflict!H2:H181,TRUE,Paper_Textual_Conflict!AN2:AN181,TRUE,Paper_Textual_Conflict!AR2:AR181,"still conflict",Conflict_Type!AJ2:AJ181,TRUE)</f>
        <v>1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</row>
    <row r="57">
      <c r="A57" s="66" t="s">
        <v>2902</v>
      </c>
      <c r="B57" s="37">
        <f>countifs(Paper_Textual_Conflict!H2:H181,TRUE,Paper_Textual_Conflict!T2:T181,TRUE,Paper_Textual_Conflict!X2:X181,"still conflict",Conflict_Type!AL2:AL181,TRUE)</f>
        <v>2</v>
      </c>
      <c r="C57" s="37">
        <f>countifs(Paper_Textual_Conflict!H2:H181,TRUE,Paper_Textual_Conflict!Y2:Y181,TRUE,Paper_Textual_Conflict!AC2:AC181,"still conflict",Conflict_Type!AL2:AL181,TRUE)</f>
        <v>1</v>
      </c>
      <c r="D57" s="25">
        <f>countifs(Paper_Textual_Conflict!H2:H181,TRUE,Paper_Textual_Conflict!AD2:AD181,TRUE,Paper_Textual_Conflict!AH2:AH181,"still conflict",Conflict_Type!AL2:AL181,TRUE)</f>
        <v>4</v>
      </c>
      <c r="E57" s="37">
        <f>countifs(Paper_Textual_Conflict!H2:H181,TRUE,Paper_Textual_Conflict!AI2:AI181,TRUE,Paper_Textual_Conflict!AM2:AM181,"still conflict",Conflict_Type!AL2:AL181,TRUE)</f>
        <v>0</v>
      </c>
      <c r="F57" s="37">
        <f>countifs(Paper_Textual_Conflict!H2:H181,TRUE,Paper_Textual_Conflict!AN2:AN181,TRUE,Paper_Textual_Conflict!AR2:AR181,"still conflict",Conflict_Type!AL2:AL181,TRUE)</f>
        <v>7</v>
      </c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>
      <c r="A58" s="66" t="s">
        <v>2903</v>
      </c>
      <c r="B58" s="37">
        <f>countifs(Paper_Textual_Conflict!H2:H181,TRUE,Paper_Textual_Conflict!T2:T181,TRUE,Paper_Textual_Conflict!X2:X181,"still conflict",Conflict_Type!AO2:AO181,TRUE)</f>
        <v>2</v>
      </c>
      <c r="C58" s="37">
        <f>countifs(Paper_Textual_Conflict!H2:H181,TRUE,Paper_Textual_Conflict!Y2:Y181,TRUE,Paper_Textual_Conflict!AC2:AC181,"still conflict",Conflict_Type!AO2:AO181,TRUE)</f>
        <v>2</v>
      </c>
      <c r="D58" s="37">
        <f>countifs(Paper_Textual_Conflict!H2:H181,TRUE,Paper_Textual_Conflict!AD2:AD181,TRUE,Paper_Textual_Conflict!AH2:AH181,"still conflict",Conflict_Type!AO2:AO181,TRUE)</f>
        <v>2</v>
      </c>
      <c r="E58" s="37">
        <f>countifs(Paper_Textual_Conflict!H2:H181,TRUE,Paper_Textual_Conflict!AI2:AI181,TRUE,Paper_Textual_Conflict!AM2:AM181,"still conflict",Conflict_Type!AO2:AO181,TRUE)</f>
        <v>0</v>
      </c>
      <c r="F58" s="37">
        <f>countifs(Paper_Textual_Conflict!H2:H181,TRUE,Paper_Textual_Conflict!AN2:AN181,TRUE,Paper_Textual_Conflict!AR2:AR181,"still conflict",Conflict_Type!AO2:AO181,TRUE)</f>
        <v>3</v>
      </c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>
      <c r="A59" s="66" t="s">
        <v>2904</v>
      </c>
      <c r="B59" s="37">
        <f>countifs(Paper_Textual_Conflict!H2:H181,TRUE,Paper_Textual_Conflict!T2:T181,TRUE,Paper_Textual_Conflict!X2:X181,"still conflict",Conflict_Type!AQ2:AQ181,TRUE)</f>
        <v>0</v>
      </c>
      <c r="C59" s="37">
        <f>countifs(Paper_Textual_Conflict!H2:H181,TRUE,Paper_Textual_Conflict!Y2:Y181,TRUE,Paper_Textual_Conflict!AC2:AC181,"still conflict",Conflict_Type!AQ2:AQ181,TRUE)</f>
        <v>0</v>
      </c>
      <c r="D59" s="37">
        <f>countifs(Paper_Textual_Conflict!H2:H181,TRUE,Paper_Textual_Conflict!AD2:AD181,TRUE,Paper_Textual_Conflict!AH2:AH181,"still conflict",Conflict_Type!AQ2:AQ181,TRUE)</f>
        <v>0</v>
      </c>
      <c r="E59" s="37">
        <f>countifs(Paper_Textual_Conflict!H2:H181,TRUE,Paper_Textual_Conflict!AI2:AI181,TRUE,Paper_Textual_Conflict!AM2:AM181,"still conflict",Conflict_Type!AQ2:AQ181,TRUE)</f>
        <v>0</v>
      </c>
      <c r="F59" s="37">
        <f>countifs(Paper_Textual_Conflict!H2:H181,TRUE,Paper_Textual_Conflict!AN2:AN181,TRUE,Paper_Textual_Conflict!AR2:AR181,"still conflict",Conflict_Type!AQ2:AQ181,TRUE)</f>
        <v>1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>
      <c r="A60" s="66" t="s">
        <v>2905</v>
      </c>
      <c r="B60" s="66">
        <f>countifs(Paper_Textual_Conflict!H2:H181,TRUE,Paper_Textual_Conflict!T2:T181,TRUE,Paper_Textual_Conflict!X2:X181,"still conflict",Conflict_Type!AR2:AR181,TRUE)</f>
        <v>0</v>
      </c>
      <c r="C60" s="66">
        <f>countifs(Paper_Textual_Conflict!H2:H181,TRUE,Paper_Textual_Conflict!Y2:Y181,TRUE,Paper_Textual_Conflict!AC2:AC181,"still conflict",Conflict_Type!AR2:AR181,TRUE)</f>
        <v>0</v>
      </c>
      <c r="D60" s="66">
        <f>countifs(Paper_Textual_Conflict!H2:H181,TRUE,Paper_Textual_Conflict!AD2:AD181,TRUE,Paper_Textual_Conflict!AH2:AH181,"still conflict",Conflict_Type!AR2:AR181,TRUE)</f>
        <v>0</v>
      </c>
      <c r="E60" s="61">
        <f>countifs(Paper_Textual_Conflict!H2:H181,TRUE,Paper_Textual_Conflict!AI2:AI181,TRUE,Paper_Textual_Conflict!AM2:AM181,"still conflict",Conflict_Type!AR2:AR181,TRUE)</f>
        <v>0</v>
      </c>
      <c r="F60" s="61">
        <f>countifs(Paper_Textual_Conflict!H2:H181,TRUE,Paper_Textual_Conflict!AN2:AN181,TRUE,Paper_Textual_Conflict!AR2:AR181,"still conflict",Conflict_Type!AR2:AR181,TRUE)</f>
        <v>1</v>
      </c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>
      <c r="A61" s="66" t="s">
        <v>2906</v>
      </c>
      <c r="B61" s="61">
        <f>countifs(Paper_Textual_Conflict!H2:H181,TRUE,Paper_Textual_Conflict!T2:T181,TRUE,Paper_Textual_Conflict!X2:X181,"still conflict",Conflict_Type!AS2:AS181,TRUE)</f>
        <v>3</v>
      </c>
      <c r="C61" s="61">
        <f>countifs(Paper_Textual_Conflict!H2:H181,TRUE,Paper_Textual_Conflict!Y2:Y181,TRUE,Paper_Textual_Conflict!AC2:AC181,"still conflict",Conflict_Type!AS2:AS181,TRUE)</f>
        <v>2</v>
      </c>
      <c r="D61" s="61">
        <f>countifs(Paper_Textual_Conflict!H2:H181,TRUE,Paper_Textual_Conflict!AD2:AD181,TRUE,Paper_Textual_Conflict!AH2:AH181,"still conflict",Conflict_Type!AS2:AS181,TRUE)</f>
        <v>3</v>
      </c>
      <c r="E61" s="61">
        <f>countifs(Paper_Textual_Conflict!H2:H181,TRUE,Paper_Textual_Conflict!AI2:AI181,TRUE,Paper_Textual_Conflict!AM2:AM181,"still conflict",Conflict_Type!AS2:AS181,TRUE)</f>
        <v>2</v>
      </c>
      <c r="F61" s="61">
        <f>countifs(Paper_Textual_Conflict!H2:H181,TRUE,Paper_Textual_Conflict!AN2:AN181,TRUE,Paper_Textual_Conflict!AR2:AR181,"still conflict",Conflict_Type!AS2:AS181,TRUE)</f>
        <v>9</v>
      </c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>
      <c r="A62" s="66" t="s">
        <v>2907</v>
      </c>
      <c r="B62" s="61">
        <f>countifs(Paper_Textual_Conflict!H2:H181,TRUE,Paper_Textual_Conflict!T2:T181,TRUE,Paper_Textual_Conflict!X2:X181,"still conflict",Conflict_Type!AT2:AT181,TRUE)</f>
        <v>0</v>
      </c>
      <c r="C62" s="61">
        <f>countifs(Paper_Textual_Conflict!H2:H181,TRUE,Paper_Textual_Conflict!Y2:Y181,TRUE,Paper_Textual_Conflict!AC2:AC181,"still conflict",Conflict_Type!AT2:AT181,TRUE)</f>
        <v>1</v>
      </c>
      <c r="D62" s="61">
        <f>countifs(Paper_Textual_Conflict!H2:H181,TRUE,Paper_Textual_Conflict!AD2:AD181,TRUE,Paper_Textual_Conflict!AH2:AH181,"still conflict",Conflict_Type!AT2:AT181,TRUE)</f>
        <v>2</v>
      </c>
      <c r="E62" s="61">
        <f>countifs(Paper_Textual_Conflict!H2:H181,TRUE,Paper_Textual_Conflict!AI2:AI181,TRUE,Paper_Textual_Conflict!AM2:AM181,"still conflict",Conflict_Type!AT2:AT181,TRUE)</f>
        <v>1</v>
      </c>
      <c r="F62" s="61">
        <f>countifs(Paper_Textual_Conflict!H2:H181,TRUE,Paper_Textual_Conflict!AN2:AN181,TRUE,Paper_Textual_Conflict!AR2:AR181,"still conflict",Conflict_Type!AT2:AT181,TRUE)</f>
        <v>4</v>
      </c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>
      <c r="A63" s="66" t="s">
        <v>2908</v>
      </c>
      <c r="B63" s="61">
        <f>countifs(Paper_Textual_Conflict!H2:H181,TRUE,Paper_Textual_Conflict!T2:T181,TRUE,Paper_Textual_Conflict!X2:X181,"still conflict",Conflict_Type!AU2:AU181,TRUE)</f>
        <v>2</v>
      </c>
      <c r="C63" s="61">
        <f>countifs(Paper_Textual_Conflict!H2:H181,TRUE,Paper_Textual_Conflict!Y2:Y181,TRUE,Paper_Textual_Conflict!AC2:AC181,"still conflict",Conflict_Type!AU2:AU181,TRUE)</f>
        <v>0</v>
      </c>
      <c r="D63" s="61">
        <f>countifs(Paper_Textual_Conflict!H2:H181,TRUE,Paper_Textual_Conflict!AD2:AD181,TRUE,Paper_Textual_Conflict!AH2:AH181,"still conflict",Conflict_Type!AU2:AU181,TRUE)</f>
        <v>3</v>
      </c>
      <c r="E63" s="61">
        <f>countifs(Paper_Textual_Conflict!H2:H181,TRUE,Paper_Textual_Conflict!AI2:AI181,TRUE,Paper_Textual_Conflict!AM2:AM181,"still conflict",Conflict_Type!AU2:AU181,TRUE)</f>
        <v>0</v>
      </c>
      <c r="F63" s="61">
        <f>countifs(Paper_Textual_Conflict!H2:H181,TRUE,Paper_Textual_Conflict!AN2:AN181,TRUE,Paper_Textual_Conflict!AR2:AR181,"still conflict",Conflict_Type!AU2:AU181,TRUE)</f>
        <v>4</v>
      </c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>
      <c r="A64" s="9" t="s">
        <v>2942</v>
      </c>
      <c r="B64" s="61">
        <f t="shared" ref="B64:F64" si="8">SUM(B49:B63)</f>
        <v>28</v>
      </c>
      <c r="C64" s="61">
        <f t="shared" si="8"/>
        <v>22</v>
      </c>
      <c r="D64" s="61">
        <f t="shared" si="8"/>
        <v>30</v>
      </c>
      <c r="E64" s="61">
        <f t="shared" si="8"/>
        <v>15</v>
      </c>
      <c r="F64" s="61">
        <f t="shared" si="8"/>
        <v>114</v>
      </c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>
      <c r="A65" s="33"/>
      <c r="B65" s="33"/>
      <c r="C65" s="33"/>
      <c r="D65" s="33"/>
      <c r="E65" s="33"/>
      <c r="F65" s="33"/>
      <c r="Y65" s="61"/>
      <c r="Z65" s="61"/>
      <c r="AA65" s="61"/>
    </row>
    <row r="66">
      <c r="A66" s="33" t="s">
        <v>2943</v>
      </c>
      <c r="B66" s="33" t="s">
        <v>2855</v>
      </c>
      <c r="C66" s="33" t="s">
        <v>2856</v>
      </c>
      <c r="D66" s="33" t="s">
        <v>2857</v>
      </c>
      <c r="E66" s="33" t="s">
        <v>2858</v>
      </c>
      <c r="F66" s="33" t="s">
        <v>2859</v>
      </c>
      <c r="Y66" s="61"/>
      <c r="Z66" s="61"/>
      <c r="AA66" s="61"/>
    </row>
    <row r="67">
      <c r="A67" s="61" t="s">
        <v>2867</v>
      </c>
      <c r="B67" s="61">
        <f>countifs(Paper_Textual_Conflict!H2:H181,FALSE,Paper_Textual_Conflict!T2:T181,TRUE,Paper_Textual_Conflict!X2:X181,"still conflict",Conflict_Type!H2:H181,TRUE)</f>
        <v>0</v>
      </c>
      <c r="C67" s="61">
        <f>countifs(Paper_Textual_Conflict!H2:H181,FALSE,Paper_Textual_Conflict!Y2:Y181,TRUE,Paper_Textual_Conflict!AC2:AC181,"still conflict",Conflict_Type!H2:H181,TRUE)</f>
        <v>0</v>
      </c>
      <c r="D67" s="61">
        <f>countifs(Paper_Textual_Conflict!H2:H181,FALSE,Paper_Textual_Conflict!AD2:AD181,TRUE,Paper_Textual_Conflict!AH2:AH181,"still conflict",Conflict_Type!H2:H181,TRUE)</f>
        <v>0</v>
      </c>
      <c r="E67" s="61">
        <f>countifs(Paper_Textual_Conflict!H2:H181,FALSE,Paper_Textual_Conflict!AI2:AI181,TRUE,Paper_Textual_Conflict!AM2:AM181,"still conflict",Conflict_Type!H2:H181,TRUE)</f>
        <v>0</v>
      </c>
      <c r="F67" s="61">
        <f>countifs(Paper_Textual_Conflict!H2:H181,FALSE,Paper_Textual_Conflict!AN2:AN181,TRUE,Paper_Textual_Conflict!AR2:AR181,"still conflict",Conflict_Type!H2:H181,TRUE)</f>
        <v>0</v>
      </c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>
      <c r="A68" s="66" t="s">
        <v>2142</v>
      </c>
      <c r="B68" s="61">
        <f>countifs(Paper_Textual_Conflict!H2:H181,FALSE,Paper_Textual_Conflict!T2:T181,TRUE,Paper_Textual_Conflict!X2:X181,"still conflict",Conflict_Type!I2:I181,TRUE)</f>
        <v>1</v>
      </c>
      <c r="C68" s="61">
        <f>countifs(Paper_Textual_Conflict!H2:H181,FALSE,Paper_Textual_Conflict!Y2:Y181,TRUE,Paper_Textual_Conflict!AC2:AC181,"still conflict",Conflict_Type!I2:I181,TRUE)</f>
        <v>0</v>
      </c>
      <c r="D68" s="61">
        <f>countifs(Paper_Textual_Conflict!H2:H181,FALSE,Paper_Textual_Conflict!AD2:AD181,TRUE,Paper_Textual_Conflict!AH2:AH181,"still conflict",Conflict_Type!I2:I181,TRUE)</f>
        <v>1</v>
      </c>
      <c r="E68" s="61">
        <f>countifs(Paper_Textual_Conflict!H2:H181,FALSE,Paper_Textual_Conflict!AI2:AI181,TRUE,Paper_Textual_Conflict!AM2:AM181,"still conflict",Conflict_Type!I2:I181,TRUE)</f>
        <v>0</v>
      </c>
      <c r="F68" s="61">
        <f>countifs(Paper_Textual_Conflict!H2:H181,FALSE,Paper_Textual_Conflict!AN2:AN181,TRUE,Paper_Textual_Conflict!AR2:AR181,"still conflict",Conflict_Type!I2:I181,TRUE)</f>
        <v>2</v>
      </c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>
      <c r="A69" s="61" t="s">
        <v>2868</v>
      </c>
      <c r="B69" s="61">
        <f>countifs(Paper_Textual_Conflict!H2:H181,FALSE,Paper_Textual_Conflict!T2:T181,TRUE,Paper_Textual_Conflict!X2:X181,"still conflict",Conflict_Type!J2:J181,TRUE)</f>
        <v>3</v>
      </c>
      <c r="C69" s="61">
        <f>countifs(Paper_Textual_Conflict!H2:H181,FALSE,Paper_Textual_Conflict!Y2:Y181,TRUE,Paper_Textual_Conflict!AC2:AC181,"still conflict",Conflict_Type!J2:J181,TRUE)</f>
        <v>1</v>
      </c>
      <c r="D69" s="61">
        <f>countifs(Paper_Textual_Conflict!H2:H181,FALSE,Paper_Textual_Conflict!AD2:AD181,TRUE,Paper_Textual_Conflict!AH2:AH181,"still conflict",Conflict_Type!J2:J181,TRUE)</f>
        <v>3</v>
      </c>
      <c r="E69" s="61">
        <f>countifs(Paper_Textual_Conflict!H2:H181,FALSE,Paper_Textual_Conflict!AI2:AI181,TRUE,Paper_Textual_Conflict!AM2:AM181,"still conflict",Conflict_Type!J2:J181,TRUE)</f>
        <v>1</v>
      </c>
      <c r="F69" s="61">
        <f>countifs(Paper_Textual_Conflict!H2:H181,FALSE,Paper_Textual_Conflict!AN2:AN181,TRUE,Paper_Textual_Conflict!AR2:AR181,"still conflict",Conflict_Type!J2:J181,TRUE)</f>
        <v>5</v>
      </c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>
      <c r="A70" s="66" t="s">
        <v>2869</v>
      </c>
      <c r="B70" s="61">
        <f>countifs(Paper_Textual_Conflict!H2:H181,FALSE,Paper_Textual_Conflict!T2:T181,TRUE,Paper_Textual_Conflict!X2:X181,"still conflict",Conflict_Type!K2:K181,TRUE)</f>
        <v>1</v>
      </c>
      <c r="C70" s="61">
        <f>countifs(Paper_Textual_Conflict!H2:H181,FALSE,Paper_Textual_Conflict!Y2:Y181,TRUE,Paper_Textual_Conflict!AC2:AC181,"still conflict",Conflict_Type!K2:K181,TRUE)</f>
        <v>1</v>
      </c>
      <c r="D70" s="61">
        <f>countifs(Paper_Textual_Conflict!H2:H181,FALSE,Paper_Textual_Conflict!AD2:AD181,TRUE,Paper_Textual_Conflict!AH2:AH181,"still conflict",Conflict_Type!K2:K181,TRUE)</f>
        <v>1</v>
      </c>
      <c r="E70" s="61">
        <f>countifs(Paper_Textual_Conflict!H2:H181,FALSE,Paper_Textual_Conflict!AI2:AI181,TRUE,Paper_Textual_Conflict!AM2:AM181,"still conflict",Conflict_Type!K2:K181,TRUE)</f>
        <v>1</v>
      </c>
      <c r="F70" s="61">
        <f>countifs(Paper_Textual_Conflict!H2:H181,FALSE,Paper_Textual_Conflict!AN2:AN181,TRUE,Paper_Textual_Conflict!AR2:AR181,"still conflict",Conflict_Type!K2:K181,TRUE)</f>
        <v>4</v>
      </c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>
      <c r="A71" s="61" t="s">
        <v>2870</v>
      </c>
      <c r="B71" s="61">
        <f>countifs(Paper_Textual_Conflict!H2:H181,FALSE,Paper_Textual_Conflict!T2:T181,TRUE,Paper_Textual_Conflict!X2:X181,"still conflict",Conflict_Type!L2:L181,TRUE)</f>
        <v>0</v>
      </c>
      <c r="C71" s="61">
        <f>countifs(Paper_Textual_Conflict!H2:H181,FALSE,Paper_Textual_Conflict!Y2:Y181,TRUE,Paper_Textual_Conflict!AC2:AC181,"still conflict",Conflict_Type!L2:L181,TRUE)</f>
        <v>0</v>
      </c>
      <c r="D71" s="61">
        <f>countifs(Paper_Textual_Conflict!H2:H181,FALSE,Paper_Textual_Conflict!AD2:AD181,TRUE,Paper_Textual_Conflict!AH2:AH181,"still conflict",Conflict_Type!L2:L181,TRUE)</f>
        <v>0</v>
      </c>
      <c r="E71" s="61">
        <f>countifs(Paper_Textual_Conflict!H2:H181,FALSE,Paper_Textual_Conflict!AI2:AI181,TRUE,Paper_Textual_Conflict!AM2:AM181,"still conflict",Conflict_Type!L2:L181,TRUE)</f>
        <v>0</v>
      </c>
      <c r="F71" s="61">
        <f>countifs(Paper_Textual_Conflict!H2:H181,FALSE,Paper_Textual_Conflict!AN2:AN181,TRUE,Paper_Textual_Conflict!AR2:AR181,"still conflict",Conflict_Type!L2:L181,TRUE)</f>
        <v>0</v>
      </c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>
      <c r="A72" s="61" t="s">
        <v>2871</v>
      </c>
      <c r="B72" s="61">
        <f>countifs(Paper_Textual_Conflict!H2:H181,FALSE,Paper_Textual_Conflict!T2:T181,TRUE,Paper_Textual_Conflict!X2:X181,"still conflict",Conflict_Type!M2:M181,TRUE)</f>
        <v>0</v>
      </c>
      <c r="C72" s="61">
        <f>countifs(Paper_Textual_Conflict!H2:H181,FALSE,Paper_Textual_Conflict!Y2:Y181,TRUE,Paper_Textual_Conflict!AC2:AC181,"still conflict",Conflict_Type!M2:M181,TRUE)</f>
        <v>0</v>
      </c>
      <c r="D72" s="61">
        <f>countifs(Paper_Textual_Conflict!H2:H181,FALSE,Paper_Textual_Conflict!AD2:AD181,TRUE,Paper_Textual_Conflict!AH2:AH181,"still conflict",Conflict_Type!M2:M181,TRUE)</f>
        <v>0</v>
      </c>
      <c r="E72" s="61">
        <f>countifs(Paper_Textual_Conflict!H2:H181,FALSE,Paper_Textual_Conflict!AI2:AI181,TRUE,Paper_Textual_Conflict!AM2:AM181,"still conflict",Conflict_Type!M2:M181,TRUE)</f>
        <v>0</v>
      </c>
      <c r="F72" s="61">
        <f>countifs(Paper_Textual_Conflict!H2:H181,FALSE,Paper_Textual_Conflict!AN2:AN181,TRUE,Paper_Textual_Conflict!AR2:AR181,"still conflict",Conflict_Type!M2:M181,TRUE)</f>
        <v>0</v>
      </c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>
      <c r="A73" s="61" t="s">
        <v>1931</v>
      </c>
      <c r="B73" s="61">
        <f>countifs(Paper_Textual_Conflict!H2:H181,FALSE,Paper_Textual_Conflict!T2:T181,TRUE,Paper_Textual_Conflict!X2:X181,"still conflict",Conflict_Type!O2:O181,TRUE)</f>
        <v>1</v>
      </c>
      <c r="C73" s="61">
        <f>countifs(Paper_Textual_Conflict!H2:H181,FALSE,Paper_Textual_Conflict!Y2:Y181,TRUE,Paper_Textual_Conflict!AC2:AC181,"still conflict",Conflict_Type!O2:O181,TRUE)</f>
        <v>0</v>
      </c>
      <c r="D73" s="61">
        <f>countifs(Paper_Textual_Conflict!H2:H181,FALSE,Paper_Textual_Conflict!AD2:AD181,TRUE,Paper_Textual_Conflict!AH2:AH181,"still conflict",Conflict_Type!O2:O181,TRUE)</f>
        <v>0</v>
      </c>
      <c r="E73" s="61">
        <f>countifs(Paper_Textual_Conflict!H2:H181,FALSE,Paper_Textual_Conflict!AI2:AI181,TRUE,Paper_Textual_Conflict!AM2:AM181,"still conflict",Conflict_Type!O2:O181,TRUE)</f>
        <v>0</v>
      </c>
      <c r="F73" s="61">
        <f>countifs(Paper_Textual_Conflict!H2:H181,FALSE,Paper_Textual_Conflict!AN2:AN181,TRUE,Paper_Textual_Conflict!AR2:AR181,"still conflict",Conflict_Type!O2:O181,TRUE)</f>
        <v>0</v>
      </c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</row>
    <row r="74">
      <c r="A74" s="66" t="s">
        <v>2872</v>
      </c>
      <c r="B74" s="61">
        <f>countifs(Paper_Textual_Conflict!H2:H181,FALSE,Paper_Textual_Conflict!T2:T181,TRUE,Paper_Textual_Conflict!X2:X181,"still conflict",Conflict_Type!Q2:Q181,TRUE)</f>
        <v>0</v>
      </c>
      <c r="C74" s="61">
        <f>countifs(Paper_Textual_Conflict!H2:H181,FALSE,Paper_Textual_Conflict!Y2:Y181,TRUE,Paper_Textual_Conflict!AC2:AC181,"still conflict",Conflict_Type!Q2:Q181,TRUE)</f>
        <v>0</v>
      </c>
      <c r="D74" s="61">
        <f>countifs(Paper_Textual_Conflict!H2:H181,FALSE,Paper_Textual_Conflict!AD2:AD181,TRUE,Paper_Textual_Conflict!AH2:AH181,"still conflict",Conflict_Type!Q2:Q181,TRUE)</f>
        <v>0</v>
      </c>
      <c r="E74" s="61">
        <f>countifs(Paper_Textual_Conflict!H2:H181,FALSE,Paper_Textual_Conflict!AI2:AI181,TRUE,Paper_Textual_Conflict!AM2:AM181,"still conflict",Conflict_Type!Q2:Q181,TRUE)</f>
        <v>0</v>
      </c>
      <c r="F74" s="61">
        <f>countifs(Paper_Textual_Conflict!H2:H181,FALSE,Paper_Textual_Conflict!AN2:AN181,TRUE,Paper_Textual_Conflict!AR2:AR181,"still conflict",Conflict_Type!Q2:Q181,TRUE)</f>
        <v>4</v>
      </c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>
      <c r="A75" s="66" t="s">
        <v>2873</v>
      </c>
      <c r="B75" s="61">
        <f>countifs(Paper_Textual_Conflict!H2:H181,FALSE,Paper_Textual_Conflict!T2:T181,TRUE,Paper_Textual_Conflict!X2:X181,"still conflict",Conflict_Type!R2:R181,TRUE)</f>
        <v>0</v>
      </c>
      <c r="C75" s="61">
        <f>countifs(Paper_Textual_Conflict!H2:H181,FALSE,Paper_Textual_Conflict!Y2:Y181,TRUE,Paper_Textual_Conflict!AC2:AC181,"still conflict",Conflict_Type!R2:R181,TRUE)</f>
        <v>0</v>
      </c>
      <c r="D75" s="61">
        <f>countifs(Paper_Textual_Conflict!H2:H181,FALSE,Paper_Textual_Conflict!AD2:AD181,TRUE,Paper_Textual_Conflict!AH2:AH181,"still conflict",Conflict_Type!R2:R181,TRUE)</f>
        <v>0</v>
      </c>
      <c r="E75" s="61">
        <f>countifs(Paper_Textual_Conflict!H2:H181,FALSE,Paper_Textual_Conflict!AI2:AI181,TRUE,Paper_Textual_Conflict!AM2:AM181,"still conflict",Conflict_Type!R2:R181,TRUE)</f>
        <v>0</v>
      </c>
      <c r="F75" s="61">
        <f>countifs(Paper_Textual_Conflict!H2:H181,FALSE,Paper_Textual_Conflict!AN2:AN181,TRUE,Paper_Textual_Conflict!AR2:AR181,"still conflict",Conflict_Type!R2:R181,TRUE)</f>
        <v>0</v>
      </c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</row>
    <row r="76">
      <c r="A76" s="66" t="s">
        <v>2874</v>
      </c>
      <c r="B76" s="61">
        <f>countifs(Paper_Textual_Conflict!H2:H181,FALSE,Paper_Textual_Conflict!T2:T181,TRUE,Paper_Textual_Conflict!X2:X181,"still conflict",Conflict_Type!S2:S181,TRUE)</f>
        <v>2</v>
      </c>
      <c r="C76" s="61">
        <f>countifs(Paper_Textual_Conflict!H2:H181,FALSE,Paper_Textual_Conflict!Y2:Y181,TRUE,Paper_Textual_Conflict!AC2:AC181,"still conflict",Conflict_Type!S2:S181,TRUE)</f>
        <v>0</v>
      </c>
      <c r="D76" s="61">
        <f>countifs(Paper_Textual_Conflict!H2:H181,FALSE,Paper_Textual_Conflict!AD2:AD181,TRUE,Paper_Textual_Conflict!AH2:AH181,"still conflict",Conflict_Type!S2:S181,TRUE)</f>
        <v>1</v>
      </c>
      <c r="E76" s="61">
        <f>countifs(Paper_Textual_Conflict!H2:H181,FALSE,Paper_Textual_Conflict!AI2:AI181,TRUE,Paper_Textual_Conflict!AM2:AM181,"still conflict",Conflict_Type!S2:S181,TRUE)</f>
        <v>0</v>
      </c>
      <c r="F76" s="61">
        <f>countifs(Paper_Textual_Conflict!H2:H181,FALSE,Paper_Textual_Conflict!AN2:AN181,TRUE,Paper_Textual_Conflict!AR2:AR181,"still conflict",Conflict_Type!S2:S181,TRUE)</f>
        <v>0</v>
      </c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</row>
    <row r="77">
      <c r="A77" s="66" t="s">
        <v>2875</v>
      </c>
      <c r="B77" s="61">
        <f>countifs(Paper_Textual_Conflict!H2:H181,FALSE,Paper_Textual_Conflict!T2:T181,TRUE,Paper_Textual_Conflict!X2:X181,"still conflict",Conflict_Type!T2:T181,TRUE)</f>
        <v>0</v>
      </c>
      <c r="C77" s="61">
        <f>countifs(Paper_Textual_Conflict!H2:H181,FALSE,Paper_Textual_Conflict!Y2:Y181,TRUE,Paper_Textual_Conflict!AC2:AC181,"still conflict",Conflict_Type!T2:T181,TRUE)</f>
        <v>0</v>
      </c>
      <c r="D77" s="61">
        <f>countifs(Paper_Textual_Conflict!H2:H181,FALSE,Paper_Textual_Conflict!AD2:AD181,TRUE,Paper_Textual_Conflict!AH2:AH181,"still conflict",Conflict_Type!T2:T181,TRUE)</f>
        <v>0</v>
      </c>
      <c r="E77" s="61">
        <f>countifs(Paper_Textual_Conflict!H2:H181,FALSE,Paper_Textual_Conflict!AI2:AI181,TRUE,Paper_Textual_Conflict!AM2:AM181,"still conflict",Conflict_Type!T2:T181,TRUE)</f>
        <v>0</v>
      </c>
      <c r="F77" s="61">
        <f>countifs(Paper_Textual_Conflict!H2:H181,FALSE,Paper_Textual_Conflict!AN2:AN181,TRUE,Paper_Textual_Conflict!AR2:AR181,"still conflict",Conflict_Type!T2:T181,TRUE)</f>
        <v>1</v>
      </c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</row>
    <row r="78">
      <c r="A78" s="66" t="s">
        <v>2876</v>
      </c>
      <c r="B78" s="61">
        <f>countifs(Paper_Textual_Conflict!H2:H181,FALSE,Paper_Textual_Conflict!T2:T181,TRUE,Paper_Textual_Conflict!X2:X181,"still conflict",Conflict_Type!U2:U181,TRUE)</f>
        <v>0</v>
      </c>
      <c r="C78" s="61">
        <f>countifs(Paper_Textual_Conflict!H2:H181,FALSE,Paper_Textual_Conflict!Y2:Y181,TRUE,Paper_Textual_Conflict!AC2:AC181,"still conflict",Conflict_Type!U2:U181,TRUE)</f>
        <v>0</v>
      </c>
      <c r="D78" s="61">
        <f>countifs(Paper_Textual_Conflict!H2:H181,FALSE,Paper_Textual_Conflict!AD2:AD181,TRUE,Paper_Textual_Conflict!AH2:AH181,"still conflict",Conflict_Type!U2:U181,TRUE)</f>
        <v>0</v>
      </c>
      <c r="E78" s="61">
        <f>countifs(Paper_Textual_Conflict!H2:H181,FALSE,Paper_Textual_Conflict!AI2:AI181,TRUE,Paper_Textual_Conflict!AM2:AM181,"still conflict",Conflict_Type!U2:U181,TRUE)</f>
        <v>0</v>
      </c>
      <c r="F78" s="61">
        <f>countifs(Paper_Textual_Conflict!H2:H181,FALSE,Paper_Textual_Conflict!AN2:AN181,TRUE,Paper_Textual_Conflict!AR2:AR181,"still conflict",Conflict_Type!U2:U181,TRUE)</f>
        <v>1</v>
      </c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>
      <c r="A79" s="66" t="s">
        <v>2877</v>
      </c>
      <c r="B79" s="61">
        <f>countifs(Paper_Textual_Conflict!H2:H181,FALSE,Paper_Textual_Conflict!T2:T181,TRUE,Paper_Textual_Conflict!X2:X181,"still conflict",Conflict_Type!W2:W181,TRUE)</f>
        <v>1</v>
      </c>
      <c r="C79" s="61">
        <f>countifs(Paper_Textual_Conflict!H2:H181,FALSE,Paper_Textual_Conflict!Y2:Y181,TRUE,Paper_Textual_Conflict!AC2:AC181,"still conflict",Conflict_Type!W2:W181,TRUE)</f>
        <v>0</v>
      </c>
      <c r="D79" s="61">
        <f>countifs(Paper_Textual_Conflict!H2:H181,FALSE,Paper_Textual_Conflict!AD2:AD181,TRUE,Paper_Textual_Conflict!AH2:AH181,"still conflict",Conflict_Type!W2:W181,TRUE)</f>
        <v>2</v>
      </c>
      <c r="E79" s="61">
        <f>countifs(Paper_Textual_Conflict!H2:H181,FALSE,Paper_Textual_Conflict!AI2:AI181,TRUE,Paper_Textual_Conflict!AM2:AM181,"still conflict",Conflict_Type!W2:W181,TRUE)</f>
        <v>0</v>
      </c>
      <c r="F79" s="61">
        <f>countifs(Paper_Textual_Conflict!H2:H181,FALSE,Paper_Textual_Conflict!AN2:AN181,TRUE,Paper_Textual_Conflict!AR2:AR181,"still conflict",Conflict_Type!W2:W181,TRUE)</f>
        <v>3</v>
      </c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>
      <c r="A80" s="66" t="s">
        <v>2878</v>
      </c>
      <c r="B80" s="61">
        <f>countifs(Paper_Textual_Conflict!H2:H181,FALSE,Paper_Textual_Conflict!T2:T181,TRUE,Paper_Textual_Conflict!X2:X181,"still conflict",Conflict_Type!Z2:Z181,TRUE)</f>
        <v>0</v>
      </c>
      <c r="C80" s="61">
        <f>countifs(Paper_Textual_Conflict!H2:H181,FALSE,Paper_Textual_Conflict!Y2:Y181,TRUE,Paper_Textual_Conflict!AC2:AC181,"still conflict",Conflict_Type!Z2:Z181,TRUE)</f>
        <v>0</v>
      </c>
      <c r="D80" s="61">
        <f>countifs(Paper_Textual_Conflict!H2:H181,FALSE,Paper_Textual_Conflict!AD2:AD181,TRUE,Paper_Textual_Conflict!AH2:AH181,"still conflict",Conflict_Type!Z2:Z181,TRUE)</f>
        <v>0</v>
      </c>
      <c r="E80" s="61">
        <f>countifs(Paper_Textual_Conflict!H2:H181,FALSE,Paper_Textual_Conflict!AI2:AI181,TRUE,Paper_Textual_Conflict!AM2:AM181,"still conflict",Conflict_Type!Z2:Z181,TRUE)</f>
        <v>0</v>
      </c>
      <c r="F80" s="61">
        <f>countifs(Paper_Textual_Conflict!H2:H181,FALSE,Paper_Textual_Conflict!AN2:AN181,TRUE,Paper_Textual_Conflict!AR2:AR181,"still conflict",Conflict_Type!Z2:Z181,TRUE)</f>
        <v>0</v>
      </c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</row>
    <row r="81">
      <c r="A81" s="66" t="s">
        <v>2879</v>
      </c>
      <c r="B81" s="61">
        <f>countifs(Paper_Textual_Conflict!H2:H181,FALSE,Paper_Textual_Conflict!T2:T181,TRUE,Paper_Textual_Conflict!X2:X181,"still conflict",Conflict_Type!AC2:AC181,TRUE)</f>
        <v>1</v>
      </c>
      <c r="C81" s="61">
        <f>countifs(Paper_Textual_Conflict!H2:H181,FALSE,Paper_Textual_Conflict!Y2:Y181,TRUE,Paper_Textual_Conflict!AC2:AC181,"still conflict",Conflict_Type!AC2:AC181,TRUE)</f>
        <v>0</v>
      </c>
      <c r="D81" s="61">
        <f>countifs(Paper_Textual_Conflict!H2:H181,FALSE,Paper_Textual_Conflict!AD2:AD181,TRUE,Paper_Textual_Conflict!AH2:AH181,"still conflict",Conflict_Type!AC2:AC181,TRUE)</f>
        <v>0</v>
      </c>
      <c r="E81" s="61">
        <f>countifs(Paper_Textual_Conflict!H2:H181,FALSE,Paper_Textual_Conflict!AI2:AI181,TRUE,Paper_Textual_Conflict!AM2:AM181,"still conflict",Conflict_Type!AC2:AC181,TRUE)</f>
        <v>0</v>
      </c>
      <c r="F81" s="61">
        <f>countifs(Paper_Textual_Conflict!H2:H181,FALSE,Paper_Textual_Conflict!AN2:AN181,TRUE,Paper_Textual_Conflict!AR2:AR181,"still conflict",Conflict_Type!AC2:AC181,TRUE)</f>
        <v>2</v>
      </c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</row>
    <row r="82">
      <c r="A82" s="66" t="s">
        <v>2942</v>
      </c>
      <c r="B82" s="61">
        <f t="shared" ref="B82:F82" si="9">SUM(B67:B81)</f>
        <v>10</v>
      </c>
      <c r="C82" s="61">
        <f t="shared" si="9"/>
        <v>2</v>
      </c>
      <c r="D82" s="61">
        <f t="shared" si="9"/>
        <v>8</v>
      </c>
      <c r="E82" s="61">
        <f t="shared" si="9"/>
        <v>2</v>
      </c>
      <c r="F82" s="61">
        <f t="shared" si="9"/>
        <v>22</v>
      </c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</row>
    <row r="84">
      <c r="A84" s="66" t="s">
        <v>2944</v>
      </c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</row>
    <row r="85">
      <c r="A85" s="66" t="s">
        <v>2855</v>
      </c>
      <c r="B85" s="66" t="s">
        <v>2856</v>
      </c>
      <c r="C85" s="66" t="s">
        <v>2857</v>
      </c>
      <c r="D85" s="66" t="s">
        <v>2858</v>
      </c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</row>
    <row r="86">
      <c r="A86" s="66">
        <f>IFERROR(__xludf.DUMMYFUNCTION("counta(filter(Paper_Textual_Conflict!T2:T181 = TRUE, Paper_Textual_Conflict!X2:X181 = ""still conflict"", Paper_Textual_Conflict!AN2:AN181 = TRUE, Paper_Textual_Conflict!AR2:AR181 = ""still conflict""))"),28.0)</f>
        <v>28</v>
      </c>
      <c r="B86" s="61">
        <f>IFERROR(__xludf.DUMMYFUNCTION("counta(filter(Paper_Textual_Conflict!Y2:Y181 = TRUE, Paper_Textual_Conflict!AC2:AC181 = ""still conflict"", Paper_Textual_Conflict!AN2:AN181 = TRUE, Paper_Textual_Conflict!AR2:AR181 = ""still conflict""))"),22.0)</f>
        <v>22</v>
      </c>
      <c r="C86" s="61">
        <f>IFERROR(__xludf.DUMMYFUNCTION("counta(filter(Paper_Textual_Conflict!AD2:AD181 = TRUE, Paper_Textual_Conflict!AH2:AH181 = ""still conflict"", Paper_Textual_Conflict!AN2:AN181 = TRUE, Paper_Textual_Conflict!AR2:AR181 = ""still conflict""))"),34.0)</f>
        <v>34</v>
      </c>
      <c r="D86" s="61">
        <f>IFERROR(__xludf.DUMMYFUNCTION("counta(filter(Paper_Textual_Conflict!AI2:AI181 = TRUE, Paper_Textual_Conflict!AM2:AM181 = ""still conflict"", Paper_Textual_Conflict!AN2:AN181 = TRUE, Paper_Textual_Conflict!AR2:AR181 = ""still conflict""))"),15.0)</f>
        <v>15</v>
      </c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3" width="14.13"/>
  </cols>
  <sheetData>
    <row r="1" ht="18.75" customHeight="1">
      <c r="A1" s="8" t="str">
        <f>Paper_Textual_Conflict!O1</f>
        <v>Child Resolution Pattern</v>
      </c>
      <c r="B1" s="9" t="s">
        <v>2945</v>
      </c>
      <c r="C1" s="9"/>
      <c r="D1" s="37" t="s">
        <v>58</v>
      </c>
      <c r="E1" s="37" t="s">
        <v>170</v>
      </c>
      <c r="F1" s="37" t="s">
        <v>189</v>
      </c>
      <c r="G1" s="37" t="s">
        <v>86</v>
      </c>
      <c r="H1" s="37" t="s">
        <v>62</v>
      </c>
      <c r="I1" s="37" t="s">
        <v>469</v>
      </c>
      <c r="J1" s="78" t="s">
        <v>79</v>
      </c>
    </row>
    <row r="2" ht="18.75" customHeight="1">
      <c r="A2" s="8" t="str">
        <f>Paper_Textual_Conflict!O2</f>
        <v>L</v>
      </c>
      <c r="B2" s="8" t="str">
        <f>IFERROR(__xludf.DUMMYFUNCTION("SUBSTITUTE(REGEXEXTRACT(A2,""^[^(]*""),"" "","""")"),"L")</f>
        <v>L</v>
      </c>
      <c r="C2" s="8"/>
      <c r="D2" s="37" t="b">
        <f>IFERROR(__xludf.DUMMYFUNCTION("REGEXMATCH(B2,""^L$"")"),TRUE)</f>
        <v>1</v>
      </c>
      <c r="E2" s="37" t="b">
        <f>IFERROR(__xludf.DUMMYFUNCTION("REGEXMATCH(B2,""^R$"")"),FALSE)</f>
        <v>0</v>
      </c>
      <c r="F2" s="37" t="b">
        <f>IFERROR(__xludf.DUMMYFUNCTION("REGEXMATCH(B2,""^M$"")"),FALSE)</f>
        <v>0</v>
      </c>
      <c r="G2" s="37" t="b">
        <f>IFERROR(__xludf.DUMMYFUNCTION("REGEXMATCH(B2,""^((L\+R)|(R\+L))$"")"),FALSE)</f>
        <v>0</v>
      </c>
      <c r="H2" s="37" t="b">
        <f>IFERROR(__xludf.DUMMYFUNCTION("REGEXMATCH(B2,""^((L\+M)|(M\+L))$"")"),FALSE)</f>
        <v>0</v>
      </c>
      <c r="I2" s="37" t="b">
        <f>IFERROR(__xludf.DUMMYFUNCTION("REGEXMATCH(B2,""^((R\+M)|(M\+R))$"")"),FALSE)</f>
        <v>0</v>
      </c>
      <c r="J2" s="37" t="b">
        <f>IFERROR(__xludf.DUMMYFUNCTION("REGEXMATCH(B2,""^L\+R\+M$"")"),FALSE)</f>
        <v>0</v>
      </c>
    </row>
    <row r="3" ht="18.75" customHeight="1">
      <c r="A3" s="8" t="str">
        <f>Paper_Textual_Conflict!O3</f>
        <v>L+R+M</v>
      </c>
      <c r="B3" s="8" t="str">
        <f>IFERROR(__xludf.DUMMYFUNCTION("SUBSTITUTE(REGEXEXTRACT(A3,""^[^(]*""),"" "","""")"),"L+R+M")</f>
        <v>L+R+M</v>
      </c>
      <c r="C3" s="8"/>
      <c r="D3" s="37" t="b">
        <f>IFERROR(__xludf.DUMMYFUNCTION("REGEXMATCH(B3,""^L$"")"),FALSE)</f>
        <v>0</v>
      </c>
      <c r="E3" s="37" t="b">
        <f>IFERROR(__xludf.DUMMYFUNCTION("REGEXMATCH(B3,""^R$"")"),FALSE)</f>
        <v>0</v>
      </c>
      <c r="F3" s="37" t="b">
        <f>IFERROR(__xludf.DUMMYFUNCTION("REGEXMATCH(B3,""^M$"")"),FALSE)</f>
        <v>0</v>
      </c>
      <c r="G3" s="37" t="b">
        <f>IFERROR(__xludf.DUMMYFUNCTION("REGEXMATCH(B3,""^((L\+R)|(R\+L))$"")"),FALSE)</f>
        <v>0</v>
      </c>
      <c r="H3" s="37" t="b">
        <f>IFERROR(__xludf.DUMMYFUNCTION("REGEXMATCH(B3,""^((L\+M)|(M\+L))$"")"),FALSE)</f>
        <v>0</v>
      </c>
      <c r="I3" s="37" t="b">
        <f>IFERROR(__xludf.DUMMYFUNCTION("REGEXMATCH(B3,""^((R\+M)|(M\+R))$"")"),FALSE)</f>
        <v>0</v>
      </c>
      <c r="J3" s="37" t="b">
        <f>IFERROR(__xludf.DUMMYFUNCTION("REGEXMATCH(B3,""^L\+R\+M$"")"),TRUE)</f>
        <v>1</v>
      </c>
    </row>
    <row r="4" ht="18.75" customHeight="1">
      <c r="A4" s="8" t="str">
        <f>Paper_Textual_Conflict!O4</f>
        <v>L+R</v>
      </c>
      <c r="B4" s="8" t="str">
        <f>IFERROR(__xludf.DUMMYFUNCTION("SUBSTITUTE(REGEXEXTRACT(A4,""^[^(]*""),"" "","""")"),"L+R")</f>
        <v>L+R</v>
      </c>
      <c r="C4" s="8"/>
      <c r="D4" s="37" t="b">
        <f>IFERROR(__xludf.DUMMYFUNCTION("REGEXMATCH(B4,""^L$"")"),FALSE)</f>
        <v>0</v>
      </c>
      <c r="E4" s="37" t="b">
        <f>IFERROR(__xludf.DUMMYFUNCTION("REGEXMATCH(B4,""^R$"")"),FALSE)</f>
        <v>0</v>
      </c>
      <c r="F4" s="37" t="b">
        <f>IFERROR(__xludf.DUMMYFUNCTION("REGEXMATCH(B4,""^M$"")"),FALSE)</f>
        <v>0</v>
      </c>
      <c r="G4" s="37" t="b">
        <f>IFERROR(__xludf.DUMMYFUNCTION("REGEXMATCH(B4,""^((L\+R)|(R\+L))$"")"),TRUE)</f>
        <v>1</v>
      </c>
      <c r="H4" s="37" t="b">
        <f>IFERROR(__xludf.DUMMYFUNCTION("REGEXMATCH(B4,""^((L\+M)|(M\+L))$"")"),FALSE)</f>
        <v>0</v>
      </c>
      <c r="I4" s="37" t="b">
        <f>IFERROR(__xludf.DUMMYFUNCTION("REGEXMATCH(B4,""^((R\+M)|(M\+R))$"")"),FALSE)</f>
        <v>0</v>
      </c>
      <c r="J4" s="37" t="b">
        <f>IFERROR(__xludf.DUMMYFUNCTION("REGEXMATCH(B4,""^L\+R\+M$"")"),FALSE)</f>
        <v>0</v>
      </c>
    </row>
    <row r="5" ht="18.75" customHeight="1">
      <c r="A5" s="8" t="str">
        <f>Paper_Textual_Conflict!O5</f>
        <v>L</v>
      </c>
      <c r="B5" s="8" t="str">
        <f>IFERROR(__xludf.DUMMYFUNCTION("SUBSTITUTE(REGEXEXTRACT(A5,""^[^(]*""),"" "","""")"),"L")</f>
        <v>L</v>
      </c>
      <c r="C5" s="8"/>
      <c r="D5" s="37" t="b">
        <f>IFERROR(__xludf.DUMMYFUNCTION("REGEXMATCH(B5,""^L$"")"),TRUE)</f>
        <v>1</v>
      </c>
      <c r="E5" s="37" t="b">
        <f>IFERROR(__xludf.DUMMYFUNCTION("REGEXMATCH(B5,""^R$"")"),FALSE)</f>
        <v>0</v>
      </c>
      <c r="F5" s="37" t="b">
        <f>IFERROR(__xludf.DUMMYFUNCTION("REGEXMATCH(B5,""^M$"")"),FALSE)</f>
        <v>0</v>
      </c>
      <c r="G5" s="37" t="b">
        <f>IFERROR(__xludf.DUMMYFUNCTION("REGEXMATCH(B5,""^((L\+R)|(R\+L))$"")"),FALSE)</f>
        <v>0</v>
      </c>
      <c r="H5" s="37" t="b">
        <f>IFERROR(__xludf.DUMMYFUNCTION("REGEXMATCH(B5,""^((L\+M)|(M\+L))$"")"),FALSE)</f>
        <v>0</v>
      </c>
      <c r="I5" s="37" t="b">
        <f>IFERROR(__xludf.DUMMYFUNCTION("REGEXMATCH(B5,""^((R\+M)|(M\+R))$"")"),FALSE)</f>
        <v>0</v>
      </c>
      <c r="J5" s="37" t="b">
        <f>IFERROR(__xludf.DUMMYFUNCTION("REGEXMATCH(B5,""^L\+R\+M$"")"),FALSE)</f>
        <v>0</v>
      </c>
    </row>
    <row r="6" ht="18.75" customHeight="1">
      <c r="A6" s="8" t="str">
        <f>Paper_Textual_Conflict!O6</f>
        <v>L+R</v>
      </c>
      <c r="B6" s="8" t="str">
        <f>IFERROR(__xludf.DUMMYFUNCTION("SUBSTITUTE(REGEXEXTRACT(A6,""^[^(]*""),"" "","""")"),"L+R")</f>
        <v>L+R</v>
      </c>
      <c r="C6" s="8"/>
      <c r="D6" s="37" t="b">
        <f>IFERROR(__xludf.DUMMYFUNCTION("REGEXMATCH(B6,""^L$"")"),FALSE)</f>
        <v>0</v>
      </c>
      <c r="E6" s="37" t="b">
        <f>IFERROR(__xludf.DUMMYFUNCTION("REGEXMATCH(B6,""^R$"")"),FALSE)</f>
        <v>0</v>
      </c>
      <c r="F6" s="37" t="b">
        <f>IFERROR(__xludf.DUMMYFUNCTION("REGEXMATCH(B6,""^M$"")"),FALSE)</f>
        <v>0</v>
      </c>
      <c r="G6" s="37" t="b">
        <f>IFERROR(__xludf.DUMMYFUNCTION("REGEXMATCH(B6,""^((L\+R)|(R\+L))$"")"),TRUE)</f>
        <v>1</v>
      </c>
      <c r="H6" s="37" t="b">
        <f>IFERROR(__xludf.DUMMYFUNCTION("REGEXMATCH(B6,""^((L\+M)|(M\+L))$"")"),FALSE)</f>
        <v>0</v>
      </c>
      <c r="I6" s="37" t="b">
        <f>IFERROR(__xludf.DUMMYFUNCTION("REGEXMATCH(B6,""^((R\+M)|(M\+R))$"")"),FALSE)</f>
        <v>0</v>
      </c>
      <c r="J6" s="37" t="b">
        <f>IFERROR(__xludf.DUMMYFUNCTION("REGEXMATCH(B6,""^L\+R\+M$"")"),FALSE)</f>
        <v>0</v>
      </c>
    </row>
    <row r="7" ht="18.75" customHeight="1">
      <c r="A7" s="8" t="str">
        <f>Paper_Textual_Conflict!O7</f>
        <v>L+R+M(sendMsg from right also get updated)</v>
      </c>
      <c r="B7" s="8" t="str">
        <f>IFERROR(__xludf.DUMMYFUNCTION("SUBSTITUTE(REGEXEXTRACT(A7,""^[^(]*""),"" "","""")"),"L+R+M")</f>
        <v>L+R+M</v>
      </c>
      <c r="C7" s="8"/>
      <c r="D7" s="37" t="b">
        <f>IFERROR(__xludf.DUMMYFUNCTION("REGEXMATCH(B7,""^L$"")"),FALSE)</f>
        <v>0</v>
      </c>
      <c r="E7" s="37" t="b">
        <f>IFERROR(__xludf.DUMMYFUNCTION("REGEXMATCH(B7,""^R$"")"),FALSE)</f>
        <v>0</v>
      </c>
      <c r="F7" s="37" t="b">
        <f>IFERROR(__xludf.DUMMYFUNCTION("REGEXMATCH(B7,""^M$"")"),FALSE)</f>
        <v>0</v>
      </c>
      <c r="G7" s="37" t="b">
        <f>IFERROR(__xludf.DUMMYFUNCTION("REGEXMATCH(B7,""^((L\+R)|(R\+L))$"")"),FALSE)</f>
        <v>0</v>
      </c>
      <c r="H7" s="37" t="b">
        <f>IFERROR(__xludf.DUMMYFUNCTION("REGEXMATCH(B7,""^((L\+M)|(M\+L))$"")"),FALSE)</f>
        <v>0</v>
      </c>
      <c r="I7" s="37" t="b">
        <f>IFERROR(__xludf.DUMMYFUNCTION("REGEXMATCH(B7,""^((R\+M)|(M\+R))$"")"),FALSE)</f>
        <v>0</v>
      </c>
      <c r="J7" s="37" t="b">
        <f>IFERROR(__xludf.DUMMYFUNCTION("REGEXMATCH(B7,""^L\+R\+M$"")"),TRUE)</f>
        <v>1</v>
      </c>
    </row>
    <row r="8" ht="18.75" customHeight="1">
      <c r="A8" s="8" t="str">
        <f>Paper_Textual_Conflict!O8</f>
        <v>R</v>
      </c>
      <c r="B8" s="8" t="str">
        <f>IFERROR(__xludf.DUMMYFUNCTION("SUBSTITUTE(REGEXEXTRACT(A8,""^[^(]*""),"" "","""")"),"R")</f>
        <v>R</v>
      </c>
      <c r="C8" s="8"/>
      <c r="D8" s="37" t="b">
        <f>IFERROR(__xludf.DUMMYFUNCTION("REGEXMATCH(B8,""^L$"")"),FALSE)</f>
        <v>0</v>
      </c>
      <c r="E8" s="37" t="b">
        <f>IFERROR(__xludf.DUMMYFUNCTION("REGEXMATCH(B8,""^R$"")"),TRUE)</f>
        <v>1</v>
      </c>
      <c r="F8" s="37" t="b">
        <f>IFERROR(__xludf.DUMMYFUNCTION("REGEXMATCH(B8,""^M$"")"),FALSE)</f>
        <v>0</v>
      </c>
      <c r="G8" s="37" t="b">
        <f>IFERROR(__xludf.DUMMYFUNCTION("REGEXMATCH(B8,""^((L\+R)|(R\+L))$"")"),FALSE)</f>
        <v>0</v>
      </c>
      <c r="H8" s="37" t="b">
        <f>IFERROR(__xludf.DUMMYFUNCTION("REGEXMATCH(B8,""^((L\+M)|(M\+L))$"")"),FALSE)</f>
        <v>0</v>
      </c>
      <c r="I8" s="37" t="b">
        <f>IFERROR(__xludf.DUMMYFUNCTION("REGEXMATCH(B8,""^((R\+M)|(M\+R))$"")"),FALSE)</f>
        <v>0</v>
      </c>
      <c r="J8" s="37" t="b">
        <f>IFERROR(__xludf.DUMMYFUNCTION("REGEXMATCH(B8,""^L\+R\+M$"")"),FALSE)</f>
        <v>0</v>
      </c>
    </row>
    <row r="9" ht="18.75" customHeight="1">
      <c r="A9" s="8" t="str">
        <f>Paper_Textual_Conflict!O9</f>
        <v>L</v>
      </c>
      <c r="B9" s="8" t="str">
        <f>IFERROR(__xludf.DUMMYFUNCTION("SUBSTITUTE(REGEXEXTRACT(A9,""^[^(]*""),"" "","""")"),"L")</f>
        <v>L</v>
      </c>
      <c r="C9" s="8"/>
      <c r="D9" s="37" t="b">
        <f>IFERROR(__xludf.DUMMYFUNCTION("REGEXMATCH(B9,""^L$"")"),TRUE)</f>
        <v>1</v>
      </c>
      <c r="E9" s="37" t="b">
        <f>IFERROR(__xludf.DUMMYFUNCTION("REGEXMATCH(B9,""^R$"")"),FALSE)</f>
        <v>0</v>
      </c>
      <c r="F9" s="37" t="b">
        <f>IFERROR(__xludf.DUMMYFUNCTION("REGEXMATCH(B9,""^M$"")"),FALSE)</f>
        <v>0</v>
      </c>
      <c r="G9" s="37" t="b">
        <f>IFERROR(__xludf.DUMMYFUNCTION("REGEXMATCH(B9,""^((L\+R)|(R\+L))$"")"),FALSE)</f>
        <v>0</v>
      </c>
      <c r="H9" s="37" t="b">
        <f>IFERROR(__xludf.DUMMYFUNCTION("REGEXMATCH(B9,""^((L\+M)|(M\+L))$"")"),FALSE)</f>
        <v>0</v>
      </c>
      <c r="I9" s="37" t="b">
        <f>IFERROR(__xludf.DUMMYFUNCTION("REGEXMATCH(B9,""^((R\+M)|(M\+R))$"")"),FALSE)</f>
        <v>0</v>
      </c>
      <c r="J9" s="37" t="b">
        <f>IFERROR(__xludf.DUMMYFUNCTION("REGEXMATCH(B9,""^L\+R\+M$"")"),FALSE)</f>
        <v>0</v>
      </c>
    </row>
    <row r="10" ht="18.75" customHeight="1">
      <c r="A10" s="8" t="str">
        <f>Paper_Textual_Conflict!O10</f>
        <v>L(L include R)</v>
      </c>
      <c r="B10" s="8" t="str">
        <f>IFERROR(__xludf.DUMMYFUNCTION("SUBSTITUTE(REGEXEXTRACT(A10,""^[^(]*""),"" "","""")"),"L")</f>
        <v>L</v>
      </c>
      <c r="C10" s="8"/>
      <c r="D10" s="37" t="b">
        <f>IFERROR(__xludf.DUMMYFUNCTION("REGEXMATCH(B10,""^L$"")"),TRUE)</f>
        <v>1</v>
      </c>
      <c r="E10" s="37" t="b">
        <f>IFERROR(__xludf.DUMMYFUNCTION("REGEXMATCH(B10,""^R$"")"),FALSE)</f>
        <v>0</v>
      </c>
      <c r="F10" s="37" t="b">
        <f>IFERROR(__xludf.DUMMYFUNCTION("REGEXMATCH(B10,""^M$"")"),FALSE)</f>
        <v>0</v>
      </c>
      <c r="G10" s="37" t="b">
        <f>IFERROR(__xludf.DUMMYFUNCTION("REGEXMATCH(B10,""^((L\+R)|(R\+L))$"")"),FALSE)</f>
        <v>0</v>
      </c>
      <c r="H10" s="37" t="b">
        <f>IFERROR(__xludf.DUMMYFUNCTION("REGEXMATCH(B10,""^((L\+M)|(M\+L))$"")"),FALSE)</f>
        <v>0</v>
      </c>
      <c r="I10" s="37" t="b">
        <f>IFERROR(__xludf.DUMMYFUNCTION("REGEXMATCH(B10,""^((R\+M)|(M\+R))$"")"),FALSE)</f>
        <v>0</v>
      </c>
      <c r="J10" s="37" t="b">
        <f>IFERROR(__xludf.DUMMYFUNCTION("REGEXMATCH(B10,""^L\+R\+M$"")"),FALSE)</f>
        <v>0</v>
      </c>
    </row>
    <row r="11" ht="18.75" customHeight="1">
      <c r="A11" s="8" t="str">
        <f>Paper_Textual_Conflict!O11</f>
        <v>L+R+M</v>
      </c>
      <c r="B11" s="8" t="str">
        <f>IFERROR(__xludf.DUMMYFUNCTION("SUBSTITUTE(REGEXEXTRACT(A11,""^[^(]*""),"" "","""")"),"L+R+M")</f>
        <v>L+R+M</v>
      </c>
      <c r="C11" s="8"/>
      <c r="D11" s="37" t="b">
        <f>IFERROR(__xludf.DUMMYFUNCTION("REGEXMATCH(B11,""^L$"")"),FALSE)</f>
        <v>0</v>
      </c>
      <c r="E11" s="37" t="b">
        <f>IFERROR(__xludf.DUMMYFUNCTION("REGEXMATCH(B11,""^R$"")"),FALSE)</f>
        <v>0</v>
      </c>
      <c r="F11" s="37" t="b">
        <f>IFERROR(__xludf.DUMMYFUNCTION("REGEXMATCH(B11,""^M$"")"),FALSE)</f>
        <v>0</v>
      </c>
      <c r="G11" s="37" t="b">
        <f>IFERROR(__xludf.DUMMYFUNCTION("REGEXMATCH(B11,""^((L\+R)|(R\+L))$"")"),FALSE)</f>
        <v>0</v>
      </c>
      <c r="H11" s="37" t="b">
        <f>IFERROR(__xludf.DUMMYFUNCTION("REGEXMATCH(B11,""^((L\+M)|(M\+L))$"")"),FALSE)</f>
        <v>0</v>
      </c>
      <c r="I11" s="37" t="b">
        <f>IFERROR(__xludf.DUMMYFUNCTION("REGEXMATCH(B11,""^((R\+M)|(M\+R))$"")"),FALSE)</f>
        <v>0</v>
      </c>
      <c r="J11" s="37" t="b">
        <f>IFERROR(__xludf.DUMMYFUNCTION("REGEXMATCH(B11,""^L\+R\+M$"")"),TRUE)</f>
        <v>1</v>
      </c>
    </row>
    <row r="12" ht="18.75" customHeight="1">
      <c r="A12" s="8" t="str">
        <f>Paper_Textual_Conflict!O12</f>
        <v>L+R</v>
      </c>
      <c r="B12" s="8" t="str">
        <f>IFERROR(__xludf.DUMMYFUNCTION("SUBSTITUTE(REGEXEXTRACT(A12,""^[^(]*""),"" "","""")"),"L+R")</f>
        <v>L+R</v>
      </c>
      <c r="C12" s="8"/>
      <c r="D12" s="37" t="b">
        <f>IFERROR(__xludf.DUMMYFUNCTION("REGEXMATCH(B12,""^L$"")"),FALSE)</f>
        <v>0</v>
      </c>
      <c r="E12" s="37" t="b">
        <f>IFERROR(__xludf.DUMMYFUNCTION("REGEXMATCH(B12,""^R$"")"),FALSE)</f>
        <v>0</v>
      </c>
      <c r="F12" s="37" t="b">
        <f>IFERROR(__xludf.DUMMYFUNCTION("REGEXMATCH(B12,""^M$"")"),FALSE)</f>
        <v>0</v>
      </c>
      <c r="G12" s="37" t="b">
        <f>IFERROR(__xludf.DUMMYFUNCTION("REGEXMATCH(B12,""^((L\+R)|(R\+L))$"")"),TRUE)</f>
        <v>1</v>
      </c>
      <c r="H12" s="37" t="b">
        <f>IFERROR(__xludf.DUMMYFUNCTION("REGEXMATCH(B12,""^((L\+M)|(M\+L))$"")"),FALSE)</f>
        <v>0</v>
      </c>
      <c r="I12" s="37" t="b">
        <f>IFERROR(__xludf.DUMMYFUNCTION("REGEXMATCH(B12,""^((R\+M)|(M\+R))$"")"),FALSE)</f>
        <v>0</v>
      </c>
      <c r="J12" s="37" t="b">
        <f>IFERROR(__xludf.DUMMYFUNCTION("REGEXMATCH(B12,""^L\+R\+M$"")"),FALSE)</f>
        <v>0</v>
      </c>
    </row>
    <row r="13" ht="18.75" customHeight="1">
      <c r="A13" s="8" t="str">
        <f>Paper_Textual_Conflict!O13</f>
        <v>L (the inserted version by R conflicts with L)</v>
      </c>
      <c r="B13" s="8" t="str">
        <f>IFERROR(__xludf.DUMMYFUNCTION("SUBSTITUTE(REGEXEXTRACT(A13,""^[^(]*""),"" "","""")"),"L")</f>
        <v>L</v>
      </c>
      <c r="C13" s="8"/>
      <c r="D13" s="37" t="b">
        <f>IFERROR(__xludf.DUMMYFUNCTION("REGEXMATCH(B13,""^L$"")"),TRUE)</f>
        <v>1</v>
      </c>
      <c r="E13" s="37" t="b">
        <f>IFERROR(__xludf.DUMMYFUNCTION("REGEXMATCH(B13,""^R$"")"),FALSE)</f>
        <v>0</v>
      </c>
      <c r="F13" s="37" t="b">
        <f>IFERROR(__xludf.DUMMYFUNCTION("REGEXMATCH(B13,""^M$"")"),FALSE)</f>
        <v>0</v>
      </c>
      <c r="G13" s="37" t="b">
        <f>IFERROR(__xludf.DUMMYFUNCTION("REGEXMATCH(B13,""^((L\+R)|(R\+L))$"")"),FALSE)</f>
        <v>0</v>
      </c>
      <c r="H13" s="37" t="b">
        <f>IFERROR(__xludf.DUMMYFUNCTION("REGEXMATCH(B13,""^((L\+M)|(M\+L))$"")"),FALSE)</f>
        <v>0</v>
      </c>
      <c r="I13" s="37" t="b">
        <f>IFERROR(__xludf.DUMMYFUNCTION("REGEXMATCH(B13,""^((R\+M)|(M\+R))$"")"),FALSE)</f>
        <v>0</v>
      </c>
      <c r="J13" s="37" t="b">
        <f>IFERROR(__xludf.DUMMYFUNCTION("REGEXMATCH(B13,""^L\+R\+M$"")"),FALSE)</f>
        <v>0</v>
      </c>
    </row>
    <row r="14" ht="18.75" customHeight="1">
      <c r="A14" s="8" t="str">
        <f>Paper_Textual_Conflict!O14</f>
        <v>R (R includes L)</v>
      </c>
      <c r="B14" s="8" t="str">
        <f>IFERROR(__xludf.DUMMYFUNCTION("SUBSTITUTE(REGEXEXTRACT(A14,""^[^(]*""),"" "","""")"),"R")</f>
        <v>R</v>
      </c>
      <c r="C14" s="8"/>
      <c r="D14" s="37" t="b">
        <f>IFERROR(__xludf.DUMMYFUNCTION("REGEXMATCH(B14,""^L$"")"),FALSE)</f>
        <v>0</v>
      </c>
      <c r="E14" s="37" t="b">
        <f>IFERROR(__xludf.DUMMYFUNCTION("REGEXMATCH(B14,""^R$"")"),TRUE)</f>
        <v>1</v>
      </c>
      <c r="F14" s="37" t="b">
        <f>IFERROR(__xludf.DUMMYFUNCTION("REGEXMATCH(B14,""^M$"")"),FALSE)</f>
        <v>0</v>
      </c>
      <c r="G14" s="37" t="b">
        <f>IFERROR(__xludf.DUMMYFUNCTION("REGEXMATCH(B14,""^((L\+R)|(R\+L))$"")"),FALSE)</f>
        <v>0</v>
      </c>
      <c r="H14" s="37" t="b">
        <f>IFERROR(__xludf.DUMMYFUNCTION("REGEXMATCH(B14,""^((L\+M)|(M\+L))$"")"),FALSE)</f>
        <v>0</v>
      </c>
      <c r="I14" s="37" t="b">
        <f>IFERROR(__xludf.DUMMYFUNCTION("REGEXMATCH(B14,""^((R\+M)|(M\+R))$"")"),FALSE)</f>
        <v>0</v>
      </c>
      <c r="J14" s="37" t="b">
        <f>IFERROR(__xludf.DUMMYFUNCTION("REGEXMATCH(B14,""^L\+R\+M$"")"),FALSE)</f>
        <v>0</v>
      </c>
    </row>
    <row r="15" ht="18.75" customHeight="1">
      <c r="A15" s="8" t="str">
        <f>Paper_Textual_Conflict!O15</f>
        <v>L</v>
      </c>
      <c r="B15" s="8" t="str">
        <f>IFERROR(__xludf.DUMMYFUNCTION("SUBSTITUTE(REGEXEXTRACT(A15,""^[^(]*""),"" "","""")"),"L")</f>
        <v>L</v>
      </c>
      <c r="C15" s="8"/>
      <c r="D15" s="37" t="b">
        <f>IFERROR(__xludf.DUMMYFUNCTION("REGEXMATCH(B15,""^L$"")"),TRUE)</f>
        <v>1</v>
      </c>
      <c r="E15" s="37" t="b">
        <f>IFERROR(__xludf.DUMMYFUNCTION("REGEXMATCH(B15,""^R$"")"),FALSE)</f>
        <v>0</v>
      </c>
      <c r="F15" s="37" t="b">
        <f>IFERROR(__xludf.DUMMYFUNCTION("REGEXMATCH(B15,""^M$"")"),FALSE)</f>
        <v>0</v>
      </c>
      <c r="G15" s="37" t="b">
        <f>IFERROR(__xludf.DUMMYFUNCTION("REGEXMATCH(B15,""^((L\+R)|(R\+L))$"")"),FALSE)</f>
        <v>0</v>
      </c>
      <c r="H15" s="37" t="b">
        <f>IFERROR(__xludf.DUMMYFUNCTION("REGEXMATCH(B15,""^((L\+M)|(M\+L))$"")"),FALSE)</f>
        <v>0</v>
      </c>
      <c r="I15" s="37" t="b">
        <f>IFERROR(__xludf.DUMMYFUNCTION("REGEXMATCH(B15,""^((R\+M)|(M\+R))$"")"),FALSE)</f>
        <v>0</v>
      </c>
      <c r="J15" s="37" t="b">
        <f>IFERROR(__xludf.DUMMYFUNCTION("REGEXMATCH(B15,""^L\+R\+M$"")"),FALSE)</f>
        <v>0</v>
      </c>
    </row>
    <row r="16" ht="18.75" customHeight="1">
      <c r="A16" s="8" t="str">
        <f>Paper_Textual_Conflict!O16</f>
        <v>R(R include L)</v>
      </c>
      <c r="B16" s="8" t="str">
        <f>IFERROR(__xludf.DUMMYFUNCTION("SUBSTITUTE(REGEXEXTRACT(A16,""^[^(]*""),"" "","""")"),"R")</f>
        <v>R</v>
      </c>
      <c r="C16" s="8"/>
      <c r="D16" s="37" t="b">
        <f>IFERROR(__xludf.DUMMYFUNCTION("REGEXMATCH(B16,""^L$"")"),FALSE)</f>
        <v>0</v>
      </c>
      <c r="E16" s="37" t="b">
        <f>IFERROR(__xludf.DUMMYFUNCTION("REGEXMATCH(B16,""^R$"")"),TRUE)</f>
        <v>1</v>
      </c>
      <c r="F16" s="37" t="b">
        <f>IFERROR(__xludf.DUMMYFUNCTION("REGEXMATCH(B16,""^M$"")"),FALSE)</f>
        <v>0</v>
      </c>
      <c r="G16" s="37" t="b">
        <f>IFERROR(__xludf.DUMMYFUNCTION("REGEXMATCH(B16,""^((L\+R)|(R\+L))$"")"),FALSE)</f>
        <v>0</v>
      </c>
      <c r="H16" s="37" t="b">
        <f>IFERROR(__xludf.DUMMYFUNCTION("REGEXMATCH(B16,""^((L\+M)|(M\+L))$"")"),FALSE)</f>
        <v>0</v>
      </c>
      <c r="I16" s="37" t="b">
        <f>IFERROR(__xludf.DUMMYFUNCTION("REGEXMATCH(B16,""^((R\+M)|(M\+R))$"")"),FALSE)</f>
        <v>0</v>
      </c>
      <c r="J16" s="37" t="b">
        <f>IFERROR(__xludf.DUMMYFUNCTION("REGEXMATCH(B16,""^L\+R\+M$"")"),FALSE)</f>
        <v>0</v>
      </c>
    </row>
    <row r="17" ht="18.75" customHeight="1">
      <c r="A17" s="8" t="str">
        <f>Paper_Textual_Conflict!O17</f>
        <v>L</v>
      </c>
      <c r="B17" s="8" t="str">
        <f>IFERROR(__xludf.DUMMYFUNCTION("SUBSTITUTE(REGEXEXTRACT(A17,""^[^(]*""),"" "","""")"),"L")</f>
        <v>L</v>
      </c>
      <c r="C17" s="8"/>
      <c r="D17" s="37" t="b">
        <f>IFERROR(__xludf.DUMMYFUNCTION("REGEXMATCH(B17,""^L$"")"),TRUE)</f>
        <v>1</v>
      </c>
      <c r="E17" s="37" t="b">
        <f>IFERROR(__xludf.DUMMYFUNCTION("REGEXMATCH(B17,""^R$"")"),FALSE)</f>
        <v>0</v>
      </c>
      <c r="F17" s="37" t="b">
        <f>IFERROR(__xludf.DUMMYFUNCTION("REGEXMATCH(B17,""^M$"")"),FALSE)</f>
        <v>0</v>
      </c>
      <c r="G17" s="37" t="b">
        <f>IFERROR(__xludf.DUMMYFUNCTION("REGEXMATCH(B17,""^((L\+R)|(R\+L))$"")"),FALSE)</f>
        <v>0</v>
      </c>
      <c r="H17" s="37" t="b">
        <f>IFERROR(__xludf.DUMMYFUNCTION("REGEXMATCH(B17,""^((L\+M)|(M\+L))$"")"),FALSE)</f>
        <v>0</v>
      </c>
      <c r="I17" s="37" t="b">
        <f>IFERROR(__xludf.DUMMYFUNCTION("REGEXMATCH(B17,""^((R\+M)|(M\+R))$"")"),FALSE)</f>
        <v>0</v>
      </c>
      <c r="J17" s="37" t="b">
        <f>IFERROR(__xludf.DUMMYFUNCTION("REGEXMATCH(B17,""^L\+R\+M$"")"),FALSE)</f>
        <v>0</v>
      </c>
    </row>
    <row r="18" ht="18.75" customHeight="1">
      <c r="A18" s="8" t="str">
        <f>Paper_Textual_Conflict!O18</f>
        <v>L</v>
      </c>
      <c r="B18" s="8" t="str">
        <f>IFERROR(__xludf.DUMMYFUNCTION("SUBSTITUTE(REGEXEXTRACT(A18,""^[^(]*""),"" "","""")"),"L")</f>
        <v>L</v>
      </c>
      <c r="C18" s="8"/>
      <c r="D18" s="37" t="b">
        <f>IFERROR(__xludf.DUMMYFUNCTION("REGEXMATCH(B18,""^L$"")"),TRUE)</f>
        <v>1</v>
      </c>
      <c r="E18" s="37" t="b">
        <f>IFERROR(__xludf.DUMMYFUNCTION("REGEXMATCH(B18,""^R$"")"),FALSE)</f>
        <v>0</v>
      </c>
      <c r="F18" s="37" t="b">
        <f>IFERROR(__xludf.DUMMYFUNCTION("REGEXMATCH(B18,""^M$"")"),FALSE)</f>
        <v>0</v>
      </c>
      <c r="G18" s="37" t="b">
        <f>IFERROR(__xludf.DUMMYFUNCTION("REGEXMATCH(B18,""^((L\+R)|(R\+L))$"")"),FALSE)</f>
        <v>0</v>
      </c>
      <c r="H18" s="37" t="b">
        <f>IFERROR(__xludf.DUMMYFUNCTION("REGEXMATCH(B18,""^((L\+M)|(M\+L))$"")"),FALSE)</f>
        <v>0</v>
      </c>
      <c r="I18" s="37" t="b">
        <f>IFERROR(__xludf.DUMMYFUNCTION("REGEXMATCH(B18,""^((R\+M)|(M\+R))$"")"),FALSE)</f>
        <v>0</v>
      </c>
      <c r="J18" s="37" t="b">
        <f>IFERROR(__xludf.DUMMYFUNCTION("REGEXMATCH(B18,""^L\+R\+M$"")"),FALSE)</f>
        <v>0</v>
      </c>
    </row>
    <row r="19" ht="18.75" customHeight="1">
      <c r="A19" s="8" t="str">
        <f>Paper_Textual_Conflict!O19</f>
        <v>R</v>
      </c>
      <c r="B19" s="8" t="str">
        <f>IFERROR(__xludf.DUMMYFUNCTION("SUBSTITUTE(REGEXEXTRACT(A19,""^[^(]*""),"" "","""")"),"R")</f>
        <v>R</v>
      </c>
      <c r="C19" s="8"/>
      <c r="D19" s="37" t="b">
        <f>IFERROR(__xludf.DUMMYFUNCTION("REGEXMATCH(B19,""^L$"")"),FALSE)</f>
        <v>0</v>
      </c>
      <c r="E19" s="37" t="b">
        <f>IFERROR(__xludf.DUMMYFUNCTION("REGEXMATCH(B19,""^R$"")"),TRUE)</f>
        <v>1</v>
      </c>
      <c r="F19" s="37" t="b">
        <f>IFERROR(__xludf.DUMMYFUNCTION("REGEXMATCH(B19,""^M$"")"),FALSE)</f>
        <v>0</v>
      </c>
      <c r="G19" s="37" t="b">
        <f>IFERROR(__xludf.DUMMYFUNCTION("REGEXMATCH(B19,""^((L\+R)|(R\+L))$"")"),FALSE)</f>
        <v>0</v>
      </c>
      <c r="H19" s="37" t="b">
        <f>IFERROR(__xludf.DUMMYFUNCTION("REGEXMATCH(B19,""^((L\+M)|(M\+L))$"")"),FALSE)</f>
        <v>0</v>
      </c>
      <c r="I19" s="37" t="b">
        <f>IFERROR(__xludf.DUMMYFUNCTION("REGEXMATCH(B19,""^((R\+M)|(M\+R))$"")"),FALSE)</f>
        <v>0</v>
      </c>
      <c r="J19" s="37" t="b">
        <f>IFERROR(__xludf.DUMMYFUNCTION("REGEXMATCH(B19,""^L\+R\+M$"")"),FALSE)</f>
        <v>0</v>
      </c>
    </row>
    <row r="20" ht="18.75" customHeight="1">
      <c r="A20" s="8" t="str">
        <f>Paper_Textual_Conflict!O20</f>
        <v>R</v>
      </c>
      <c r="B20" s="8" t="str">
        <f>IFERROR(__xludf.DUMMYFUNCTION("SUBSTITUTE(REGEXEXTRACT(A20,""^[^(]*""),"" "","""")"),"R")</f>
        <v>R</v>
      </c>
      <c r="C20" s="8"/>
      <c r="D20" s="37" t="b">
        <f>IFERROR(__xludf.DUMMYFUNCTION("REGEXMATCH(B20,""^L$"")"),FALSE)</f>
        <v>0</v>
      </c>
      <c r="E20" s="37" t="b">
        <f>IFERROR(__xludf.DUMMYFUNCTION("REGEXMATCH(B20,""^R$"")"),TRUE)</f>
        <v>1</v>
      </c>
      <c r="F20" s="37" t="b">
        <f>IFERROR(__xludf.DUMMYFUNCTION("REGEXMATCH(B20,""^M$"")"),FALSE)</f>
        <v>0</v>
      </c>
      <c r="G20" s="37" t="b">
        <f>IFERROR(__xludf.DUMMYFUNCTION("REGEXMATCH(B20,""^((L\+R)|(R\+L))$"")"),FALSE)</f>
        <v>0</v>
      </c>
      <c r="H20" s="37" t="b">
        <f>IFERROR(__xludf.DUMMYFUNCTION("REGEXMATCH(B20,""^((L\+M)|(M\+L))$"")"),FALSE)</f>
        <v>0</v>
      </c>
      <c r="I20" s="37" t="b">
        <f>IFERROR(__xludf.DUMMYFUNCTION("REGEXMATCH(B20,""^((R\+M)|(M\+R))$"")"),FALSE)</f>
        <v>0</v>
      </c>
      <c r="J20" s="37" t="b">
        <f>IFERROR(__xludf.DUMMYFUNCTION("REGEXMATCH(B20,""^L\+R\+M$"")"),FALSE)</f>
        <v>0</v>
      </c>
    </row>
    <row r="21" ht="18.75" customHeight="1">
      <c r="A21" s="8" t="str">
        <f>Paper_Textual_Conflict!O21</f>
        <v>L</v>
      </c>
      <c r="B21" s="8" t="str">
        <f>IFERROR(__xludf.DUMMYFUNCTION("SUBSTITUTE(REGEXEXTRACT(A21,""^[^(]*""),"" "","""")"),"L")</f>
        <v>L</v>
      </c>
      <c r="C21" s="8"/>
      <c r="D21" s="37" t="b">
        <f>IFERROR(__xludf.DUMMYFUNCTION("REGEXMATCH(B21,""^L$"")"),TRUE)</f>
        <v>1</v>
      </c>
      <c r="E21" s="37" t="b">
        <f>IFERROR(__xludf.DUMMYFUNCTION("REGEXMATCH(B21,""^R$"")"),FALSE)</f>
        <v>0</v>
      </c>
      <c r="F21" s="37" t="b">
        <f>IFERROR(__xludf.DUMMYFUNCTION("REGEXMATCH(B21,""^M$"")"),FALSE)</f>
        <v>0</v>
      </c>
      <c r="G21" s="37" t="b">
        <f>IFERROR(__xludf.DUMMYFUNCTION("REGEXMATCH(B21,""^((L\+R)|(R\+L))$"")"),FALSE)</f>
        <v>0</v>
      </c>
      <c r="H21" s="37" t="b">
        <f>IFERROR(__xludf.DUMMYFUNCTION("REGEXMATCH(B21,""^((L\+M)|(M\+L))$"")"),FALSE)</f>
        <v>0</v>
      </c>
      <c r="I21" s="37" t="b">
        <f>IFERROR(__xludf.DUMMYFUNCTION("REGEXMATCH(B21,""^((R\+M)|(M\+R))$"")"),FALSE)</f>
        <v>0</v>
      </c>
      <c r="J21" s="37" t="b">
        <f>IFERROR(__xludf.DUMMYFUNCTION("REGEXMATCH(B21,""^L\+R\+M$"")"),FALSE)</f>
        <v>0</v>
      </c>
    </row>
    <row r="22" ht="18.75" customHeight="1">
      <c r="A22" s="8" t="str">
        <f>Paper_Textual_Conflict!O22</f>
        <v>R</v>
      </c>
      <c r="B22" s="8" t="str">
        <f>IFERROR(__xludf.DUMMYFUNCTION("SUBSTITUTE(REGEXEXTRACT(A22,""^[^(]*""),"" "","""")"),"R")</f>
        <v>R</v>
      </c>
      <c r="C22" s="8"/>
      <c r="D22" s="37" t="b">
        <f>IFERROR(__xludf.DUMMYFUNCTION("REGEXMATCH(B22,""^L$"")"),FALSE)</f>
        <v>0</v>
      </c>
      <c r="E22" s="37" t="b">
        <f>IFERROR(__xludf.DUMMYFUNCTION("REGEXMATCH(B22,""^R$"")"),TRUE)</f>
        <v>1</v>
      </c>
      <c r="F22" s="37" t="b">
        <f>IFERROR(__xludf.DUMMYFUNCTION("REGEXMATCH(B22,""^M$"")"),FALSE)</f>
        <v>0</v>
      </c>
      <c r="G22" s="37" t="b">
        <f>IFERROR(__xludf.DUMMYFUNCTION("REGEXMATCH(B22,""^((L\+R)|(R\+L))$"")"),FALSE)</f>
        <v>0</v>
      </c>
      <c r="H22" s="37" t="b">
        <f>IFERROR(__xludf.DUMMYFUNCTION("REGEXMATCH(B22,""^((L\+M)|(M\+L))$"")"),FALSE)</f>
        <v>0</v>
      </c>
      <c r="I22" s="37" t="b">
        <f>IFERROR(__xludf.DUMMYFUNCTION("REGEXMATCH(B22,""^((R\+M)|(M\+R))$"")"),FALSE)</f>
        <v>0</v>
      </c>
      <c r="J22" s="37" t="b">
        <f>IFERROR(__xludf.DUMMYFUNCTION("REGEXMATCH(B22,""^L\+R\+M$"")"),FALSE)</f>
        <v>0</v>
      </c>
    </row>
    <row r="23" ht="18.75" customHeight="1">
      <c r="A23" s="8" t="str">
        <f>Paper_Textual_Conflict!O23</f>
        <v>L</v>
      </c>
      <c r="B23" s="8" t="str">
        <f>IFERROR(__xludf.DUMMYFUNCTION("SUBSTITUTE(REGEXEXTRACT(A23,""^[^(]*""),"" "","""")"),"L")</f>
        <v>L</v>
      </c>
      <c r="C23" s="8"/>
      <c r="D23" s="37" t="b">
        <f>IFERROR(__xludf.DUMMYFUNCTION("REGEXMATCH(B23,""^L$"")"),TRUE)</f>
        <v>1</v>
      </c>
      <c r="E23" s="37" t="b">
        <f>IFERROR(__xludf.DUMMYFUNCTION("REGEXMATCH(B23,""^R$"")"),FALSE)</f>
        <v>0</v>
      </c>
      <c r="F23" s="37" t="b">
        <f>IFERROR(__xludf.DUMMYFUNCTION("REGEXMATCH(B23,""^M$"")"),FALSE)</f>
        <v>0</v>
      </c>
      <c r="G23" s="37" t="b">
        <f>IFERROR(__xludf.DUMMYFUNCTION("REGEXMATCH(B23,""^((L\+R)|(R\+L))$"")"),FALSE)</f>
        <v>0</v>
      </c>
      <c r="H23" s="37" t="b">
        <f>IFERROR(__xludf.DUMMYFUNCTION("REGEXMATCH(B23,""^((L\+M)|(M\+L))$"")"),FALSE)</f>
        <v>0</v>
      </c>
      <c r="I23" s="37" t="b">
        <f>IFERROR(__xludf.DUMMYFUNCTION("REGEXMATCH(B23,""^((R\+M)|(M\+R))$"")"),FALSE)</f>
        <v>0</v>
      </c>
      <c r="J23" s="37" t="b">
        <f>IFERROR(__xludf.DUMMYFUNCTION("REGEXMATCH(B23,""^L\+R\+M$"")"),FALSE)</f>
        <v>0</v>
      </c>
    </row>
    <row r="24" ht="18.75" customHeight="1">
      <c r="A24" s="8" t="str">
        <f>Paper_Textual_Conflict!O24</f>
        <v>R (R includes L)</v>
      </c>
      <c r="B24" s="8" t="str">
        <f>IFERROR(__xludf.DUMMYFUNCTION("SUBSTITUTE(REGEXEXTRACT(A24,""^[^(]*""),"" "","""")"),"R")</f>
        <v>R</v>
      </c>
      <c r="C24" s="8"/>
      <c r="D24" s="37" t="b">
        <f>IFERROR(__xludf.DUMMYFUNCTION("REGEXMATCH(B24,""^L$"")"),FALSE)</f>
        <v>0</v>
      </c>
      <c r="E24" s="37" t="b">
        <f>IFERROR(__xludf.DUMMYFUNCTION("REGEXMATCH(B24,""^R$"")"),TRUE)</f>
        <v>1</v>
      </c>
      <c r="F24" s="37" t="b">
        <f>IFERROR(__xludf.DUMMYFUNCTION("REGEXMATCH(B24,""^M$"")"),FALSE)</f>
        <v>0</v>
      </c>
      <c r="G24" s="37" t="b">
        <f>IFERROR(__xludf.DUMMYFUNCTION("REGEXMATCH(B24,""^((L\+R)|(R\+L))$"")"),FALSE)</f>
        <v>0</v>
      </c>
      <c r="H24" s="37" t="b">
        <f>IFERROR(__xludf.DUMMYFUNCTION("REGEXMATCH(B24,""^((L\+M)|(M\+L))$"")"),FALSE)</f>
        <v>0</v>
      </c>
      <c r="I24" s="37" t="b">
        <f>IFERROR(__xludf.DUMMYFUNCTION("REGEXMATCH(B24,""^((R\+M)|(M\+R))$"")"),FALSE)</f>
        <v>0</v>
      </c>
      <c r="J24" s="37" t="b">
        <f>IFERROR(__xludf.DUMMYFUNCTION("REGEXMATCH(B24,""^L\+R\+M$"")"),FALSE)</f>
        <v>0</v>
      </c>
    </row>
    <row r="25" ht="18.75" customHeight="1">
      <c r="A25" s="8" t="str">
        <f>Paper_Textual_Conflict!O25</f>
        <v>L+R+M</v>
      </c>
      <c r="B25" s="8" t="str">
        <f>IFERROR(__xludf.DUMMYFUNCTION("SUBSTITUTE(REGEXEXTRACT(A25,""^[^(]*""),"" "","""")"),"L+R+M")</f>
        <v>L+R+M</v>
      </c>
      <c r="C25" s="8"/>
      <c r="D25" s="37" t="b">
        <f>IFERROR(__xludf.DUMMYFUNCTION("REGEXMATCH(B25,""^L$"")"),FALSE)</f>
        <v>0</v>
      </c>
      <c r="E25" s="37" t="b">
        <f>IFERROR(__xludf.DUMMYFUNCTION("REGEXMATCH(B25,""^R$"")"),FALSE)</f>
        <v>0</v>
      </c>
      <c r="F25" s="37" t="b">
        <f>IFERROR(__xludf.DUMMYFUNCTION("REGEXMATCH(B25,""^M$"")"),FALSE)</f>
        <v>0</v>
      </c>
      <c r="G25" s="37" t="b">
        <f>IFERROR(__xludf.DUMMYFUNCTION("REGEXMATCH(B25,""^((L\+R)|(R\+L))$"")"),FALSE)</f>
        <v>0</v>
      </c>
      <c r="H25" s="37" t="b">
        <f>IFERROR(__xludf.DUMMYFUNCTION("REGEXMATCH(B25,""^((L\+M)|(M\+L))$"")"),FALSE)</f>
        <v>0</v>
      </c>
      <c r="I25" s="37" t="b">
        <f>IFERROR(__xludf.DUMMYFUNCTION("REGEXMATCH(B25,""^((R\+M)|(M\+R))$"")"),FALSE)</f>
        <v>0</v>
      </c>
      <c r="J25" s="37" t="b">
        <f>IFERROR(__xludf.DUMMYFUNCTION("REGEXMATCH(B25,""^L\+R\+M$"")"),TRUE)</f>
        <v>1</v>
      </c>
    </row>
    <row r="26" ht="18.75" customHeight="1">
      <c r="A26" s="8" t="str">
        <f>Paper_Textual_Conflict!O26</f>
        <v>L</v>
      </c>
      <c r="B26" s="8" t="str">
        <f>IFERROR(__xludf.DUMMYFUNCTION("SUBSTITUTE(REGEXEXTRACT(A26,""^[^(]*""),"" "","""")"),"L")</f>
        <v>L</v>
      </c>
      <c r="C26" s="8"/>
      <c r="D26" s="37" t="b">
        <f>IFERROR(__xludf.DUMMYFUNCTION("REGEXMATCH(B26,""^L$"")"),TRUE)</f>
        <v>1</v>
      </c>
      <c r="E26" s="37" t="b">
        <f>IFERROR(__xludf.DUMMYFUNCTION("REGEXMATCH(B26,""^R$"")"),FALSE)</f>
        <v>0</v>
      </c>
      <c r="F26" s="37" t="b">
        <f>IFERROR(__xludf.DUMMYFUNCTION("REGEXMATCH(B26,""^M$"")"),FALSE)</f>
        <v>0</v>
      </c>
      <c r="G26" s="37" t="b">
        <f>IFERROR(__xludf.DUMMYFUNCTION("REGEXMATCH(B26,""^((L\+R)|(R\+L))$"")"),FALSE)</f>
        <v>0</v>
      </c>
      <c r="H26" s="37" t="b">
        <f>IFERROR(__xludf.DUMMYFUNCTION("REGEXMATCH(B26,""^((L\+M)|(M\+L))$"")"),FALSE)</f>
        <v>0</v>
      </c>
      <c r="I26" s="37" t="b">
        <f>IFERROR(__xludf.DUMMYFUNCTION("REGEXMATCH(B26,""^((R\+M)|(M\+R))$"")"),FALSE)</f>
        <v>0</v>
      </c>
      <c r="J26" s="37" t="b">
        <f>IFERROR(__xludf.DUMMYFUNCTION("REGEXMATCH(B26,""^L\+R\+M$"")"),FALSE)</f>
        <v>0</v>
      </c>
    </row>
    <row r="27" ht="18.75" customHeight="1">
      <c r="A27" s="8" t="str">
        <f>Paper_Textual_Conflict!O27</f>
        <v>L</v>
      </c>
      <c r="B27" s="8" t="str">
        <f>IFERROR(__xludf.DUMMYFUNCTION("SUBSTITUTE(REGEXEXTRACT(A27,""^[^(]*""),"" "","""")"),"L")</f>
        <v>L</v>
      </c>
      <c r="C27" s="8"/>
      <c r="D27" s="37" t="b">
        <f>IFERROR(__xludf.DUMMYFUNCTION("REGEXMATCH(B27,""^L$"")"),TRUE)</f>
        <v>1</v>
      </c>
      <c r="E27" s="37" t="b">
        <f>IFERROR(__xludf.DUMMYFUNCTION("REGEXMATCH(B27,""^R$"")"),FALSE)</f>
        <v>0</v>
      </c>
      <c r="F27" s="37" t="b">
        <f>IFERROR(__xludf.DUMMYFUNCTION("REGEXMATCH(B27,""^M$"")"),FALSE)</f>
        <v>0</v>
      </c>
      <c r="G27" s="37" t="b">
        <f>IFERROR(__xludf.DUMMYFUNCTION("REGEXMATCH(B27,""^((L\+R)|(R\+L))$"")"),FALSE)</f>
        <v>0</v>
      </c>
      <c r="H27" s="37" t="b">
        <f>IFERROR(__xludf.DUMMYFUNCTION("REGEXMATCH(B27,""^((L\+M)|(M\+L))$"")"),FALSE)</f>
        <v>0</v>
      </c>
      <c r="I27" s="37" t="b">
        <f>IFERROR(__xludf.DUMMYFUNCTION("REGEXMATCH(B27,""^((R\+M)|(M\+R))$"")"),FALSE)</f>
        <v>0</v>
      </c>
      <c r="J27" s="37" t="b">
        <f>IFERROR(__xludf.DUMMYFUNCTION("REGEXMATCH(B27,""^L\+R\+M$"")"),FALSE)</f>
        <v>0</v>
      </c>
    </row>
    <row r="28" ht="18.75" customHeight="1">
      <c r="A28" s="8" t="str">
        <f>Paper_Textual_Conflict!O28</f>
        <v>L+R</v>
      </c>
      <c r="B28" s="8" t="str">
        <f>IFERROR(__xludf.DUMMYFUNCTION("SUBSTITUTE(REGEXEXTRACT(A28,""^[^(]*""),"" "","""")"),"L+R")</f>
        <v>L+R</v>
      </c>
      <c r="C28" s="8"/>
      <c r="D28" s="37" t="b">
        <f>IFERROR(__xludf.DUMMYFUNCTION("REGEXMATCH(B28,""^L$"")"),FALSE)</f>
        <v>0</v>
      </c>
      <c r="E28" s="37" t="b">
        <f>IFERROR(__xludf.DUMMYFUNCTION("REGEXMATCH(B28,""^R$"")"),FALSE)</f>
        <v>0</v>
      </c>
      <c r="F28" s="37" t="b">
        <f>IFERROR(__xludf.DUMMYFUNCTION("REGEXMATCH(B28,""^M$"")"),FALSE)</f>
        <v>0</v>
      </c>
      <c r="G28" s="37" t="b">
        <f>IFERROR(__xludf.DUMMYFUNCTION("REGEXMATCH(B28,""^((L\+R)|(R\+L))$"")"),TRUE)</f>
        <v>1</v>
      </c>
      <c r="H28" s="37" t="b">
        <f>IFERROR(__xludf.DUMMYFUNCTION("REGEXMATCH(B28,""^((L\+M)|(M\+L))$"")"),FALSE)</f>
        <v>0</v>
      </c>
      <c r="I28" s="37" t="b">
        <f>IFERROR(__xludf.DUMMYFUNCTION("REGEXMATCH(B28,""^((R\+M)|(M\+R))$"")"),FALSE)</f>
        <v>0</v>
      </c>
      <c r="J28" s="37" t="b">
        <f>IFERROR(__xludf.DUMMYFUNCTION("REGEXMATCH(B28,""^L\+R\+M$"")"),FALSE)</f>
        <v>0</v>
      </c>
    </row>
    <row r="29" ht="18.75" customHeight="1">
      <c r="A29" s="8" t="str">
        <f>Paper_Textual_Conflict!O29</f>
        <v>R</v>
      </c>
      <c r="B29" s="8" t="str">
        <f>IFERROR(__xludf.DUMMYFUNCTION("SUBSTITUTE(REGEXEXTRACT(A29,""^[^(]*""),"" "","""")"),"R")</f>
        <v>R</v>
      </c>
      <c r="C29" s="8"/>
      <c r="D29" s="37" t="b">
        <f>IFERROR(__xludf.DUMMYFUNCTION("REGEXMATCH(B29,""^L$"")"),FALSE)</f>
        <v>0</v>
      </c>
      <c r="E29" s="37" t="b">
        <f>IFERROR(__xludf.DUMMYFUNCTION("REGEXMATCH(B29,""^R$"")"),TRUE)</f>
        <v>1</v>
      </c>
      <c r="F29" s="37" t="b">
        <f>IFERROR(__xludf.DUMMYFUNCTION("REGEXMATCH(B29,""^M$"")"),FALSE)</f>
        <v>0</v>
      </c>
      <c r="G29" s="37" t="b">
        <f>IFERROR(__xludf.DUMMYFUNCTION("REGEXMATCH(B29,""^((L\+R)|(R\+L))$"")"),FALSE)</f>
        <v>0</v>
      </c>
      <c r="H29" s="37" t="b">
        <f>IFERROR(__xludf.DUMMYFUNCTION("REGEXMATCH(B29,""^((L\+M)|(M\+L))$"")"),FALSE)</f>
        <v>0</v>
      </c>
      <c r="I29" s="37" t="b">
        <f>IFERROR(__xludf.DUMMYFUNCTION("REGEXMATCH(B29,""^((R\+M)|(M\+R))$"")"),FALSE)</f>
        <v>0</v>
      </c>
      <c r="J29" s="37" t="b">
        <f>IFERROR(__xludf.DUMMYFUNCTION("REGEXMATCH(B29,""^L\+R\+M$"")"),FALSE)</f>
        <v>0</v>
      </c>
    </row>
    <row r="30" ht="18.75" customHeight="1">
      <c r="A30" s="8" t="str">
        <f>Paper_Textual_Conflict!O30</f>
        <v>L+R</v>
      </c>
      <c r="B30" s="8" t="str">
        <f>IFERROR(__xludf.DUMMYFUNCTION("SUBSTITUTE(REGEXEXTRACT(A30,""^[^(]*""),"" "","""")"),"L+R")</f>
        <v>L+R</v>
      </c>
      <c r="C30" s="8"/>
      <c r="D30" s="37" t="b">
        <f>IFERROR(__xludf.DUMMYFUNCTION("REGEXMATCH(B30,""^L$"")"),FALSE)</f>
        <v>0</v>
      </c>
      <c r="E30" s="37" t="b">
        <f>IFERROR(__xludf.DUMMYFUNCTION("REGEXMATCH(B30,""^R$"")"),FALSE)</f>
        <v>0</v>
      </c>
      <c r="F30" s="37" t="b">
        <f>IFERROR(__xludf.DUMMYFUNCTION("REGEXMATCH(B30,""^M$"")"),FALSE)</f>
        <v>0</v>
      </c>
      <c r="G30" s="37" t="b">
        <f>IFERROR(__xludf.DUMMYFUNCTION("REGEXMATCH(B30,""^((L\+R)|(R\+L))$"")"),TRUE)</f>
        <v>1</v>
      </c>
      <c r="H30" s="37" t="b">
        <f>IFERROR(__xludf.DUMMYFUNCTION("REGEXMATCH(B30,""^((L\+M)|(M\+L))$"")"),FALSE)</f>
        <v>0</v>
      </c>
      <c r="I30" s="37" t="b">
        <f>IFERROR(__xludf.DUMMYFUNCTION("REGEXMATCH(B30,""^((R\+M)|(M\+R))$"")"),FALSE)</f>
        <v>0</v>
      </c>
      <c r="J30" s="37" t="b">
        <f>IFERROR(__xludf.DUMMYFUNCTION("REGEXMATCH(B30,""^L\+R\+M$"")"),FALSE)</f>
        <v>0</v>
      </c>
    </row>
    <row r="31" ht="18.75" customHeight="1">
      <c r="A31" s="8" t="str">
        <f>Paper_Textual_Conflict!O31</f>
        <v>R</v>
      </c>
      <c r="B31" s="8" t="str">
        <f>IFERROR(__xludf.DUMMYFUNCTION("SUBSTITUTE(REGEXEXTRACT(A31,""^[^(]*""),"" "","""")"),"R")</f>
        <v>R</v>
      </c>
      <c r="C31" s="8"/>
      <c r="D31" s="37" t="b">
        <f>IFERROR(__xludf.DUMMYFUNCTION("REGEXMATCH(B31,""^L$"")"),FALSE)</f>
        <v>0</v>
      </c>
      <c r="E31" s="37" t="b">
        <f>IFERROR(__xludf.DUMMYFUNCTION("REGEXMATCH(B31,""^R$"")"),TRUE)</f>
        <v>1</v>
      </c>
      <c r="F31" s="37" t="b">
        <f>IFERROR(__xludf.DUMMYFUNCTION("REGEXMATCH(B31,""^M$"")"),FALSE)</f>
        <v>0</v>
      </c>
      <c r="G31" s="37" t="b">
        <f>IFERROR(__xludf.DUMMYFUNCTION("REGEXMATCH(B31,""^((L\+R)|(R\+L))$"")"),FALSE)</f>
        <v>0</v>
      </c>
      <c r="H31" s="37" t="b">
        <f>IFERROR(__xludf.DUMMYFUNCTION("REGEXMATCH(B31,""^((L\+M)|(M\+L))$"")"),FALSE)</f>
        <v>0</v>
      </c>
      <c r="I31" s="37" t="b">
        <f>IFERROR(__xludf.DUMMYFUNCTION("REGEXMATCH(B31,""^((R\+M)|(M\+R))$"")"),FALSE)</f>
        <v>0</v>
      </c>
      <c r="J31" s="37" t="b">
        <f>IFERROR(__xludf.DUMMYFUNCTION("REGEXMATCH(B31,""^L\+R\+M$"")"),FALSE)</f>
        <v>0</v>
      </c>
    </row>
    <row r="32" ht="18.75" customHeight="1">
      <c r="A32" s="8" t="str">
        <f>Paper_Textual_Conflict!O32</f>
        <v>L</v>
      </c>
      <c r="B32" s="8" t="str">
        <f>IFERROR(__xludf.DUMMYFUNCTION("SUBSTITUTE(REGEXEXTRACT(A32,""^[^(]*""),"" "","""")"),"L")</f>
        <v>L</v>
      </c>
      <c r="C32" s="8"/>
      <c r="D32" s="37" t="b">
        <f>IFERROR(__xludf.DUMMYFUNCTION("REGEXMATCH(B32,""^L$"")"),TRUE)</f>
        <v>1</v>
      </c>
      <c r="E32" s="37" t="b">
        <f>IFERROR(__xludf.DUMMYFUNCTION("REGEXMATCH(B32,""^R$"")"),FALSE)</f>
        <v>0</v>
      </c>
      <c r="F32" s="37" t="b">
        <f>IFERROR(__xludf.DUMMYFUNCTION("REGEXMATCH(B32,""^M$"")"),FALSE)</f>
        <v>0</v>
      </c>
      <c r="G32" s="37" t="b">
        <f>IFERROR(__xludf.DUMMYFUNCTION("REGEXMATCH(B32,""^((L\+R)|(R\+L))$"")"),FALSE)</f>
        <v>0</v>
      </c>
      <c r="H32" s="37" t="b">
        <f>IFERROR(__xludf.DUMMYFUNCTION("REGEXMATCH(B32,""^((L\+M)|(M\+L))$"")"),FALSE)</f>
        <v>0</v>
      </c>
      <c r="I32" s="37" t="b">
        <f>IFERROR(__xludf.DUMMYFUNCTION("REGEXMATCH(B32,""^((R\+M)|(M\+R))$"")"),FALSE)</f>
        <v>0</v>
      </c>
      <c r="J32" s="37" t="b">
        <f>IFERROR(__xludf.DUMMYFUNCTION("REGEXMATCH(B32,""^L\+R\+M$"")"),FALSE)</f>
        <v>0</v>
      </c>
    </row>
    <row r="33" ht="18.75" customHeight="1">
      <c r="A33" s="8" t="str">
        <f>Paper_Textual_Conflict!O33</f>
        <v>L+R+M (remove part of the right edit)</v>
      </c>
      <c r="B33" s="8" t="str">
        <f>IFERROR(__xludf.DUMMYFUNCTION("SUBSTITUTE(REGEXEXTRACT(A33,""^[^(]*""),"" "","""")"),"L+R+M")</f>
        <v>L+R+M</v>
      </c>
      <c r="C33" s="8"/>
      <c r="D33" s="37" t="b">
        <f>IFERROR(__xludf.DUMMYFUNCTION("REGEXMATCH(B33,""^L$"")"),FALSE)</f>
        <v>0</v>
      </c>
      <c r="E33" s="37" t="b">
        <f>IFERROR(__xludf.DUMMYFUNCTION("REGEXMATCH(B33,""^R$"")"),FALSE)</f>
        <v>0</v>
      </c>
      <c r="F33" s="37" t="b">
        <f>IFERROR(__xludf.DUMMYFUNCTION("REGEXMATCH(B33,""^M$"")"),FALSE)</f>
        <v>0</v>
      </c>
      <c r="G33" s="37" t="b">
        <f>IFERROR(__xludf.DUMMYFUNCTION("REGEXMATCH(B33,""^((L\+R)|(R\+L))$"")"),FALSE)</f>
        <v>0</v>
      </c>
      <c r="H33" s="37" t="b">
        <f>IFERROR(__xludf.DUMMYFUNCTION("REGEXMATCH(B33,""^((L\+M)|(M\+L))$"")"),FALSE)</f>
        <v>0</v>
      </c>
      <c r="I33" s="37" t="b">
        <f>IFERROR(__xludf.DUMMYFUNCTION("REGEXMATCH(B33,""^((R\+M)|(M\+R))$"")"),FALSE)</f>
        <v>0</v>
      </c>
      <c r="J33" s="37" t="b">
        <f>IFERROR(__xludf.DUMMYFUNCTION("REGEXMATCH(B33,""^L\+R\+M$"")"),TRUE)</f>
        <v>1</v>
      </c>
    </row>
    <row r="34" ht="18.75" customHeight="1">
      <c r="A34" s="8" t="str">
        <f>Paper_Textual_Conflict!O34</f>
        <v>L+R</v>
      </c>
      <c r="B34" s="8" t="str">
        <f>IFERROR(__xludf.DUMMYFUNCTION("SUBSTITUTE(REGEXEXTRACT(A34,""^[^(]*""),"" "","""")"),"L+R")</f>
        <v>L+R</v>
      </c>
      <c r="C34" s="8"/>
      <c r="D34" s="37" t="b">
        <f>IFERROR(__xludf.DUMMYFUNCTION("REGEXMATCH(B34,""^L$"")"),FALSE)</f>
        <v>0</v>
      </c>
      <c r="E34" s="37" t="b">
        <f>IFERROR(__xludf.DUMMYFUNCTION("REGEXMATCH(B34,""^R$"")"),FALSE)</f>
        <v>0</v>
      </c>
      <c r="F34" s="37" t="b">
        <f>IFERROR(__xludf.DUMMYFUNCTION("REGEXMATCH(B34,""^M$"")"),FALSE)</f>
        <v>0</v>
      </c>
      <c r="G34" s="37" t="b">
        <f>IFERROR(__xludf.DUMMYFUNCTION("REGEXMATCH(B34,""^((L\+R)|(R\+L))$"")"),TRUE)</f>
        <v>1</v>
      </c>
      <c r="H34" s="37" t="b">
        <f>IFERROR(__xludf.DUMMYFUNCTION("REGEXMATCH(B34,""^((L\+M)|(M\+L))$"")"),FALSE)</f>
        <v>0</v>
      </c>
      <c r="I34" s="37" t="b">
        <f>IFERROR(__xludf.DUMMYFUNCTION("REGEXMATCH(B34,""^((R\+M)|(M\+R))$"")"),FALSE)</f>
        <v>0</v>
      </c>
      <c r="J34" s="37" t="b">
        <f>IFERROR(__xludf.DUMMYFUNCTION("REGEXMATCH(B34,""^L\+R\+M$"")"),FALSE)</f>
        <v>0</v>
      </c>
    </row>
    <row r="35" ht="18.75" customHeight="1">
      <c r="A35" s="8" t="str">
        <f>Paper_Textual_Conflict!O35</f>
        <v>L+R+M</v>
      </c>
      <c r="B35" s="8" t="str">
        <f>IFERROR(__xludf.DUMMYFUNCTION("SUBSTITUTE(REGEXEXTRACT(A35,""^[^(]*""),"" "","""")"),"L+R+M")</f>
        <v>L+R+M</v>
      </c>
      <c r="C35" s="8"/>
      <c r="D35" s="37" t="b">
        <f>IFERROR(__xludf.DUMMYFUNCTION("REGEXMATCH(B35,""^L$"")"),FALSE)</f>
        <v>0</v>
      </c>
      <c r="E35" s="37" t="b">
        <f>IFERROR(__xludf.DUMMYFUNCTION("REGEXMATCH(B35,""^R$"")"),FALSE)</f>
        <v>0</v>
      </c>
      <c r="F35" s="37" t="b">
        <f>IFERROR(__xludf.DUMMYFUNCTION("REGEXMATCH(B35,""^M$"")"),FALSE)</f>
        <v>0</v>
      </c>
      <c r="G35" s="37" t="b">
        <f>IFERROR(__xludf.DUMMYFUNCTION("REGEXMATCH(B35,""^((L\+R)|(R\+L))$"")"),FALSE)</f>
        <v>0</v>
      </c>
      <c r="H35" s="37" t="b">
        <f>IFERROR(__xludf.DUMMYFUNCTION("REGEXMATCH(B35,""^((L\+M)|(M\+L))$"")"),FALSE)</f>
        <v>0</v>
      </c>
      <c r="I35" s="37" t="b">
        <f>IFERROR(__xludf.DUMMYFUNCTION("REGEXMATCH(B35,""^((R\+M)|(M\+R))$"")"),FALSE)</f>
        <v>0</v>
      </c>
      <c r="J35" s="37" t="b">
        <f>IFERROR(__xludf.DUMMYFUNCTION("REGEXMATCH(B35,""^L\+R\+M$"")"),TRUE)</f>
        <v>1</v>
      </c>
    </row>
    <row r="36" ht="18.75" customHeight="1">
      <c r="A36" s="8" t="str">
        <f>Paper_Textual_Conflict!O36</f>
        <v>L (actually L is equal to R syntactically)</v>
      </c>
      <c r="B36" s="8" t="str">
        <f>IFERROR(__xludf.DUMMYFUNCTION("SUBSTITUTE(REGEXEXTRACT(A36,""^[^(]*""),"" "","""")"),"L")</f>
        <v>L</v>
      </c>
      <c r="C36" s="8"/>
      <c r="D36" s="37" t="b">
        <f>IFERROR(__xludf.DUMMYFUNCTION("REGEXMATCH(B36,""^L$"")"),TRUE)</f>
        <v>1</v>
      </c>
      <c r="E36" s="37" t="b">
        <f>IFERROR(__xludf.DUMMYFUNCTION("REGEXMATCH(B36,""^R$"")"),FALSE)</f>
        <v>0</v>
      </c>
      <c r="F36" s="37" t="b">
        <f>IFERROR(__xludf.DUMMYFUNCTION("REGEXMATCH(B36,""^M$"")"),FALSE)</f>
        <v>0</v>
      </c>
      <c r="G36" s="37" t="b">
        <f>IFERROR(__xludf.DUMMYFUNCTION("REGEXMATCH(B36,""^((L\+R)|(R\+L))$"")"),FALSE)</f>
        <v>0</v>
      </c>
      <c r="H36" s="37" t="b">
        <f>IFERROR(__xludf.DUMMYFUNCTION("REGEXMATCH(B36,""^((L\+M)|(M\+L))$"")"),FALSE)</f>
        <v>0</v>
      </c>
      <c r="I36" s="37" t="b">
        <f>IFERROR(__xludf.DUMMYFUNCTION("REGEXMATCH(B36,""^((R\+M)|(M\+R))$"")"),FALSE)</f>
        <v>0</v>
      </c>
      <c r="J36" s="37" t="b">
        <f>IFERROR(__xludf.DUMMYFUNCTION("REGEXMATCH(B36,""^L\+R\+M$"")"),FALSE)</f>
        <v>0</v>
      </c>
    </row>
    <row r="37" ht="18.75" customHeight="1">
      <c r="A37" s="8" t="str">
        <f>Paper_Textual_Conflict!O37</f>
        <v>L</v>
      </c>
      <c r="B37" s="8" t="str">
        <f>IFERROR(__xludf.DUMMYFUNCTION("SUBSTITUTE(REGEXEXTRACT(A37,""^[^(]*""),"" "","""")"),"L")</f>
        <v>L</v>
      </c>
      <c r="C37" s="8"/>
      <c r="D37" s="37" t="b">
        <f>IFERROR(__xludf.DUMMYFUNCTION("REGEXMATCH(B37,""^L$"")"),TRUE)</f>
        <v>1</v>
      </c>
      <c r="E37" s="37" t="b">
        <f>IFERROR(__xludf.DUMMYFUNCTION("REGEXMATCH(B37,""^R$"")"),FALSE)</f>
        <v>0</v>
      </c>
      <c r="F37" s="37" t="b">
        <f>IFERROR(__xludf.DUMMYFUNCTION("REGEXMATCH(B37,""^M$"")"),FALSE)</f>
        <v>0</v>
      </c>
      <c r="G37" s="37" t="b">
        <f>IFERROR(__xludf.DUMMYFUNCTION("REGEXMATCH(B37,""^((L\+R)|(R\+L))$"")"),FALSE)</f>
        <v>0</v>
      </c>
      <c r="H37" s="37" t="b">
        <f>IFERROR(__xludf.DUMMYFUNCTION("REGEXMATCH(B37,""^((L\+M)|(M\+L))$"")"),FALSE)</f>
        <v>0</v>
      </c>
      <c r="I37" s="37" t="b">
        <f>IFERROR(__xludf.DUMMYFUNCTION("REGEXMATCH(B37,""^((R\+M)|(M\+R))$"")"),FALSE)</f>
        <v>0</v>
      </c>
      <c r="J37" s="37" t="b">
        <f>IFERROR(__xludf.DUMMYFUNCTION("REGEXMATCH(B37,""^L\+R\+M$"")"),FALSE)</f>
        <v>0</v>
      </c>
    </row>
    <row r="38" ht="18.75" customHeight="1">
      <c r="A38" s="8" t="str">
        <f>Paper_Textual_Conflict!O38</f>
        <v>L</v>
      </c>
      <c r="B38" s="8" t="str">
        <f>IFERROR(__xludf.DUMMYFUNCTION("SUBSTITUTE(REGEXEXTRACT(A38,""^[^(]*""),"" "","""")"),"L")</f>
        <v>L</v>
      </c>
      <c r="C38" s="8"/>
      <c r="D38" s="37" t="b">
        <f>IFERROR(__xludf.DUMMYFUNCTION("REGEXMATCH(B38,""^L$"")"),TRUE)</f>
        <v>1</v>
      </c>
      <c r="E38" s="37" t="b">
        <f>IFERROR(__xludf.DUMMYFUNCTION("REGEXMATCH(B38,""^R$"")"),FALSE)</f>
        <v>0</v>
      </c>
      <c r="F38" s="37" t="b">
        <f>IFERROR(__xludf.DUMMYFUNCTION("REGEXMATCH(B38,""^M$"")"),FALSE)</f>
        <v>0</v>
      </c>
      <c r="G38" s="37" t="b">
        <f>IFERROR(__xludf.DUMMYFUNCTION("REGEXMATCH(B38,""^((L\+R)|(R\+L))$"")"),FALSE)</f>
        <v>0</v>
      </c>
      <c r="H38" s="37" t="b">
        <f>IFERROR(__xludf.DUMMYFUNCTION("REGEXMATCH(B38,""^((L\+M)|(M\+L))$"")"),FALSE)</f>
        <v>0</v>
      </c>
      <c r="I38" s="37" t="b">
        <f>IFERROR(__xludf.DUMMYFUNCTION("REGEXMATCH(B38,""^((R\+M)|(M\+R))$"")"),FALSE)</f>
        <v>0</v>
      </c>
      <c r="J38" s="37" t="b">
        <f>IFERROR(__xludf.DUMMYFUNCTION("REGEXMATCH(B38,""^L\+R\+M$"")"),FALSE)</f>
        <v>0</v>
      </c>
    </row>
    <row r="39" ht="18.75" customHeight="1">
      <c r="A39" s="8" t="str">
        <f>Paper_Textual_Conflict!O39</f>
        <v>L+R</v>
      </c>
      <c r="B39" s="8" t="str">
        <f>IFERROR(__xludf.DUMMYFUNCTION("SUBSTITUTE(REGEXEXTRACT(A39,""^[^(]*""),"" "","""")"),"L+R")</f>
        <v>L+R</v>
      </c>
      <c r="C39" s="8"/>
      <c r="D39" s="37" t="b">
        <f>IFERROR(__xludf.DUMMYFUNCTION("REGEXMATCH(B39,""^L$"")"),FALSE)</f>
        <v>0</v>
      </c>
      <c r="E39" s="37" t="b">
        <f>IFERROR(__xludf.DUMMYFUNCTION("REGEXMATCH(B39,""^R$"")"),FALSE)</f>
        <v>0</v>
      </c>
      <c r="F39" s="37" t="b">
        <f>IFERROR(__xludf.DUMMYFUNCTION("REGEXMATCH(B39,""^M$"")"),FALSE)</f>
        <v>0</v>
      </c>
      <c r="G39" s="37" t="b">
        <f>IFERROR(__xludf.DUMMYFUNCTION("REGEXMATCH(B39,""^((L\+R)|(R\+L))$"")"),TRUE)</f>
        <v>1</v>
      </c>
      <c r="H39" s="37" t="b">
        <f>IFERROR(__xludf.DUMMYFUNCTION("REGEXMATCH(B39,""^((L\+M)|(M\+L))$"")"),FALSE)</f>
        <v>0</v>
      </c>
      <c r="I39" s="37" t="b">
        <f>IFERROR(__xludf.DUMMYFUNCTION("REGEXMATCH(B39,""^((R\+M)|(M\+R))$"")"),FALSE)</f>
        <v>0</v>
      </c>
      <c r="J39" s="37" t="b">
        <f>IFERROR(__xludf.DUMMYFUNCTION("REGEXMATCH(B39,""^L\+R\+M$"")"),FALSE)</f>
        <v>0</v>
      </c>
    </row>
    <row r="40" ht="18.75" customHeight="1">
      <c r="A40" s="8" t="str">
        <f>Paper_Textual_Conflict!O40</f>
        <v>R</v>
      </c>
      <c r="B40" s="8" t="str">
        <f>IFERROR(__xludf.DUMMYFUNCTION("SUBSTITUTE(REGEXEXTRACT(A40,""^[^(]*""),"" "","""")"),"R")</f>
        <v>R</v>
      </c>
      <c r="C40" s="8"/>
      <c r="D40" s="37" t="b">
        <f>IFERROR(__xludf.DUMMYFUNCTION("REGEXMATCH(B40,""^L$"")"),FALSE)</f>
        <v>0</v>
      </c>
      <c r="E40" s="37" t="b">
        <f>IFERROR(__xludf.DUMMYFUNCTION("REGEXMATCH(B40,""^R$"")"),TRUE)</f>
        <v>1</v>
      </c>
      <c r="F40" s="37" t="b">
        <f>IFERROR(__xludf.DUMMYFUNCTION("REGEXMATCH(B40,""^M$"")"),FALSE)</f>
        <v>0</v>
      </c>
      <c r="G40" s="37" t="b">
        <f>IFERROR(__xludf.DUMMYFUNCTION("REGEXMATCH(B40,""^((L\+R)|(R\+L))$"")"),FALSE)</f>
        <v>0</v>
      </c>
      <c r="H40" s="37" t="b">
        <f>IFERROR(__xludf.DUMMYFUNCTION("REGEXMATCH(B40,""^((L\+M)|(M\+L))$"")"),FALSE)</f>
        <v>0</v>
      </c>
      <c r="I40" s="37" t="b">
        <f>IFERROR(__xludf.DUMMYFUNCTION("REGEXMATCH(B40,""^((R\+M)|(M\+R))$"")"),FALSE)</f>
        <v>0</v>
      </c>
      <c r="J40" s="37" t="b">
        <f>IFERROR(__xludf.DUMMYFUNCTION("REGEXMATCH(B40,""^L\+R\+M$"")"),FALSE)</f>
        <v>0</v>
      </c>
    </row>
    <row r="41" ht="18.75" customHeight="1">
      <c r="A41" s="8" t="str">
        <f>Paper_Textual_Conflict!O41</f>
        <v>R</v>
      </c>
      <c r="B41" s="8" t="str">
        <f>IFERROR(__xludf.DUMMYFUNCTION("SUBSTITUTE(REGEXEXTRACT(A41,""^[^(]*""),"" "","""")"),"R")</f>
        <v>R</v>
      </c>
      <c r="C41" s="8"/>
      <c r="D41" s="37" t="b">
        <f>IFERROR(__xludf.DUMMYFUNCTION("REGEXMATCH(B41,""^L$"")"),FALSE)</f>
        <v>0</v>
      </c>
      <c r="E41" s="37" t="b">
        <f>IFERROR(__xludf.DUMMYFUNCTION("REGEXMATCH(B41,""^R$"")"),TRUE)</f>
        <v>1</v>
      </c>
      <c r="F41" s="37" t="b">
        <f>IFERROR(__xludf.DUMMYFUNCTION("REGEXMATCH(B41,""^M$"")"),FALSE)</f>
        <v>0</v>
      </c>
      <c r="G41" s="37" t="b">
        <f>IFERROR(__xludf.DUMMYFUNCTION("REGEXMATCH(B41,""^((L\+R)|(R\+L))$"")"),FALSE)</f>
        <v>0</v>
      </c>
      <c r="H41" s="37" t="b">
        <f>IFERROR(__xludf.DUMMYFUNCTION("REGEXMATCH(B41,""^((L\+M)|(M\+L))$"")"),FALSE)</f>
        <v>0</v>
      </c>
      <c r="I41" s="37" t="b">
        <f>IFERROR(__xludf.DUMMYFUNCTION("REGEXMATCH(B41,""^((R\+M)|(M\+R))$"")"),FALSE)</f>
        <v>0</v>
      </c>
      <c r="J41" s="37" t="b">
        <f>IFERROR(__xludf.DUMMYFUNCTION("REGEXMATCH(B41,""^L\+R\+M$"")"),FALSE)</f>
        <v>0</v>
      </c>
    </row>
    <row r="42" ht="18.75" customHeight="1">
      <c r="A42" s="8" t="str">
        <f>Paper_Textual_Conflict!O42</f>
        <v>L (L includes R)</v>
      </c>
      <c r="B42" s="8" t="str">
        <f>IFERROR(__xludf.DUMMYFUNCTION("SUBSTITUTE(REGEXEXTRACT(A42,""^[^(]*""),"" "","""")"),"L")</f>
        <v>L</v>
      </c>
      <c r="C42" s="8"/>
      <c r="D42" s="37" t="b">
        <f>IFERROR(__xludf.DUMMYFUNCTION("REGEXMATCH(B42,""^L$"")"),TRUE)</f>
        <v>1</v>
      </c>
      <c r="E42" s="37" t="b">
        <f>IFERROR(__xludf.DUMMYFUNCTION("REGEXMATCH(B42,""^R$"")"),FALSE)</f>
        <v>0</v>
      </c>
      <c r="F42" s="37" t="b">
        <f>IFERROR(__xludf.DUMMYFUNCTION("REGEXMATCH(B42,""^M$"")"),FALSE)</f>
        <v>0</v>
      </c>
      <c r="G42" s="37" t="b">
        <f>IFERROR(__xludf.DUMMYFUNCTION("REGEXMATCH(B42,""^((L\+R)|(R\+L))$"")"),FALSE)</f>
        <v>0</v>
      </c>
      <c r="H42" s="37" t="b">
        <f>IFERROR(__xludf.DUMMYFUNCTION("REGEXMATCH(B42,""^((L\+M)|(M\+L))$"")"),FALSE)</f>
        <v>0</v>
      </c>
      <c r="I42" s="37" t="b">
        <f>IFERROR(__xludf.DUMMYFUNCTION("REGEXMATCH(B42,""^((R\+M)|(M\+R))$"")"),FALSE)</f>
        <v>0</v>
      </c>
      <c r="J42" s="37" t="b">
        <f>IFERROR(__xludf.DUMMYFUNCTION("REGEXMATCH(B42,""^L\+R\+M$"")"),FALSE)</f>
        <v>0</v>
      </c>
    </row>
    <row r="43" ht="18.75" customHeight="1">
      <c r="A43" s="8" t="str">
        <f>Paper_Textual_Conflict!O43</f>
        <v>R</v>
      </c>
      <c r="B43" s="8" t="str">
        <f>IFERROR(__xludf.DUMMYFUNCTION("SUBSTITUTE(REGEXEXTRACT(A43,""^[^(]*""),"" "","""")"),"R")</f>
        <v>R</v>
      </c>
      <c r="C43" s="8"/>
      <c r="D43" s="37" t="b">
        <f>IFERROR(__xludf.DUMMYFUNCTION("REGEXMATCH(B43,""^L$"")"),FALSE)</f>
        <v>0</v>
      </c>
      <c r="E43" s="37" t="b">
        <f>IFERROR(__xludf.DUMMYFUNCTION("REGEXMATCH(B43,""^R$"")"),TRUE)</f>
        <v>1</v>
      </c>
      <c r="F43" s="37" t="b">
        <f>IFERROR(__xludf.DUMMYFUNCTION("REGEXMATCH(B43,""^M$"")"),FALSE)</f>
        <v>0</v>
      </c>
      <c r="G43" s="37" t="b">
        <f>IFERROR(__xludf.DUMMYFUNCTION("REGEXMATCH(B43,""^((L\+R)|(R\+L))$"")"),FALSE)</f>
        <v>0</v>
      </c>
      <c r="H43" s="37" t="b">
        <f>IFERROR(__xludf.DUMMYFUNCTION("REGEXMATCH(B43,""^((L\+M)|(M\+L))$"")"),FALSE)</f>
        <v>0</v>
      </c>
      <c r="I43" s="37" t="b">
        <f>IFERROR(__xludf.DUMMYFUNCTION("REGEXMATCH(B43,""^((R\+M)|(M\+R))$"")"),FALSE)</f>
        <v>0</v>
      </c>
      <c r="J43" s="37" t="b">
        <f>IFERROR(__xludf.DUMMYFUNCTION("REGEXMATCH(B43,""^L\+R\+M$"")"),FALSE)</f>
        <v>0</v>
      </c>
    </row>
    <row r="44" ht="18.75" customHeight="1">
      <c r="A44" s="8" t="str">
        <f>Paper_Textual_Conflict!O44</f>
        <v>L</v>
      </c>
      <c r="B44" s="8" t="str">
        <f>IFERROR(__xludf.DUMMYFUNCTION("SUBSTITUTE(REGEXEXTRACT(A44,""^[^(]*""),"" "","""")"),"L")</f>
        <v>L</v>
      </c>
      <c r="C44" s="8"/>
      <c r="D44" s="37" t="b">
        <f>IFERROR(__xludf.DUMMYFUNCTION("REGEXMATCH(B44,""^L$"")"),TRUE)</f>
        <v>1</v>
      </c>
      <c r="E44" s="37" t="b">
        <f>IFERROR(__xludf.DUMMYFUNCTION("REGEXMATCH(B44,""^R$"")"),FALSE)</f>
        <v>0</v>
      </c>
      <c r="F44" s="37" t="b">
        <f>IFERROR(__xludf.DUMMYFUNCTION("REGEXMATCH(B44,""^M$"")"),FALSE)</f>
        <v>0</v>
      </c>
      <c r="G44" s="37" t="b">
        <f>IFERROR(__xludf.DUMMYFUNCTION("REGEXMATCH(B44,""^((L\+R)|(R\+L))$"")"),FALSE)</f>
        <v>0</v>
      </c>
      <c r="H44" s="37" t="b">
        <f>IFERROR(__xludf.DUMMYFUNCTION("REGEXMATCH(B44,""^((L\+M)|(M\+L))$"")"),FALSE)</f>
        <v>0</v>
      </c>
      <c r="I44" s="37" t="b">
        <f>IFERROR(__xludf.DUMMYFUNCTION("REGEXMATCH(B44,""^((R\+M)|(M\+R))$"")"),FALSE)</f>
        <v>0</v>
      </c>
      <c r="J44" s="37" t="b">
        <f>IFERROR(__xludf.DUMMYFUNCTION("REGEXMATCH(B44,""^L\+R\+M$"")"),FALSE)</f>
        <v>0</v>
      </c>
    </row>
    <row r="45" ht="18.75" customHeight="1">
      <c r="A45" s="8" t="str">
        <f>Paper_Textual_Conflict!O45</f>
        <v>R</v>
      </c>
      <c r="B45" s="8" t="str">
        <f>IFERROR(__xludf.DUMMYFUNCTION("SUBSTITUTE(REGEXEXTRACT(A45,""^[^(]*""),"" "","""")"),"R")</f>
        <v>R</v>
      </c>
      <c r="C45" s="8"/>
      <c r="D45" s="37" t="b">
        <f>IFERROR(__xludf.DUMMYFUNCTION("REGEXMATCH(B45,""^L$"")"),FALSE)</f>
        <v>0</v>
      </c>
      <c r="E45" s="37" t="b">
        <f>IFERROR(__xludf.DUMMYFUNCTION("REGEXMATCH(B45,""^R$"")"),TRUE)</f>
        <v>1</v>
      </c>
      <c r="F45" s="37" t="b">
        <f>IFERROR(__xludf.DUMMYFUNCTION("REGEXMATCH(B45,""^M$"")"),FALSE)</f>
        <v>0</v>
      </c>
      <c r="G45" s="37" t="b">
        <f>IFERROR(__xludf.DUMMYFUNCTION("REGEXMATCH(B45,""^((L\+R)|(R\+L))$"")"),FALSE)</f>
        <v>0</v>
      </c>
      <c r="H45" s="37" t="b">
        <f>IFERROR(__xludf.DUMMYFUNCTION("REGEXMATCH(B45,""^((L\+M)|(M\+L))$"")"),FALSE)</f>
        <v>0</v>
      </c>
      <c r="I45" s="37" t="b">
        <f>IFERROR(__xludf.DUMMYFUNCTION("REGEXMATCH(B45,""^((R\+M)|(M\+R))$"")"),FALSE)</f>
        <v>0</v>
      </c>
      <c r="J45" s="37" t="b">
        <f>IFERROR(__xludf.DUMMYFUNCTION("REGEXMATCH(B45,""^L\+R\+M$"")"),FALSE)</f>
        <v>0</v>
      </c>
    </row>
    <row r="46" ht="18.75" customHeight="1">
      <c r="A46" s="8" t="str">
        <f>Paper_Textual_Conflict!O46</f>
        <v>L+R</v>
      </c>
      <c r="B46" s="8" t="str">
        <f>IFERROR(__xludf.DUMMYFUNCTION("SUBSTITUTE(REGEXEXTRACT(A46,""^[^(]*""),"" "","""")"),"L+R")</f>
        <v>L+R</v>
      </c>
      <c r="C46" s="8"/>
      <c r="D46" s="37" t="b">
        <f>IFERROR(__xludf.DUMMYFUNCTION("REGEXMATCH(B46,""^L$"")"),FALSE)</f>
        <v>0</v>
      </c>
      <c r="E46" s="37" t="b">
        <f>IFERROR(__xludf.DUMMYFUNCTION("REGEXMATCH(B46,""^R$"")"),FALSE)</f>
        <v>0</v>
      </c>
      <c r="F46" s="37" t="b">
        <f>IFERROR(__xludf.DUMMYFUNCTION("REGEXMATCH(B46,""^M$"")"),FALSE)</f>
        <v>0</v>
      </c>
      <c r="G46" s="37" t="b">
        <f>IFERROR(__xludf.DUMMYFUNCTION("REGEXMATCH(B46,""^((L\+R)|(R\+L))$"")"),TRUE)</f>
        <v>1</v>
      </c>
      <c r="H46" s="37" t="b">
        <f>IFERROR(__xludf.DUMMYFUNCTION("REGEXMATCH(B46,""^((L\+M)|(M\+L))$"")"),FALSE)</f>
        <v>0</v>
      </c>
      <c r="I46" s="37" t="b">
        <f>IFERROR(__xludf.DUMMYFUNCTION("REGEXMATCH(B46,""^((R\+M)|(M\+R))$"")"),FALSE)</f>
        <v>0</v>
      </c>
      <c r="J46" s="37" t="b">
        <f>IFERROR(__xludf.DUMMYFUNCTION("REGEXMATCH(B46,""^L\+R\+M$"")"),FALSE)</f>
        <v>0</v>
      </c>
    </row>
    <row r="47" ht="18.75" customHeight="1">
      <c r="A47" s="8" t="str">
        <f>Paper_Textual_Conflict!O47</f>
        <v>L</v>
      </c>
      <c r="B47" s="8" t="str">
        <f>IFERROR(__xludf.DUMMYFUNCTION("SUBSTITUTE(REGEXEXTRACT(A47,""^[^(]*""),"" "","""")"),"L")</f>
        <v>L</v>
      </c>
      <c r="C47" s="8"/>
      <c r="D47" s="37" t="b">
        <f>IFERROR(__xludf.DUMMYFUNCTION("REGEXMATCH(B47,""^L$"")"),TRUE)</f>
        <v>1</v>
      </c>
      <c r="E47" s="37" t="b">
        <f>IFERROR(__xludf.DUMMYFUNCTION("REGEXMATCH(B47,""^R$"")"),FALSE)</f>
        <v>0</v>
      </c>
      <c r="F47" s="37" t="b">
        <f>IFERROR(__xludf.DUMMYFUNCTION("REGEXMATCH(B47,""^M$"")"),FALSE)</f>
        <v>0</v>
      </c>
      <c r="G47" s="37" t="b">
        <f>IFERROR(__xludf.DUMMYFUNCTION("REGEXMATCH(B47,""^((L\+R)|(R\+L))$"")"),FALSE)</f>
        <v>0</v>
      </c>
      <c r="H47" s="37" t="b">
        <f>IFERROR(__xludf.DUMMYFUNCTION("REGEXMATCH(B47,""^((L\+M)|(M\+L))$"")"),FALSE)</f>
        <v>0</v>
      </c>
      <c r="I47" s="37" t="b">
        <f>IFERROR(__xludf.DUMMYFUNCTION("REGEXMATCH(B47,""^((R\+M)|(M\+R))$"")"),FALSE)</f>
        <v>0</v>
      </c>
      <c r="J47" s="37" t="b">
        <f>IFERROR(__xludf.DUMMYFUNCTION("REGEXMATCH(B47,""^L\+R\+M$"")"),FALSE)</f>
        <v>0</v>
      </c>
    </row>
    <row r="48" ht="18.75" customHeight="1">
      <c r="A48" s="8" t="str">
        <f>Paper_Textual_Conflict!O48</f>
        <v>L</v>
      </c>
      <c r="B48" s="8" t="str">
        <f>IFERROR(__xludf.DUMMYFUNCTION("SUBSTITUTE(REGEXEXTRACT(A48,""^[^(]*""),"" "","""")"),"L")</f>
        <v>L</v>
      </c>
      <c r="C48" s="8"/>
      <c r="D48" s="37" t="b">
        <f>IFERROR(__xludf.DUMMYFUNCTION("REGEXMATCH(B48,""^L$"")"),TRUE)</f>
        <v>1</v>
      </c>
      <c r="E48" s="37" t="b">
        <f>IFERROR(__xludf.DUMMYFUNCTION("REGEXMATCH(B48,""^R$"")"),FALSE)</f>
        <v>0</v>
      </c>
      <c r="F48" s="37" t="b">
        <f>IFERROR(__xludf.DUMMYFUNCTION("REGEXMATCH(B48,""^M$"")"),FALSE)</f>
        <v>0</v>
      </c>
      <c r="G48" s="37" t="b">
        <f>IFERROR(__xludf.DUMMYFUNCTION("REGEXMATCH(B48,""^((L\+R)|(R\+L))$"")"),FALSE)</f>
        <v>0</v>
      </c>
      <c r="H48" s="37" t="b">
        <f>IFERROR(__xludf.DUMMYFUNCTION("REGEXMATCH(B48,""^((L\+M)|(M\+L))$"")"),FALSE)</f>
        <v>0</v>
      </c>
      <c r="I48" s="37" t="b">
        <f>IFERROR(__xludf.DUMMYFUNCTION("REGEXMATCH(B48,""^((R\+M)|(M\+R))$"")"),FALSE)</f>
        <v>0</v>
      </c>
      <c r="J48" s="37" t="b">
        <f>IFERROR(__xludf.DUMMYFUNCTION("REGEXMATCH(B48,""^L\+R\+M$"")"),FALSE)</f>
        <v>0</v>
      </c>
    </row>
    <row r="49" ht="18.75" customHeight="1">
      <c r="A49" s="8" t="str">
        <f>Paper_Textual_Conflict!O49</f>
        <v>L+R+M</v>
      </c>
      <c r="B49" s="8" t="str">
        <f>IFERROR(__xludf.DUMMYFUNCTION("SUBSTITUTE(REGEXEXTRACT(A49,""^[^(]*""),"" "","""")"),"L+R+M")</f>
        <v>L+R+M</v>
      </c>
      <c r="C49" s="8"/>
      <c r="D49" s="37" t="b">
        <f>IFERROR(__xludf.DUMMYFUNCTION("REGEXMATCH(B49,""^L$"")"),FALSE)</f>
        <v>0</v>
      </c>
      <c r="E49" s="37" t="b">
        <f>IFERROR(__xludf.DUMMYFUNCTION("REGEXMATCH(B49,""^R$"")"),FALSE)</f>
        <v>0</v>
      </c>
      <c r="F49" s="37" t="b">
        <f>IFERROR(__xludf.DUMMYFUNCTION("REGEXMATCH(B49,""^M$"")"),FALSE)</f>
        <v>0</v>
      </c>
      <c r="G49" s="37" t="b">
        <f>IFERROR(__xludf.DUMMYFUNCTION("REGEXMATCH(B49,""^((L\+R)|(R\+L))$"")"),FALSE)</f>
        <v>0</v>
      </c>
      <c r="H49" s="37" t="b">
        <f>IFERROR(__xludf.DUMMYFUNCTION("REGEXMATCH(B49,""^((L\+M)|(M\+L))$"")"),FALSE)</f>
        <v>0</v>
      </c>
      <c r="I49" s="37" t="b">
        <f>IFERROR(__xludf.DUMMYFUNCTION("REGEXMATCH(B49,""^((R\+M)|(M\+R))$"")"),FALSE)</f>
        <v>0</v>
      </c>
      <c r="J49" s="37" t="b">
        <f>IFERROR(__xludf.DUMMYFUNCTION("REGEXMATCH(B49,""^L\+R\+M$"")"),TRUE)</f>
        <v>1</v>
      </c>
    </row>
    <row r="50" ht="18.75" customHeight="1">
      <c r="A50" s="8" t="str">
        <f>Paper_Textual_Conflict!O50</f>
        <v>L (actually L is equal to R syntactically)</v>
      </c>
      <c r="B50" s="8" t="str">
        <f>IFERROR(__xludf.DUMMYFUNCTION("SUBSTITUTE(REGEXEXTRACT(A50,""^[^(]*""),"" "","""")"),"L")</f>
        <v>L</v>
      </c>
      <c r="C50" s="8"/>
      <c r="D50" s="37" t="b">
        <f>IFERROR(__xludf.DUMMYFUNCTION("REGEXMATCH(B50,""^L$"")"),TRUE)</f>
        <v>1</v>
      </c>
      <c r="E50" s="37" t="b">
        <f>IFERROR(__xludf.DUMMYFUNCTION("REGEXMATCH(B50,""^R$"")"),FALSE)</f>
        <v>0</v>
      </c>
      <c r="F50" s="37" t="b">
        <f>IFERROR(__xludf.DUMMYFUNCTION("REGEXMATCH(B50,""^M$"")"),FALSE)</f>
        <v>0</v>
      </c>
      <c r="G50" s="37" t="b">
        <f>IFERROR(__xludf.DUMMYFUNCTION("REGEXMATCH(B50,""^((L\+R)|(R\+L))$"")"),FALSE)</f>
        <v>0</v>
      </c>
      <c r="H50" s="37" t="b">
        <f>IFERROR(__xludf.DUMMYFUNCTION("REGEXMATCH(B50,""^((L\+M)|(M\+L))$"")"),FALSE)</f>
        <v>0</v>
      </c>
      <c r="I50" s="37" t="b">
        <f>IFERROR(__xludf.DUMMYFUNCTION("REGEXMATCH(B50,""^((R\+M)|(M\+R))$"")"),FALSE)</f>
        <v>0</v>
      </c>
      <c r="J50" s="37" t="b">
        <f>IFERROR(__xludf.DUMMYFUNCTION("REGEXMATCH(B50,""^L\+R\+M$"")"),FALSE)</f>
        <v>0</v>
      </c>
    </row>
    <row r="51" ht="18.75" customHeight="1">
      <c r="A51" s="8" t="str">
        <f>Paper_Textual_Conflict!O51</f>
        <v>L</v>
      </c>
      <c r="B51" s="8" t="str">
        <f>IFERROR(__xludf.DUMMYFUNCTION("SUBSTITUTE(REGEXEXTRACT(A51,""^[^(]*""),"" "","""")"),"L")</f>
        <v>L</v>
      </c>
      <c r="C51" s="8"/>
      <c r="D51" s="37" t="b">
        <f>IFERROR(__xludf.DUMMYFUNCTION("REGEXMATCH(B51,""^L$"")"),TRUE)</f>
        <v>1</v>
      </c>
      <c r="E51" s="37" t="b">
        <f>IFERROR(__xludf.DUMMYFUNCTION("REGEXMATCH(B51,""^R$"")"),FALSE)</f>
        <v>0</v>
      </c>
      <c r="F51" s="37" t="b">
        <f>IFERROR(__xludf.DUMMYFUNCTION("REGEXMATCH(B51,""^M$"")"),FALSE)</f>
        <v>0</v>
      </c>
      <c r="G51" s="37" t="b">
        <f>IFERROR(__xludf.DUMMYFUNCTION("REGEXMATCH(B51,""^((L\+R)|(R\+L))$"")"),FALSE)</f>
        <v>0</v>
      </c>
      <c r="H51" s="37" t="b">
        <f>IFERROR(__xludf.DUMMYFUNCTION("REGEXMATCH(B51,""^((L\+M)|(M\+L))$"")"),FALSE)</f>
        <v>0</v>
      </c>
      <c r="I51" s="37" t="b">
        <f>IFERROR(__xludf.DUMMYFUNCTION("REGEXMATCH(B51,""^((R\+M)|(M\+R))$"")"),FALSE)</f>
        <v>0</v>
      </c>
      <c r="J51" s="37" t="b">
        <f>IFERROR(__xludf.DUMMYFUNCTION("REGEXMATCH(B51,""^L\+R\+M$"")"),FALSE)</f>
        <v>0</v>
      </c>
    </row>
    <row r="52" ht="18.75" customHeight="1">
      <c r="A52" s="8" t="str">
        <f>Paper_Textual_Conflict!O52</f>
        <v>L</v>
      </c>
      <c r="B52" s="8" t="str">
        <f>IFERROR(__xludf.DUMMYFUNCTION("SUBSTITUTE(REGEXEXTRACT(A52,""^[^(]*""),"" "","""")"),"L")</f>
        <v>L</v>
      </c>
      <c r="C52" s="8"/>
      <c r="D52" s="37" t="b">
        <f>IFERROR(__xludf.DUMMYFUNCTION("REGEXMATCH(B52,""^L$"")"),TRUE)</f>
        <v>1</v>
      </c>
      <c r="E52" s="37" t="b">
        <f>IFERROR(__xludf.DUMMYFUNCTION("REGEXMATCH(B52,""^R$"")"),FALSE)</f>
        <v>0</v>
      </c>
      <c r="F52" s="37" t="b">
        <f>IFERROR(__xludf.DUMMYFUNCTION("REGEXMATCH(B52,""^M$"")"),FALSE)</f>
        <v>0</v>
      </c>
      <c r="G52" s="37" t="b">
        <f>IFERROR(__xludf.DUMMYFUNCTION("REGEXMATCH(B52,""^((L\+R)|(R\+L))$"")"),FALSE)</f>
        <v>0</v>
      </c>
      <c r="H52" s="37" t="b">
        <f>IFERROR(__xludf.DUMMYFUNCTION("REGEXMATCH(B52,""^((L\+M)|(M\+L))$"")"),FALSE)</f>
        <v>0</v>
      </c>
      <c r="I52" s="37" t="b">
        <f>IFERROR(__xludf.DUMMYFUNCTION("REGEXMATCH(B52,""^((R\+M)|(M\+R))$"")"),FALSE)</f>
        <v>0</v>
      </c>
      <c r="J52" s="37" t="b">
        <f>IFERROR(__xludf.DUMMYFUNCTION("REGEXMATCH(B52,""^L\+R\+M$"")"),FALSE)</f>
        <v>0</v>
      </c>
    </row>
    <row r="53" ht="18.75" customHeight="1">
      <c r="A53" s="8" t="str">
        <f>Paper_Textual_Conflict!O53</f>
        <v>L</v>
      </c>
      <c r="B53" s="8" t="str">
        <f>IFERROR(__xludf.DUMMYFUNCTION("SUBSTITUTE(REGEXEXTRACT(A53,""^[^(]*""),"" "","""")"),"L")</f>
        <v>L</v>
      </c>
      <c r="C53" s="8"/>
      <c r="D53" s="37" t="b">
        <f>IFERROR(__xludf.DUMMYFUNCTION("REGEXMATCH(B53,""^L$"")"),TRUE)</f>
        <v>1</v>
      </c>
      <c r="E53" s="37" t="b">
        <f>IFERROR(__xludf.DUMMYFUNCTION("REGEXMATCH(B53,""^R$"")"),FALSE)</f>
        <v>0</v>
      </c>
      <c r="F53" s="37" t="b">
        <f>IFERROR(__xludf.DUMMYFUNCTION("REGEXMATCH(B53,""^M$"")"),FALSE)</f>
        <v>0</v>
      </c>
      <c r="G53" s="37" t="b">
        <f>IFERROR(__xludf.DUMMYFUNCTION("REGEXMATCH(B53,""^((L\+R)|(R\+L))$"")"),FALSE)</f>
        <v>0</v>
      </c>
      <c r="H53" s="37" t="b">
        <f>IFERROR(__xludf.DUMMYFUNCTION("REGEXMATCH(B53,""^((L\+M)|(M\+L))$"")"),FALSE)</f>
        <v>0</v>
      </c>
      <c r="I53" s="37" t="b">
        <f>IFERROR(__xludf.DUMMYFUNCTION("REGEXMATCH(B53,""^((R\+M)|(M\+R))$"")"),FALSE)</f>
        <v>0</v>
      </c>
      <c r="J53" s="37" t="b">
        <f>IFERROR(__xludf.DUMMYFUNCTION("REGEXMATCH(B53,""^L\+R\+M$"")"),FALSE)</f>
        <v>0</v>
      </c>
    </row>
    <row r="54" ht="18.75" customHeight="1">
      <c r="A54" s="8" t="str">
        <f>Paper_Textual_Conflict!O54</f>
        <v>R + M</v>
      </c>
      <c r="B54" s="8" t="str">
        <f>IFERROR(__xludf.DUMMYFUNCTION("SUBSTITUTE(REGEXEXTRACT(A54,""^[^(]*""),"" "","""")"),"R+M")</f>
        <v>R+M</v>
      </c>
      <c r="C54" s="8"/>
      <c r="D54" s="37" t="b">
        <f>IFERROR(__xludf.DUMMYFUNCTION("REGEXMATCH(B54,""^L$"")"),FALSE)</f>
        <v>0</v>
      </c>
      <c r="E54" s="37" t="b">
        <f>IFERROR(__xludf.DUMMYFUNCTION("REGEXMATCH(B54,""^R$"")"),FALSE)</f>
        <v>0</v>
      </c>
      <c r="F54" s="37" t="b">
        <f>IFERROR(__xludf.DUMMYFUNCTION("REGEXMATCH(B54,""^M$"")"),FALSE)</f>
        <v>0</v>
      </c>
      <c r="G54" s="37" t="b">
        <f>IFERROR(__xludf.DUMMYFUNCTION("REGEXMATCH(B54,""^((L\+R)|(R\+L))$"")"),FALSE)</f>
        <v>0</v>
      </c>
      <c r="H54" s="37" t="b">
        <f>IFERROR(__xludf.DUMMYFUNCTION("REGEXMATCH(B54,""^((L\+M)|(M\+L))$"")"),FALSE)</f>
        <v>0</v>
      </c>
      <c r="I54" s="37" t="b">
        <f>IFERROR(__xludf.DUMMYFUNCTION("REGEXMATCH(B54,""^((R\+M)|(M\+R))$"")"),TRUE)</f>
        <v>1</v>
      </c>
      <c r="J54" s="37" t="b">
        <f>IFERROR(__xludf.DUMMYFUNCTION("REGEXMATCH(B54,""^L\+R\+M$"")"),FALSE)</f>
        <v>0</v>
      </c>
    </row>
    <row r="55" ht="18.75" customHeight="1">
      <c r="A55" s="8" t="str">
        <f>Paper_Textual_Conflict!O55</f>
        <v>L+M</v>
      </c>
      <c r="B55" s="8" t="str">
        <f>IFERROR(__xludf.DUMMYFUNCTION("SUBSTITUTE(REGEXEXTRACT(A55,""^[^(]*""),"" "","""")"),"L+M")</f>
        <v>L+M</v>
      </c>
      <c r="C55" s="8"/>
      <c r="D55" s="37" t="b">
        <f>IFERROR(__xludf.DUMMYFUNCTION("REGEXMATCH(B55,""^L$"")"),FALSE)</f>
        <v>0</v>
      </c>
      <c r="E55" s="37" t="b">
        <f>IFERROR(__xludf.DUMMYFUNCTION("REGEXMATCH(B55,""^R$"")"),FALSE)</f>
        <v>0</v>
      </c>
      <c r="F55" s="37" t="b">
        <f>IFERROR(__xludf.DUMMYFUNCTION("REGEXMATCH(B55,""^M$"")"),FALSE)</f>
        <v>0</v>
      </c>
      <c r="G55" s="37" t="b">
        <f>IFERROR(__xludf.DUMMYFUNCTION("REGEXMATCH(B55,""^((L\+R)|(R\+L))$"")"),FALSE)</f>
        <v>0</v>
      </c>
      <c r="H55" s="37" t="b">
        <f>IFERROR(__xludf.DUMMYFUNCTION("REGEXMATCH(B55,""^((L\+M)|(M\+L))$"")"),TRUE)</f>
        <v>1</v>
      </c>
      <c r="I55" s="37" t="b">
        <f>IFERROR(__xludf.DUMMYFUNCTION("REGEXMATCH(B55,""^((R\+M)|(M\+R))$"")"),FALSE)</f>
        <v>0</v>
      </c>
      <c r="J55" s="37" t="b">
        <f>IFERROR(__xludf.DUMMYFUNCTION("REGEXMATCH(B55,""^L\+R\+M$"")"),FALSE)</f>
        <v>0</v>
      </c>
    </row>
    <row r="56" ht="18.75" customHeight="1">
      <c r="A56" s="8" t="str">
        <f>Paper_Textual_Conflict!O56</f>
        <v>L+R+M</v>
      </c>
      <c r="B56" s="8" t="str">
        <f>IFERROR(__xludf.DUMMYFUNCTION("SUBSTITUTE(REGEXEXTRACT(A56,""^[^(]*""),"" "","""")"),"L+R+M")</f>
        <v>L+R+M</v>
      </c>
      <c r="C56" s="8"/>
      <c r="D56" s="37" t="b">
        <f>IFERROR(__xludf.DUMMYFUNCTION("REGEXMATCH(B56,""^L$"")"),FALSE)</f>
        <v>0</v>
      </c>
      <c r="E56" s="37" t="b">
        <f>IFERROR(__xludf.DUMMYFUNCTION("REGEXMATCH(B56,""^R$"")"),FALSE)</f>
        <v>0</v>
      </c>
      <c r="F56" s="37" t="b">
        <f>IFERROR(__xludf.DUMMYFUNCTION("REGEXMATCH(B56,""^M$"")"),FALSE)</f>
        <v>0</v>
      </c>
      <c r="G56" s="37" t="b">
        <f>IFERROR(__xludf.DUMMYFUNCTION("REGEXMATCH(B56,""^((L\+R)|(R\+L))$"")"),FALSE)</f>
        <v>0</v>
      </c>
      <c r="H56" s="37" t="b">
        <f>IFERROR(__xludf.DUMMYFUNCTION("REGEXMATCH(B56,""^((L\+M)|(M\+L))$"")"),FALSE)</f>
        <v>0</v>
      </c>
      <c r="I56" s="37" t="b">
        <f>IFERROR(__xludf.DUMMYFUNCTION("REGEXMATCH(B56,""^((R\+M)|(M\+R))$"")"),FALSE)</f>
        <v>0</v>
      </c>
      <c r="J56" s="37" t="b">
        <f>IFERROR(__xludf.DUMMYFUNCTION("REGEXMATCH(B56,""^L\+R\+M$"")"),TRUE)</f>
        <v>1</v>
      </c>
    </row>
    <row r="57" ht="18.75" customHeight="1">
      <c r="A57" s="8" t="str">
        <f>Paper_Textual_Conflict!O57</f>
        <v>L</v>
      </c>
      <c r="B57" s="8" t="str">
        <f>IFERROR(__xludf.DUMMYFUNCTION("SUBSTITUTE(REGEXEXTRACT(A57,""^[^(]*""),"" "","""")"),"L")</f>
        <v>L</v>
      </c>
      <c r="C57" s="8"/>
      <c r="D57" s="37" t="b">
        <f>IFERROR(__xludf.DUMMYFUNCTION("REGEXMATCH(B57,""^L$"")"),TRUE)</f>
        <v>1</v>
      </c>
      <c r="E57" s="37" t="b">
        <f>IFERROR(__xludf.DUMMYFUNCTION("REGEXMATCH(B57,""^R$"")"),FALSE)</f>
        <v>0</v>
      </c>
      <c r="F57" s="37" t="b">
        <f>IFERROR(__xludf.DUMMYFUNCTION("REGEXMATCH(B57,""^M$"")"),FALSE)</f>
        <v>0</v>
      </c>
      <c r="G57" s="37" t="b">
        <f>IFERROR(__xludf.DUMMYFUNCTION("REGEXMATCH(B57,""^((L\+R)|(R\+L))$"")"),FALSE)</f>
        <v>0</v>
      </c>
      <c r="H57" s="37" t="b">
        <f>IFERROR(__xludf.DUMMYFUNCTION("REGEXMATCH(B57,""^((L\+M)|(M\+L))$"")"),FALSE)</f>
        <v>0</v>
      </c>
      <c r="I57" s="37" t="b">
        <f>IFERROR(__xludf.DUMMYFUNCTION("REGEXMATCH(B57,""^((R\+M)|(M\+R))$"")"),FALSE)</f>
        <v>0</v>
      </c>
      <c r="J57" s="37" t="b">
        <f>IFERROR(__xludf.DUMMYFUNCTION("REGEXMATCH(B57,""^L\+R\+M$"")"),FALSE)</f>
        <v>0</v>
      </c>
    </row>
    <row r="58" ht="18.75" customHeight="1">
      <c r="A58" s="8" t="str">
        <f>Paper_Textual_Conflict!O58</f>
        <v>L</v>
      </c>
      <c r="B58" s="8" t="str">
        <f>IFERROR(__xludf.DUMMYFUNCTION("SUBSTITUTE(REGEXEXTRACT(A58,""^[^(]*""),"" "","""")"),"L")</f>
        <v>L</v>
      </c>
      <c r="C58" s="8"/>
      <c r="D58" s="37" t="b">
        <f>IFERROR(__xludf.DUMMYFUNCTION("REGEXMATCH(B58,""^L$"")"),TRUE)</f>
        <v>1</v>
      </c>
      <c r="E58" s="37" t="b">
        <f>IFERROR(__xludf.DUMMYFUNCTION("REGEXMATCH(B58,""^R$"")"),FALSE)</f>
        <v>0</v>
      </c>
      <c r="F58" s="37" t="b">
        <f>IFERROR(__xludf.DUMMYFUNCTION("REGEXMATCH(B58,""^M$"")"),FALSE)</f>
        <v>0</v>
      </c>
      <c r="G58" s="37" t="b">
        <f>IFERROR(__xludf.DUMMYFUNCTION("REGEXMATCH(B58,""^((L\+R)|(R\+L))$"")"),FALSE)</f>
        <v>0</v>
      </c>
      <c r="H58" s="37" t="b">
        <f>IFERROR(__xludf.DUMMYFUNCTION("REGEXMATCH(B58,""^((L\+M)|(M\+L))$"")"),FALSE)</f>
        <v>0</v>
      </c>
      <c r="I58" s="37" t="b">
        <f>IFERROR(__xludf.DUMMYFUNCTION("REGEXMATCH(B58,""^((R\+M)|(M\+R))$"")"),FALSE)</f>
        <v>0</v>
      </c>
      <c r="J58" s="37" t="b">
        <f>IFERROR(__xludf.DUMMYFUNCTION("REGEXMATCH(B58,""^L\+R\+M$"")"),FALSE)</f>
        <v>0</v>
      </c>
    </row>
    <row r="59" ht="18.75" customHeight="1">
      <c r="A59" s="8" t="str">
        <f>Paper_Textual_Conflict!O59</f>
        <v>L</v>
      </c>
      <c r="B59" s="8" t="str">
        <f>IFERROR(__xludf.DUMMYFUNCTION("SUBSTITUTE(REGEXEXTRACT(A59,""^[^(]*""),"" "","""")"),"L")</f>
        <v>L</v>
      </c>
      <c r="C59" s="8"/>
      <c r="D59" s="37" t="b">
        <f>IFERROR(__xludf.DUMMYFUNCTION("REGEXMATCH(B59,""^L$"")"),TRUE)</f>
        <v>1</v>
      </c>
      <c r="E59" s="37" t="b">
        <f>IFERROR(__xludf.DUMMYFUNCTION("REGEXMATCH(B59,""^R$"")"),FALSE)</f>
        <v>0</v>
      </c>
      <c r="F59" s="37" t="b">
        <f>IFERROR(__xludf.DUMMYFUNCTION("REGEXMATCH(B59,""^M$"")"),FALSE)</f>
        <v>0</v>
      </c>
      <c r="G59" s="37" t="b">
        <f>IFERROR(__xludf.DUMMYFUNCTION("REGEXMATCH(B59,""^((L\+R)|(R\+L))$"")"),FALSE)</f>
        <v>0</v>
      </c>
      <c r="H59" s="37" t="b">
        <f>IFERROR(__xludf.DUMMYFUNCTION("REGEXMATCH(B59,""^((L\+M)|(M\+L))$"")"),FALSE)</f>
        <v>0</v>
      </c>
      <c r="I59" s="37" t="b">
        <f>IFERROR(__xludf.DUMMYFUNCTION("REGEXMATCH(B59,""^((R\+M)|(M\+R))$"")"),FALSE)</f>
        <v>0</v>
      </c>
      <c r="J59" s="37" t="b">
        <f>IFERROR(__xludf.DUMMYFUNCTION("REGEXMATCH(B59,""^L\+R\+M$"")"),FALSE)</f>
        <v>0</v>
      </c>
    </row>
    <row r="60" ht="18.75" customHeight="1">
      <c r="A60" s="8" t="str">
        <f>Paper_Textual_Conflict!O60</f>
        <v>R</v>
      </c>
      <c r="B60" s="8" t="str">
        <f>IFERROR(__xludf.DUMMYFUNCTION("SUBSTITUTE(REGEXEXTRACT(A60,""^[^(]*""),"" "","""")"),"R")</f>
        <v>R</v>
      </c>
      <c r="C60" s="8"/>
      <c r="D60" s="37" t="b">
        <f>IFERROR(__xludf.DUMMYFUNCTION("REGEXMATCH(B60,""^L$"")"),FALSE)</f>
        <v>0</v>
      </c>
      <c r="E60" s="37" t="b">
        <f>IFERROR(__xludf.DUMMYFUNCTION("REGEXMATCH(B60,""^R$"")"),TRUE)</f>
        <v>1</v>
      </c>
      <c r="F60" s="37" t="b">
        <f>IFERROR(__xludf.DUMMYFUNCTION("REGEXMATCH(B60,""^M$"")"),FALSE)</f>
        <v>0</v>
      </c>
      <c r="G60" s="37" t="b">
        <f>IFERROR(__xludf.DUMMYFUNCTION("REGEXMATCH(B60,""^((L\+R)|(R\+L))$"")"),FALSE)</f>
        <v>0</v>
      </c>
      <c r="H60" s="37" t="b">
        <f>IFERROR(__xludf.DUMMYFUNCTION("REGEXMATCH(B60,""^((L\+M)|(M\+L))$"")"),FALSE)</f>
        <v>0</v>
      </c>
      <c r="I60" s="37" t="b">
        <f>IFERROR(__xludf.DUMMYFUNCTION("REGEXMATCH(B60,""^((R\+M)|(M\+R))$"")"),FALSE)</f>
        <v>0</v>
      </c>
      <c r="J60" s="37" t="b">
        <f>IFERROR(__xludf.DUMMYFUNCTION("REGEXMATCH(B60,""^L\+R\+M$"")"),FALSE)</f>
        <v>0</v>
      </c>
    </row>
    <row r="61" ht="18.75" customHeight="1">
      <c r="A61" s="8" t="str">
        <f>Paper_Textual_Conflict!O61</f>
        <v>L+R</v>
      </c>
      <c r="B61" s="8" t="str">
        <f>IFERROR(__xludf.DUMMYFUNCTION("SUBSTITUTE(REGEXEXTRACT(A61,""^[^(]*""),"" "","""")"),"L+R")</f>
        <v>L+R</v>
      </c>
      <c r="C61" s="8"/>
      <c r="D61" s="37" t="b">
        <f>IFERROR(__xludf.DUMMYFUNCTION("REGEXMATCH(B61,""^L$"")"),FALSE)</f>
        <v>0</v>
      </c>
      <c r="E61" s="37" t="b">
        <f>IFERROR(__xludf.DUMMYFUNCTION("REGEXMATCH(B61,""^R$"")"),FALSE)</f>
        <v>0</v>
      </c>
      <c r="F61" s="37" t="b">
        <f>IFERROR(__xludf.DUMMYFUNCTION("REGEXMATCH(B61,""^M$"")"),FALSE)</f>
        <v>0</v>
      </c>
      <c r="G61" s="37" t="b">
        <f>IFERROR(__xludf.DUMMYFUNCTION("REGEXMATCH(B61,""^((L\+R)|(R\+L))$"")"),TRUE)</f>
        <v>1</v>
      </c>
      <c r="H61" s="37" t="b">
        <f>IFERROR(__xludf.DUMMYFUNCTION("REGEXMATCH(B61,""^((L\+M)|(M\+L))$"")"),FALSE)</f>
        <v>0</v>
      </c>
      <c r="I61" s="37" t="b">
        <f>IFERROR(__xludf.DUMMYFUNCTION("REGEXMATCH(B61,""^((R\+M)|(M\+R))$"")"),FALSE)</f>
        <v>0</v>
      </c>
      <c r="J61" s="37" t="b">
        <f>IFERROR(__xludf.DUMMYFUNCTION("REGEXMATCH(B61,""^L\+R\+M$"")"),FALSE)</f>
        <v>0</v>
      </c>
    </row>
    <row r="62" ht="18.75" customHeight="1">
      <c r="A62" s="8" t="str">
        <f>Paper_Textual_Conflict!O62</f>
        <v>L</v>
      </c>
      <c r="B62" s="8" t="str">
        <f>IFERROR(__xludf.DUMMYFUNCTION("SUBSTITUTE(REGEXEXTRACT(A62,""^[^(]*""),"" "","""")"),"L")</f>
        <v>L</v>
      </c>
      <c r="C62" s="8"/>
      <c r="D62" s="37" t="b">
        <f>IFERROR(__xludf.DUMMYFUNCTION("REGEXMATCH(B62,""^L$"")"),TRUE)</f>
        <v>1</v>
      </c>
      <c r="E62" s="37" t="b">
        <f>IFERROR(__xludf.DUMMYFUNCTION("REGEXMATCH(B62,""^R$"")"),FALSE)</f>
        <v>0</v>
      </c>
      <c r="F62" s="37" t="b">
        <f>IFERROR(__xludf.DUMMYFUNCTION("REGEXMATCH(B62,""^M$"")"),FALSE)</f>
        <v>0</v>
      </c>
      <c r="G62" s="37" t="b">
        <f>IFERROR(__xludf.DUMMYFUNCTION("REGEXMATCH(B62,""^((L\+R)|(R\+L))$"")"),FALSE)</f>
        <v>0</v>
      </c>
      <c r="H62" s="37" t="b">
        <f>IFERROR(__xludf.DUMMYFUNCTION("REGEXMATCH(B62,""^((L\+M)|(M\+L))$"")"),FALSE)</f>
        <v>0</v>
      </c>
      <c r="I62" s="37" t="b">
        <f>IFERROR(__xludf.DUMMYFUNCTION("REGEXMATCH(B62,""^((R\+M)|(M\+R))$"")"),FALSE)</f>
        <v>0</v>
      </c>
      <c r="J62" s="37" t="b">
        <f>IFERROR(__xludf.DUMMYFUNCTION("REGEXMATCH(B62,""^L\+R\+M$"")"),FALSE)</f>
        <v>0</v>
      </c>
    </row>
    <row r="63" ht="18.75" customHeight="1">
      <c r="A63" s="8" t="str">
        <f>Paper_Textual_Conflict!O63</f>
        <v>L (actually R describes the same parameter @param with different content)</v>
      </c>
      <c r="B63" s="8" t="str">
        <f>IFERROR(__xludf.DUMMYFUNCTION("SUBSTITUTE(REGEXEXTRACT(A63,""^[^(]*""),"" "","""")"),"L")</f>
        <v>L</v>
      </c>
      <c r="C63" s="8"/>
      <c r="D63" s="37" t="b">
        <f>IFERROR(__xludf.DUMMYFUNCTION("REGEXMATCH(B63,""^L$"")"),TRUE)</f>
        <v>1</v>
      </c>
      <c r="E63" s="37" t="b">
        <f>IFERROR(__xludf.DUMMYFUNCTION("REGEXMATCH(B63,""^R$"")"),FALSE)</f>
        <v>0</v>
      </c>
      <c r="F63" s="37" t="b">
        <f>IFERROR(__xludf.DUMMYFUNCTION("REGEXMATCH(B63,""^M$"")"),FALSE)</f>
        <v>0</v>
      </c>
      <c r="G63" s="37" t="b">
        <f>IFERROR(__xludf.DUMMYFUNCTION("REGEXMATCH(B63,""^((L\+R)|(R\+L))$"")"),FALSE)</f>
        <v>0</v>
      </c>
      <c r="H63" s="37" t="b">
        <f>IFERROR(__xludf.DUMMYFUNCTION("REGEXMATCH(B63,""^((L\+M)|(M\+L))$"")"),FALSE)</f>
        <v>0</v>
      </c>
      <c r="I63" s="37" t="b">
        <f>IFERROR(__xludf.DUMMYFUNCTION("REGEXMATCH(B63,""^((R\+M)|(M\+R))$"")"),FALSE)</f>
        <v>0</v>
      </c>
      <c r="J63" s="37" t="b">
        <f>IFERROR(__xludf.DUMMYFUNCTION("REGEXMATCH(B63,""^L\+R\+M$"")"),FALSE)</f>
        <v>0</v>
      </c>
    </row>
    <row r="64" ht="18.75" customHeight="1">
      <c r="A64" s="8" t="str">
        <f>Paper_Textual_Conflict!O64</f>
        <v>R</v>
      </c>
      <c r="B64" s="8" t="str">
        <f>IFERROR(__xludf.DUMMYFUNCTION("SUBSTITUTE(REGEXEXTRACT(A64,""^[^(]*""),"" "","""")"),"R")</f>
        <v>R</v>
      </c>
      <c r="C64" s="8"/>
      <c r="D64" s="37" t="b">
        <f>IFERROR(__xludf.DUMMYFUNCTION("REGEXMATCH(B64,""^L$"")"),FALSE)</f>
        <v>0</v>
      </c>
      <c r="E64" s="37" t="b">
        <f>IFERROR(__xludf.DUMMYFUNCTION("REGEXMATCH(B64,""^R$"")"),TRUE)</f>
        <v>1</v>
      </c>
      <c r="F64" s="37" t="b">
        <f>IFERROR(__xludf.DUMMYFUNCTION("REGEXMATCH(B64,""^M$"")"),FALSE)</f>
        <v>0</v>
      </c>
      <c r="G64" s="37" t="b">
        <f>IFERROR(__xludf.DUMMYFUNCTION("REGEXMATCH(B64,""^((L\+R)|(R\+L))$"")"),FALSE)</f>
        <v>0</v>
      </c>
      <c r="H64" s="37" t="b">
        <f>IFERROR(__xludf.DUMMYFUNCTION("REGEXMATCH(B64,""^((L\+M)|(M\+L))$"")"),FALSE)</f>
        <v>0</v>
      </c>
      <c r="I64" s="37" t="b">
        <f>IFERROR(__xludf.DUMMYFUNCTION("REGEXMATCH(B64,""^((R\+M)|(M\+R))$"")"),FALSE)</f>
        <v>0</v>
      </c>
      <c r="J64" s="37" t="b">
        <f>IFERROR(__xludf.DUMMYFUNCTION("REGEXMATCH(B64,""^L\+R\+M$"")"),FALSE)</f>
        <v>0</v>
      </c>
    </row>
    <row r="65" ht="18.75" customHeight="1">
      <c r="A65" s="8" t="str">
        <f>Paper_Textual_Conflict!O65</f>
        <v>L</v>
      </c>
      <c r="B65" s="8" t="str">
        <f>IFERROR(__xludf.DUMMYFUNCTION("SUBSTITUTE(REGEXEXTRACT(A65,""^[^(]*""),"" "","""")"),"L")</f>
        <v>L</v>
      </c>
      <c r="C65" s="8"/>
      <c r="D65" s="37" t="b">
        <f>IFERROR(__xludf.DUMMYFUNCTION("REGEXMATCH(B65,""^L$"")"),TRUE)</f>
        <v>1</v>
      </c>
      <c r="E65" s="37" t="b">
        <f>IFERROR(__xludf.DUMMYFUNCTION("REGEXMATCH(B65,""^R$"")"),FALSE)</f>
        <v>0</v>
      </c>
      <c r="F65" s="37" t="b">
        <f>IFERROR(__xludf.DUMMYFUNCTION("REGEXMATCH(B65,""^M$"")"),FALSE)</f>
        <v>0</v>
      </c>
      <c r="G65" s="37" t="b">
        <f>IFERROR(__xludf.DUMMYFUNCTION("REGEXMATCH(B65,""^((L\+R)|(R\+L))$"")"),FALSE)</f>
        <v>0</v>
      </c>
      <c r="H65" s="37" t="b">
        <f>IFERROR(__xludf.DUMMYFUNCTION("REGEXMATCH(B65,""^((L\+M)|(M\+L))$"")"),FALSE)</f>
        <v>0</v>
      </c>
      <c r="I65" s="37" t="b">
        <f>IFERROR(__xludf.DUMMYFUNCTION("REGEXMATCH(B65,""^((R\+M)|(M\+R))$"")"),FALSE)</f>
        <v>0</v>
      </c>
      <c r="J65" s="37" t="b">
        <f>IFERROR(__xludf.DUMMYFUNCTION("REGEXMATCH(B65,""^L\+R\+M$"")"),FALSE)</f>
        <v>0</v>
      </c>
    </row>
    <row r="66" ht="18.75" customHeight="1">
      <c r="A66" s="8" t="str">
        <f>Paper_Textual_Conflict!O66</f>
        <v>R</v>
      </c>
      <c r="B66" s="8" t="str">
        <f>IFERROR(__xludf.DUMMYFUNCTION("SUBSTITUTE(REGEXEXTRACT(A66,""^[^(]*""),"" "","""")"),"R")</f>
        <v>R</v>
      </c>
      <c r="C66" s="8"/>
      <c r="D66" s="37" t="b">
        <f>IFERROR(__xludf.DUMMYFUNCTION("REGEXMATCH(B66,""^L$"")"),FALSE)</f>
        <v>0</v>
      </c>
      <c r="E66" s="37" t="b">
        <f>IFERROR(__xludf.DUMMYFUNCTION("REGEXMATCH(B66,""^R$"")"),TRUE)</f>
        <v>1</v>
      </c>
      <c r="F66" s="37" t="b">
        <f>IFERROR(__xludf.DUMMYFUNCTION("REGEXMATCH(B66,""^M$"")"),FALSE)</f>
        <v>0</v>
      </c>
      <c r="G66" s="37" t="b">
        <f>IFERROR(__xludf.DUMMYFUNCTION("REGEXMATCH(B66,""^((L\+R)|(R\+L))$"")"),FALSE)</f>
        <v>0</v>
      </c>
      <c r="H66" s="37" t="b">
        <f>IFERROR(__xludf.DUMMYFUNCTION("REGEXMATCH(B66,""^((L\+M)|(M\+L))$"")"),FALSE)</f>
        <v>0</v>
      </c>
      <c r="I66" s="37" t="b">
        <f>IFERROR(__xludf.DUMMYFUNCTION("REGEXMATCH(B66,""^((R\+M)|(M\+R))$"")"),FALSE)</f>
        <v>0</v>
      </c>
      <c r="J66" s="37" t="b">
        <f>IFERROR(__xludf.DUMMYFUNCTION("REGEXMATCH(B66,""^L\+R\+M$"")"),FALSE)</f>
        <v>0</v>
      </c>
    </row>
    <row r="67" ht="18.75" customHeight="1">
      <c r="A67" s="8" t="str">
        <f>Paper_Textual_Conflict!O67</f>
        <v>L</v>
      </c>
      <c r="B67" s="8" t="str">
        <f>IFERROR(__xludf.DUMMYFUNCTION("SUBSTITUTE(REGEXEXTRACT(A67,""^[^(]*""),"" "","""")"),"L")</f>
        <v>L</v>
      </c>
      <c r="C67" s="8"/>
      <c r="D67" s="37" t="b">
        <f>IFERROR(__xludf.DUMMYFUNCTION("REGEXMATCH(B67,""^L$"")"),TRUE)</f>
        <v>1</v>
      </c>
      <c r="E67" s="37" t="b">
        <f>IFERROR(__xludf.DUMMYFUNCTION("REGEXMATCH(B67,""^R$"")"),FALSE)</f>
        <v>0</v>
      </c>
      <c r="F67" s="37" t="b">
        <f>IFERROR(__xludf.DUMMYFUNCTION("REGEXMATCH(B67,""^M$"")"),FALSE)</f>
        <v>0</v>
      </c>
      <c r="G67" s="37" t="b">
        <f>IFERROR(__xludf.DUMMYFUNCTION("REGEXMATCH(B67,""^((L\+R)|(R\+L))$"")"),FALSE)</f>
        <v>0</v>
      </c>
      <c r="H67" s="37" t="b">
        <f>IFERROR(__xludf.DUMMYFUNCTION("REGEXMATCH(B67,""^((L\+M)|(M\+L))$"")"),FALSE)</f>
        <v>0</v>
      </c>
      <c r="I67" s="37" t="b">
        <f>IFERROR(__xludf.DUMMYFUNCTION("REGEXMATCH(B67,""^((R\+M)|(M\+R))$"")"),FALSE)</f>
        <v>0</v>
      </c>
      <c r="J67" s="37" t="b">
        <f>IFERROR(__xludf.DUMMYFUNCTION("REGEXMATCH(B67,""^L\+R\+M$"")"),FALSE)</f>
        <v>0</v>
      </c>
    </row>
    <row r="68" ht="18.75" customHeight="1">
      <c r="A68" s="8" t="str">
        <f>Paper_Textual_Conflict!O68</f>
        <v>L+R+M</v>
      </c>
      <c r="B68" s="8" t="str">
        <f>IFERROR(__xludf.DUMMYFUNCTION("SUBSTITUTE(REGEXEXTRACT(A68,""^[^(]*""),"" "","""")"),"L+R+M")</f>
        <v>L+R+M</v>
      </c>
      <c r="C68" s="8"/>
      <c r="D68" s="37" t="b">
        <f>IFERROR(__xludf.DUMMYFUNCTION("REGEXMATCH(B68,""^L$"")"),FALSE)</f>
        <v>0</v>
      </c>
      <c r="E68" s="37" t="b">
        <f>IFERROR(__xludf.DUMMYFUNCTION("REGEXMATCH(B68,""^R$"")"),FALSE)</f>
        <v>0</v>
      </c>
      <c r="F68" s="37" t="b">
        <f>IFERROR(__xludf.DUMMYFUNCTION("REGEXMATCH(B68,""^M$"")"),FALSE)</f>
        <v>0</v>
      </c>
      <c r="G68" s="37" t="b">
        <f>IFERROR(__xludf.DUMMYFUNCTION("REGEXMATCH(B68,""^((L\+R)|(R\+L))$"")"),FALSE)</f>
        <v>0</v>
      </c>
      <c r="H68" s="37" t="b">
        <f>IFERROR(__xludf.DUMMYFUNCTION("REGEXMATCH(B68,""^((L\+M)|(M\+L))$"")"),FALSE)</f>
        <v>0</v>
      </c>
      <c r="I68" s="37" t="b">
        <f>IFERROR(__xludf.DUMMYFUNCTION("REGEXMATCH(B68,""^((R\+M)|(M\+R))$"")"),FALSE)</f>
        <v>0</v>
      </c>
      <c r="J68" s="37" t="b">
        <f>IFERROR(__xludf.DUMMYFUNCTION("REGEXMATCH(B68,""^L\+R\+M$"")"),TRUE)</f>
        <v>1</v>
      </c>
    </row>
    <row r="69" ht="18.75" customHeight="1">
      <c r="A69" s="8" t="str">
        <f>Paper_Textual_Conflict!O69</f>
        <v>M (update the same statement with a third statement)</v>
      </c>
      <c r="B69" s="8" t="str">
        <f>IFERROR(__xludf.DUMMYFUNCTION("SUBSTITUTE(REGEXEXTRACT(A69,""^[^(]*""),"" "","""")"),"M")</f>
        <v>M</v>
      </c>
      <c r="C69" s="8"/>
      <c r="D69" s="37" t="b">
        <f>IFERROR(__xludf.DUMMYFUNCTION("REGEXMATCH(B69,""^L$"")"),FALSE)</f>
        <v>0</v>
      </c>
      <c r="E69" s="37" t="b">
        <f>IFERROR(__xludf.DUMMYFUNCTION("REGEXMATCH(B69,""^R$"")"),FALSE)</f>
        <v>0</v>
      </c>
      <c r="F69" s="37" t="b">
        <f>IFERROR(__xludf.DUMMYFUNCTION("REGEXMATCH(B69,""^M$"")"),TRUE)</f>
        <v>1</v>
      </c>
      <c r="G69" s="37" t="b">
        <f>IFERROR(__xludf.DUMMYFUNCTION("REGEXMATCH(B69,""^((L\+R)|(R\+L))$"")"),FALSE)</f>
        <v>0</v>
      </c>
      <c r="H69" s="37" t="b">
        <f>IFERROR(__xludf.DUMMYFUNCTION("REGEXMATCH(B69,""^((L\+M)|(M\+L))$"")"),FALSE)</f>
        <v>0</v>
      </c>
      <c r="I69" s="37" t="b">
        <f>IFERROR(__xludf.DUMMYFUNCTION("REGEXMATCH(B69,""^((R\+M)|(M\+R))$"")"),FALSE)</f>
        <v>0</v>
      </c>
      <c r="J69" s="37" t="b">
        <f>IFERROR(__xludf.DUMMYFUNCTION("REGEXMATCH(B69,""^L\+R\+M$"")"),FALSE)</f>
        <v>0</v>
      </c>
    </row>
    <row r="70" ht="18.75" customHeight="1">
      <c r="A70" s="8" t="str">
        <f>Paper_Textual_Conflict!O70</f>
        <v>R(R includes L)</v>
      </c>
      <c r="B70" s="8" t="str">
        <f>IFERROR(__xludf.DUMMYFUNCTION("SUBSTITUTE(REGEXEXTRACT(A70,""^[^(]*""),"" "","""")"),"R")</f>
        <v>R</v>
      </c>
      <c r="C70" s="8"/>
      <c r="D70" s="37" t="b">
        <f>IFERROR(__xludf.DUMMYFUNCTION("REGEXMATCH(B70,""^L$"")"),FALSE)</f>
        <v>0</v>
      </c>
      <c r="E70" s="37" t="b">
        <f>IFERROR(__xludf.DUMMYFUNCTION("REGEXMATCH(B70,""^R$"")"),TRUE)</f>
        <v>1</v>
      </c>
      <c r="F70" s="37" t="b">
        <f>IFERROR(__xludf.DUMMYFUNCTION("REGEXMATCH(B70,""^M$"")"),FALSE)</f>
        <v>0</v>
      </c>
      <c r="G70" s="37" t="b">
        <f>IFERROR(__xludf.DUMMYFUNCTION("REGEXMATCH(B70,""^((L\+R)|(R\+L))$"")"),FALSE)</f>
        <v>0</v>
      </c>
      <c r="H70" s="37" t="b">
        <f>IFERROR(__xludf.DUMMYFUNCTION("REGEXMATCH(B70,""^((L\+M)|(M\+L))$"")"),FALSE)</f>
        <v>0</v>
      </c>
      <c r="I70" s="37" t="b">
        <f>IFERROR(__xludf.DUMMYFUNCTION("REGEXMATCH(B70,""^((R\+M)|(M\+R))$"")"),FALSE)</f>
        <v>0</v>
      </c>
      <c r="J70" s="37" t="b">
        <f>IFERROR(__xludf.DUMMYFUNCTION("REGEXMATCH(B70,""^L\+R\+M$"")"),FALSE)</f>
        <v>0</v>
      </c>
    </row>
    <row r="71" ht="18.75" customHeight="1">
      <c r="A71" s="8" t="str">
        <f>Paper_Textual_Conflict!O71</f>
        <v>R+M(revise the edit from right, only keep one update)</v>
      </c>
      <c r="B71" s="8" t="str">
        <f>IFERROR(__xludf.DUMMYFUNCTION("SUBSTITUTE(REGEXEXTRACT(A71,""^[^(]*""),"" "","""")"),"R+M")</f>
        <v>R+M</v>
      </c>
      <c r="C71" s="8"/>
      <c r="D71" s="37" t="b">
        <f>IFERROR(__xludf.DUMMYFUNCTION("REGEXMATCH(B71,""^L$"")"),FALSE)</f>
        <v>0</v>
      </c>
      <c r="E71" s="37" t="b">
        <f>IFERROR(__xludf.DUMMYFUNCTION("REGEXMATCH(B71,""^R$"")"),FALSE)</f>
        <v>0</v>
      </c>
      <c r="F71" s="37" t="b">
        <f>IFERROR(__xludf.DUMMYFUNCTION("REGEXMATCH(B71,""^M$"")"),FALSE)</f>
        <v>0</v>
      </c>
      <c r="G71" s="37" t="b">
        <f>IFERROR(__xludf.DUMMYFUNCTION("REGEXMATCH(B71,""^((L\+R)|(R\+L))$"")"),FALSE)</f>
        <v>0</v>
      </c>
      <c r="H71" s="37" t="b">
        <f>IFERROR(__xludf.DUMMYFUNCTION("REGEXMATCH(B71,""^((L\+M)|(M\+L))$"")"),FALSE)</f>
        <v>0</v>
      </c>
      <c r="I71" s="37" t="b">
        <f>IFERROR(__xludf.DUMMYFUNCTION("REGEXMATCH(B71,""^((R\+M)|(M\+R))$"")"),TRUE)</f>
        <v>1</v>
      </c>
      <c r="J71" s="37" t="b">
        <f>IFERROR(__xludf.DUMMYFUNCTION("REGEXMATCH(B71,""^L\+R\+M$"")"),FALSE)</f>
        <v>0</v>
      </c>
    </row>
    <row r="72" ht="18.75" customHeight="1">
      <c r="A72" s="8" t="str">
        <f>Paper_Textual_Conflict!O72</f>
        <v>R</v>
      </c>
      <c r="B72" s="8" t="str">
        <f>IFERROR(__xludf.DUMMYFUNCTION("SUBSTITUTE(REGEXEXTRACT(A72,""^[^(]*""),"" "","""")"),"R")</f>
        <v>R</v>
      </c>
      <c r="C72" s="8"/>
      <c r="D72" s="37" t="b">
        <f>IFERROR(__xludf.DUMMYFUNCTION("REGEXMATCH(B72,""^L$"")"),FALSE)</f>
        <v>0</v>
      </c>
      <c r="E72" s="37" t="b">
        <f>IFERROR(__xludf.DUMMYFUNCTION("REGEXMATCH(B72,""^R$"")"),TRUE)</f>
        <v>1</v>
      </c>
      <c r="F72" s="37" t="b">
        <f>IFERROR(__xludf.DUMMYFUNCTION("REGEXMATCH(B72,""^M$"")"),FALSE)</f>
        <v>0</v>
      </c>
      <c r="G72" s="37" t="b">
        <f>IFERROR(__xludf.DUMMYFUNCTION("REGEXMATCH(B72,""^((L\+R)|(R\+L))$"")"),FALSE)</f>
        <v>0</v>
      </c>
      <c r="H72" s="37" t="b">
        <f>IFERROR(__xludf.DUMMYFUNCTION("REGEXMATCH(B72,""^((L\+M)|(M\+L))$"")"),FALSE)</f>
        <v>0</v>
      </c>
      <c r="I72" s="37" t="b">
        <f>IFERROR(__xludf.DUMMYFUNCTION("REGEXMATCH(B72,""^((R\+M)|(M\+R))$"")"),FALSE)</f>
        <v>0</v>
      </c>
      <c r="J72" s="37" t="b">
        <f>IFERROR(__xludf.DUMMYFUNCTION("REGEXMATCH(B72,""^L\+R\+M$"")"),FALSE)</f>
        <v>0</v>
      </c>
    </row>
    <row r="73" ht="18.75" customHeight="1">
      <c r="A73" s="8" t="str">
        <f>Paper_Textual_Conflict!O73</f>
        <v>L</v>
      </c>
      <c r="B73" s="8" t="str">
        <f>IFERROR(__xludf.DUMMYFUNCTION("SUBSTITUTE(REGEXEXTRACT(A73,""^[^(]*""),"" "","""")"),"L")</f>
        <v>L</v>
      </c>
      <c r="C73" s="8"/>
      <c r="D73" s="37" t="b">
        <f>IFERROR(__xludf.DUMMYFUNCTION("REGEXMATCH(B73,""^L$"")"),TRUE)</f>
        <v>1</v>
      </c>
      <c r="E73" s="37" t="b">
        <f>IFERROR(__xludf.DUMMYFUNCTION("REGEXMATCH(B73,""^R$"")"),FALSE)</f>
        <v>0</v>
      </c>
      <c r="F73" s="37" t="b">
        <f>IFERROR(__xludf.DUMMYFUNCTION("REGEXMATCH(B73,""^M$"")"),FALSE)</f>
        <v>0</v>
      </c>
      <c r="G73" s="37" t="b">
        <f>IFERROR(__xludf.DUMMYFUNCTION("REGEXMATCH(B73,""^((L\+R)|(R\+L))$"")"),FALSE)</f>
        <v>0</v>
      </c>
      <c r="H73" s="37" t="b">
        <f>IFERROR(__xludf.DUMMYFUNCTION("REGEXMATCH(B73,""^((L\+M)|(M\+L))$"")"),FALSE)</f>
        <v>0</v>
      </c>
      <c r="I73" s="37" t="b">
        <f>IFERROR(__xludf.DUMMYFUNCTION("REGEXMATCH(B73,""^((R\+M)|(M\+R))$"")"),FALSE)</f>
        <v>0</v>
      </c>
      <c r="J73" s="37" t="b">
        <f>IFERROR(__xludf.DUMMYFUNCTION("REGEXMATCH(B73,""^L\+R\+M$"")"),FALSE)</f>
        <v>0</v>
      </c>
    </row>
    <row r="74" ht="18.75" customHeight="1">
      <c r="A74" s="8" t="str">
        <f>Paper_Textual_Conflict!O74</f>
        <v>L+R+M</v>
      </c>
      <c r="B74" s="8" t="str">
        <f>IFERROR(__xludf.DUMMYFUNCTION("SUBSTITUTE(REGEXEXTRACT(A74,""^[^(]*""),"" "","""")"),"L+R+M")</f>
        <v>L+R+M</v>
      </c>
      <c r="C74" s="8"/>
      <c r="D74" s="37" t="b">
        <f>IFERROR(__xludf.DUMMYFUNCTION("REGEXMATCH(B74,""^L$"")"),FALSE)</f>
        <v>0</v>
      </c>
      <c r="E74" s="37" t="b">
        <f>IFERROR(__xludf.DUMMYFUNCTION("REGEXMATCH(B74,""^R$"")"),FALSE)</f>
        <v>0</v>
      </c>
      <c r="F74" s="37" t="b">
        <f>IFERROR(__xludf.DUMMYFUNCTION("REGEXMATCH(B74,""^M$"")"),FALSE)</f>
        <v>0</v>
      </c>
      <c r="G74" s="37" t="b">
        <f>IFERROR(__xludf.DUMMYFUNCTION("REGEXMATCH(B74,""^((L\+R)|(R\+L))$"")"),FALSE)</f>
        <v>0</v>
      </c>
      <c r="H74" s="37" t="b">
        <f>IFERROR(__xludf.DUMMYFUNCTION("REGEXMATCH(B74,""^((L\+M)|(M\+L))$"")"),FALSE)</f>
        <v>0</v>
      </c>
      <c r="I74" s="37" t="b">
        <f>IFERROR(__xludf.DUMMYFUNCTION("REGEXMATCH(B74,""^((R\+M)|(M\+R))$"")"),FALSE)</f>
        <v>0</v>
      </c>
      <c r="J74" s="37" t="b">
        <f>IFERROR(__xludf.DUMMYFUNCTION("REGEXMATCH(B74,""^L\+R\+M$"")"),TRUE)</f>
        <v>1</v>
      </c>
    </row>
    <row r="75" ht="18.75" customHeight="1">
      <c r="A75" s="8" t="str">
        <f>Paper_Textual_Conflict!O75</f>
        <v>L</v>
      </c>
      <c r="B75" s="8" t="str">
        <f>IFERROR(__xludf.DUMMYFUNCTION("SUBSTITUTE(REGEXEXTRACT(A75,""^[^(]*""),"" "","""")"),"L")</f>
        <v>L</v>
      </c>
      <c r="C75" s="8"/>
      <c r="D75" s="37" t="b">
        <f>IFERROR(__xludf.DUMMYFUNCTION("REGEXMATCH(B75,""^L$"")"),TRUE)</f>
        <v>1</v>
      </c>
      <c r="E75" s="37" t="b">
        <f>IFERROR(__xludf.DUMMYFUNCTION("REGEXMATCH(B75,""^R$"")"),FALSE)</f>
        <v>0</v>
      </c>
      <c r="F75" s="37" t="b">
        <f>IFERROR(__xludf.DUMMYFUNCTION("REGEXMATCH(B75,""^M$"")"),FALSE)</f>
        <v>0</v>
      </c>
      <c r="G75" s="37" t="b">
        <f>IFERROR(__xludf.DUMMYFUNCTION("REGEXMATCH(B75,""^((L\+R)|(R\+L))$"")"),FALSE)</f>
        <v>0</v>
      </c>
      <c r="H75" s="37" t="b">
        <f>IFERROR(__xludf.DUMMYFUNCTION("REGEXMATCH(B75,""^((L\+M)|(M\+L))$"")"),FALSE)</f>
        <v>0</v>
      </c>
      <c r="I75" s="37" t="b">
        <f>IFERROR(__xludf.DUMMYFUNCTION("REGEXMATCH(B75,""^((R\+M)|(M\+R))$"")"),FALSE)</f>
        <v>0</v>
      </c>
      <c r="J75" s="37" t="b">
        <f>IFERROR(__xludf.DUMMYFUNCTION("REGEXMATCH(B75,""^L\+R\+M$"")"),FALSE)</f>
        <v>0</v>
      </c>
    </row>
    <row r="76" ht="18.75" customHeight="1">
      <c r="A76" s="8" t="str">
        <f>Paper_Textual_Conflict!O76</f>
        <v>L</v>
      </c>
      <c r="B76" s="8" t="str">
        <f>IFERROR(__xludf.DUMMYFUNCTION("SUBSTITUTE(REGEXEXTRACT(A76,""^[^(]*""),"" "","""")"),"L")</f>
        <v>L</v>
      </c>
      <c r="C76" s="8"/>
      <c r="D76" s="37" t="b">
        <f>IFERROR(__xludf.DUMMYFUNCTION("REGEXMATCH(B76,""^L$"")"),TRUE)</f>
        <v>1</v>
      </c>
      <c r="E76" s="37" t="b">
        <f>IFERROR(__xludf.DUMMYFUNCTION("REGEXMATCH(B76,""^R$"")"),FALSE)</f>
        <v>0</v>
      </c>
      <c r="F76" s="37" t="b">
        <f>IFERROR(__xludf.DUMMYFUNCTION("REGEXMATCH(B76,""^M$"")"),FALSE)</f>
        <v>0</v>
      </c>
      <c r="G76" s="37" t="b">
        <f>IFERROR(__xludf.DUMMYFUNCTION("REGEXMATCH(B76,""^((L\+R)|(R\+L))$"")"),FALSE)</f>
        <v>0</v>
      </c>
      <c r="H76" s="37" t="b">
        <f>IFERROR(__xludf.DUMMYFUNCTION("REGEXMATCH(B76,""^((L\+M)|(M\+L))$"")"),FALSE)</f>
        <v>0</v>
      </c>
      <c r="I76" s="37" t="b">
        <f>IFERROR(__xludf.DUMMYFUNCTION("REGEXMATCH(B76,""^((R\+M)|(M\+R))$"")"),FALSE)</f>
        <v>0</v>
      </c>
      <c r="J76" s="37" t="b">
        <f>IFERROR(__xludf.DUMMYFUNCTION("REGEXMATCH(B76,""^L\+R\+M$"")"),FALSE)</f>
        <v>0</v>
      </c>
    </row>
    <row r="77" ht="18.75" customHeight="1">
      <c r="A77" s="8" t="str">
        <f>Paper_Textual_Conflict!O77</f>
        <v>L+R</v>
      </c>
      <c r="B77" s="8" t="str">
        <f>IFERROR(__xludf.DUMMYFUNCTION("SUBSTITUTE(REGEXEXTRACT(A77,""^[^(]*""),"" "","""")"),"L+R")</f>
        <v>L+R</v>
      </c>
      <c r="C77" s="8"/>
      <c r="D77" s="37" t="b">
        <f>IFERROR(__xludf.DUMMYFUNCTION("REGEXMATCH(B77,""^L$"")"),FALSE)</f>
        <v>0</v>
      </c>
      <c r="E77" s="37" t="b">
        <f>IFERROR(__xludf.DUMMYFUNCTION("REGEXMATCH(B77,""^R$"")"),FALSE)</f>
        <v>0</v>
      </c>
      <c r="F77" s="37" t="b">
        <f>IFERROR(__xludf.DUMMYFUNCTION("REGEXMATCH(B77,""^M$"")"),FALSE)</f>
        <v>0</v>
      </c>
      <c r="G77" s="37" t="b">
        <f>IFERROR(__xludf.DUMMYFUNCTION("REGEXMATCH(B77,""^((L\+R)|(R\+L))$"")"),TRUE)</f>
        <v>1</v>
      </c>
      <c r="H77" s="37" t="b">
        <f>IFERROR(__xludf.DUMMYFUNCTION("REGEXMATCH(B77,""^((L\+M)|(M\+L))$"")"),FALSE)</f>
        <v>0</v>
      </c>
      <c r="I77" s="37" t="b">
        <f>IFERROR(__xludf.DUMMYFUNCTION("REGEXMATCH(B77,""^((R\+M)|(M\+R))$"")"),FALSE)</f>
        <v>0</v>
      </c>
      <c r="J77" s="37" t="b">
        <f>IFERROR(__xludf.DUMMYFUNCTION("REGEXMATCH(B77,""^L\+R\+M$"")"),FALSE)</f>
        <v>0</v>
      </c>
    </row>
    <row r="78" ht="18.75" customHeight="1">
      <c r="A78" s="8" t="str">
        <f>Paper_Textual_Conflict!O78</f>
        <v>L</v>
      </c>
      <c r="B78" s="8" t="str">
        <f>IFERROR(__xludf.DUMMYFUNCTION("SUBSTITUTE(REGEXEXTRACT(A78,""^[^(]*""),"" "","""")"),"L")</f>
        <v>L</v>
      </c>
      <c r="C78" s="8"/>
      <c r="D78" s="37" t="b">
        <f>IFERROR(__xludf.DUMMYFUNCTION("REGEXMATCH(B78,""^L$"")"),TRUE)</f>
        <v>1</v>
      </c>
      <c r="E78" s="37" t="b">
        <f>IFERROR(__xludf.DUMMYFUNCTION("REGEXMATCH(B78,""^R$"")"),FALSE)</f>
        <v>0</v>
      </c>
      <c r="F78" s="37" t="b">
        <f>IFERROR(__xludf.DUMMYFUNCTION("REGEXMATCH(B78,""^M$"")"),FALSE)</f>
        <v>0</v>
      </c>
      <c r="G78" s="37" t="b">
        <f>IFERROR(__xludf.DUMMYFUNCTION("REGEXMATCH(B78,""^((L\+R)|(R\+L))$"")"),FALSE)</f>
        <v>0</v>
      </c>
      <c r="H78" s="37" t="b">
        <f>IFERROR(__xludf.DUMMYFUNCTION("REGEXMATCH(B78,""^((L\+M)|(M\+L))$"")"),FALSE)</f>
        <v>0</v>
      </c>
      <c r="I78" s="37" t="b">
        <f>IFERROR(__xludf.DUMMYFUNCTION("REGEXMATCH(B78,""^((R\+M)|(M\+R))$"")"),FALSE)</f>
        <v>0</v>
      </c>
      <c r="J78" s="37" t="b">
        <f>IFERROR(__xludf.DUMMYFUNCTION("REGEXMATCH(B78,""^L\+R\+M$"")"),FALSE)</f>
        <v>0</v>
      </c>
    </row>
    <row r="79" ht="18.75" customHeight="1">
      <c r="A79" s="8" t="str">
        <f>Paper_Textual_Conflict!O79</f>
        <v>L(R includes L, only has one more empty line added)</v>
      </c>
      <c r="B79" s="8" t="str">
        <f>IFERROR(__xludf.DUMMYFUNCTION("SUBSTITUTE(REGEXEXTRACT(A79,""^[^(]*""),"" "","""")"),"L")</f>
        <v>L</v>
      </c>
      <c r="C79" s="8"/>
      <c r="D79" s="37" t="b">
        <f>IFERROR(__xludf.DUMMYFUNCTION("REGEXMATCH(B79,""^L$"")"),TRUE)</f>
        <v>1</v>
      </c>
      <c r="E79" s="37" t="b">
        <f>IFERROR(__xludf.DUMMYFUNCTION("REGEXMATCH(B79,""^R$"")"),FALSE)</f>
        <v>0</v>
      </c>
      <c r="F79" s="37" t="b">
        <f>IFERROR(__xludf.DUMMYFUNCTION("REGEXMATCH(B79,""^M$"")"),FALSE)</f>
        <v>0</v>
      </c>
      <c r="G79" s="37" t="b">
        <f>IFERROR(__xludf.DUMMYFUNCTION("REGEXMATCH(B79,""^((L\+R)|(R\+L))$"")"),FALSE)</f>
        <v>0</v>
      </c>
      <c r="H79" s="37" t="b">
        <f>IFERROR(__xludf.DUMMYFUNCTION("REGEXMATCH(B79,""^((L\+M)|(M\+L))$"")"),FALSE)</f>
        <v>0</v>
      </c>
      <c r="I79" s="37" t="b">
        <f>IFERROR(__xludf.DUMMYFUNCTION("REGEXMATCH(B79,""^((R\+M)|(M\+R))$"")"),FALSE)</f>
        <v>0</v>
      </c>
      <c r="J79" s="37" t="b">
        <f>IFERROR(__xludf.DUMMYFUNCTION("REGEXMATCH(B79,""^L\+R\+M$"")"),FALSE)</f>
        <v>0</v>
      </c>
    </row>
    <row r="80" ht="18.75" customHeight="1">
      <c r="A80" s="8" t="str">
        <f>Paper_Textual_Conflict!O80</f>
        <v>R (R includes L)</v>
      </c>
      <c r="B80" s="8" t="str">
        <f>IFERROR(__xludf.DUMMYFUNCTION("SUBSTITUTE(REGEXEXTRACT(A80,""^[^(]*""),"" "","""")"),"R")</f>
        <v>R</v>
      </c>
      <c r="C80" s="8"/>
      <c r="D80" s="37" t="b">
        <f>IFERROR(__xludf.DUMMYFUNCTION("REGEXMATCH(B80,""^L$"")"),FALSE)</f>
        <v>0</v>
      </c>
      <c r="E80" s="37" t="b">
        <f>IFERROR(__xludf.DUMMYFUNCTION("REGEXMATCH(B80,""^R$"")"),TRUE)</f>
        <v>1</v>
      </c>
      <c r="F80" s="37" t="b">
        <f>IFERROR(__xludf.DUMMYFUNCTION("REGEXMATCH(B80,""^M$"")"),FALSE)</f>
        <v>0</v>
      </c>
      <c r="G80" s="37" t="b">
        <f>IFERROR(__xludf.DUMMYFUNCTION("REGEXMATCH(B80,""^((L\+R)|(R\+L))$"")"),FALSE)</f>
        <v>0</v>
      </c>
      <c r="H80" s="37" t="b">
        <f>IFERROR(__xludf.DUMMYFUNCTION("REGEXMATCH(B80,""^((L\+M)|(M\+L))$"")"),FALSE)</f>
        <v>0</v>
      </c>
      <c r="I80" s="37" t="b">
        <f>IFERROR(__xludf.DUMMYFUNCTION("REGEXMATCH(B80,""^((R\+M)|(M\+R))$"")"),FALSE)</f>
        <v>0</v>
      </c>
      <c r="J80" s="37" t="b">
        <f>IFERROR(__xludf.DUMMYFUNCTION("REGEXMATCH(B80,""^L\+R\+M$"")"),FALSE)</f>
        <v>0</v>
      </c>
    </row>
    <row r="81" ht="18.75" customHeight="1">
      <c r="A81" s="8" t="str">
        <f>Paper_Textual_Conflict!O81</f>
        <v>R (R includes the same text as L in different orders)</v>
      </c>
      <c r="B81" s="8" t="str">
        <f>IFERROR(__xludf.DUMMYFUNCTION("SUBSTITUTE(REGEXEXTRACT(A81,""^[^(]*""),"" "","""")"),"R")</f>
        <v>R</v>
      </c>
      <c r="C81" s="8"/>
      <c r="D81" s="37" t="b">
        <f>IFERROR(__xludf.DUMMYFUNCTION("REGEXMATCH(B81,""^L$"")"),FALSE)</f>
        <v>0</v>
      </c>
      <c r="E81" s="37" t="b">
        <f>IFERROR(__xludf.DUMMYFUNCTION("REGEXMATCH(B81,""^R$"")"),TRUE)</f>
        <v>1</v>
      </c>
      <c r="F81" s="37" t="b">
        <f>IFERROR(__xludf.DUMMYFUNCTION("REGEXMATCH(B81,""^M$"")"),FALSE)</f>
        <v>0</v>
      </c>
      <c r="G81" s="37" t="b">
        <f>IFERROR(__xludf.DUMMYFUNCTION("REGEXMATCH(B81,""^((L\+R)|(R\+L))$"")"),FALSE)</f>
        <v>0</v>
      </c>
      <c r="H81" s="37" t="b">
        <f>IFERROR(__xludf.DUMMYFUNCTION("REGEXMATCH(B81,""^((L\+M)|(M\+L))$"")"),FALSE)</f>
        <v>0</v>
      </c>
      <c r="I81" s="37" t="b">
        <f>IFERROR(__xludf.DUMMYFUNCTION("REGEXMATCH(B81,""^((R\+M)|(M\+R))$"")"),FALSE)</f>
        <v>0</v>
      </c>
      <c r="J81" s="37" t="b">
        <f>IFERROR(__xludf.DUMMYFUNCTION("REGEXMATCH(B81,""^L\+R\+M$"")"),FALSE)</f>
        <v>0</v>
      </c>
    </row>
    <row r="82" ht="18.75" customHeight="1">
      <c r="A82" s="8" t="str">
        <f>Paper_Textual_Conflict!O82</f>
        <v>L+R (statement)</v>
      </c>
      <c r="B82" s="8" t="str">
        <f>IFERROR(__xludf.DUMMYFUNCTION("SUBSTITUTE(REGEXEXTRACT(A82,""^[^(]*""),"" "","""")"),"L+R")</f>
        <v>L+R</v>
      </c>
      <c r="C82" s="8"/>
      <c r="D82" s="37" t="b">
        <f>IFERROR(__xludf.DUMMYFUNCTION("REGEXMATCH(B82,""^L$"")"),FALSE)</f>
        <v>0</v>
      </c>
      <c r="E82" s="37" t="b">
        <f>IFERROR(__xludf.DUMMYFUNCTION("REGEXMATCH(B82,""^R$"")"),FALSE)</f>
        <v>0</v>
      </c>
      <c r="F82" s="37" t="b">
        <f>IFERROR(__xludf.DUMMYFUNCTION("REGEXMATCH(B82,""^M$"")"),FALSE)</f>
        <v>0</v>
      </c>
      <c r="G82" s="37" t="b">
        <f>IFERROR(__xludf.DUMMYFUNCTION("REGEXMATCH(B82,""^((L\+R)|(R\+L))$"")"),TRUE)</f>
        <v>1</v>
      </c>
      <c r="H82" s="37" t="b">
        <f>IFERROR(__xludf.DUMMYFUNCTION("REGEXMATCH(B82,""^((L\+M)|(M\+L))$"")"),FALSE)</f>
        <v>0</v>
      </c>
      <c r="I82" s="37" t="b">
        <f>IFERROR(__xludf.DUMMYFUNCTION("REGEXMATCH(B82,""^((R\+M)|(M\+R))$"")"),FALSE)</f>
        <v>0</v>
      </c>
      <c r="J82" s="37" t="b">
        <f>IFERROR(__xludf.DUMMYFUNCTION("REGEXMATCH(B82,""^L\+R\+M$"")"),FALSE)</f>
        <v>0</v>
      </c>
    </row>
    <row r="83" ht="18.75" customHeight="1">
      <c r="A83" s="8" t="str">
        <f>Paper_Textual_Conflict!O83</f>
        <v>L (L includes R)</v>
      </c>
      <c r="B83" s="8" t="str">
        <f>IFERROR(__xludf.DUMMYFUNCTION("SUBSTITUTE(REGEXEXTRACT(A83,""^[^(]*""),"" "","""")"),"L")</f>
        <v>L</v>
      </c>
      <c r="C83" s="8"/>
      <c r="D83" s="37" t="b">
        <f>IFERROR(__xludf.DUMMYFUNCTION("REGEXMATCH(B83,""^L$"")"),TRUE)</f>
        <v>1</v>
      </c>
      <c r="E83" s="37" t="b">
        <f>IFERROR(__xludf.DUMMYFUNCTION("REGEXMATCH(B83,""^R$"")"),FALSE)</f>
        <v>0</v>
      </c>
      <c r="F83" s="37" t="b">
        <f>IFERROR(__xludf.DUMMYFUNCTION("REGEXMATCH(B83,""^M$"")"),FALSE)</f>
        <v>0</v>
      </c>
      <c r="G83" s="37" t="b">
        <f>IFERROR(__xludf.DUMMYFUNCTION("REGEXMATCH(B83,""^((L\+R)|(R\+L))$"")"),FALSE)</f>
        <v>0</v>
      </c>
      <c r="H83" s="37" t="b">
        <f>IFERROR(__xludf.DUMMYFUNCTION("REGEXMATCH(B83,""^((L\+M)|(M\+L))$"")"),FALSE)</f>
        <v>0</v>
      </c>
      <c r="I83" s="37" t="b">
        <f>IFERROR(__xludf.DUMMYFUNCTION("REGEXMATCH(B83,""^((R\+M)|(M\+R))$"")"),FALSE)</f>
        <v>0</v>
      </c>
      <c r="J83" s="37" t="b">
        <f>IFERROR(__xludf.DUMMYFUNCTION("REGEXMATCH(B83,""^L\+R\+M$"")"),FALSE)</f>
        <v>0</v>
      </c>
    </row>
    <row r="84" ht="18.75" customHeight="1">
      <c r="A84" s="8" t="str">
        <f>Paper_Textual_Conflict!O84</f>
        <v>R+M</v>
      </c>
      <c r="B84" s="8" t="str">
        <f>IFERROR(__xludf.DUMMYFUNCTION("SUBSTITUTE(REGEXEXTRACT(A84,""^[^(]*""),"" "","""")"),"R+M")</f>
        <v>R+M</v>
      </c>
      <c r="C84" s="8"/>
      <c r="D84" s="37" t="b">
        <f>IFERROR(__xludf.DUMMYFUNCTION("REGEXMATCH(B84,""^L$"")"),FALSE)</f>
        <v>0</v>
      </c>
      <c r="E84" s="37" t="b">
        <f>IFERROR(__xludf.DUMMYFUNCTION("REGEXMATCH(B84,""^R$"")"),FALSE)</f>
        <v>0</v>
      </c>
      <c r="F84" s="37" t="b">
        <f>IFERROR(__xludf.DUMMYFUNCTION("REGEXMATCH(B84,""^M$"")"),FALSE)</f>
        <v>0</v>
      </c>
      <c r="G84" s="37" t="b">
        <f>IFERROR(__xludf.DUMMYFUNCTION("REGEXMATCH(B84,""^((L\+R)|(R\+L))$"")"),FALSE)</f>
        <v>0</v>
      </c>
      <c r="H84" s="37" t="b">
        <f>IFERROR(__xludf.DUMMYFUNCTION("REGEXMATCH(B84,""^((L\+M)|(M\+L))$"")"),FALSE)</f>
        <v>0</v>
      </c>
      <c r="I84" s="37" t="b">
        <f>IFERROR(__xludf.DUMMYFUNCTION("REGEXMATCH(B84,""^((R\+M)|(M\+R))$"")"),TRUE)</f>
        <v>1</v>
      </c>
      <c r="J84" s="37" t="b">
        <f>IFERROR(__xludf.DUMMYFUNCTION("REGEXMATCH(B84,""^L\+R\+M$"")"),FALSE)</f>
        <v>0</v>
      </c>
    </row>
    <row r="85" ht="18.75" customHeight="1">
      <c r="A85" s="8" t="str">
        <f>Paper_Textual_Conflict!O85</f>
        <v>L+R</v>
      </c>
      <c r="B85" s="8" t="str">
        <f>IFERROR(__xludf.DUMMYFUNCTION("SUBSTITUTE(REGEXEXTRACT(A85,""^[^(]*""),"" "","""")"),"L+R")</f>
        <v>L+R</v>
      </c>
      <c r="C85" s="8"/>
      <c r="D85" s="37" t="b">
        <f>IFERROR(__xludf.DUMMYFUNCTION("REGEXMATCH(B85,""^L$"")"),FALSE)</f>
        <v>0</v>
      </c>
      <c r="E85" s="37" t="b">
        <f>IFERROR(__xludf.DUMMYFUNCTION("REGEXMATCH(B85,""^R$"")"),FALSE)</f>
        <v>0</v>
      </c>
      <c r="F85" s="37" t="b">
        <f>IFERROR(__xludf.DUMMYFUNCTION("REGEXMATCH(B85,""^M$"")"),FALSE)</f>
        <v>0</v>
      </c>
      <c r="G85" s="37" t="b">
        <f>IFERROR(__xludf.DUMMYFUNCTION("REGEXMATCH(B85,""^((L\+R)|(R\+L))$"")"),TRUE)</f>
        <v>1</v>
      </c>
      <c r="H85" s="37" t="b">
        <f>IFERROR(__xludf.DUMMYFUNCTION("REGEXMATCH(B85,""^((L\+M)|(M\+L))$"")"),FALSE)</f>
        <v>0</v>
      </c>
      <c r="I85" s="37" t="b">
        <f>IFERROR(__xludf.DUMMYFUNCTION("REGEXMATCH(B85,""^((R\+M)|(M\+R))$"")"),FALSE)</f>
        <v>0</v>
      </c>
      <c r="J85" s="37" t="b">
        <f>IFERROR(__xludf.DUMMYFUNCTION("REGEXMATCH(B85,""^L\+R\+M$"")"),FALSE)</f>
        <v>0</v>
      </c>
    </row>
    <row r="86" ht="18.75" customHeight="1">
      <c r="A86" s="8" t="str">
        <f>Paper_Textual_Conflict!O86</f>
        <v>M (update the automatically generated timestamp with a third timestamp)</v>
      </c>
      <c r="B86" s="8" t="str">
        <f>IFERROR(__xludf.DUMMYFUNCTION("SUBSTITUTE(REGEXEXTRACT(A86,""^[^(]*""),"" "","""")"),"M")</f>
        <v>M</v>
      </c>
      <c r="C86" s="8"/>
      <c r="D86" s="37" t="b">
        <f>IFERROR(__xludf.DUMMYFUNCTION("REGEXMATCH(B86,""^L$"")"),FALSE)</f>
        <v>0</v>
      </c>
      <c r="E86" s="37" t="b">
        <f>IFERROR(__xludf.DUMMYFUNCTION("REGEXMATCH(B86,""^R$"")"),FALSE)</f>
        <v>0</v>
      </c>
      <c r="F86" s="37" t="b">
        <f>IFERROR(__xludf.DUMMYFUNCTION("REGEXMATCH(B86,""^M$"")"),TRUE)</f>
        <v>1</v>
      </c>
      <c r="G86" s="37" t="b">
        <f>IFERROR(__xludf.DUMMYFUNCTION("REGEXMATCH(B86,""^((L\+R)|(R\+L))$"")"),FALSE)</f>
        <v>0</v>
      </c>
      <c r="H86" s="37" t="b">
        <f>IFERROR(__xludf.DUMMYFUNCTION("REGEXMATCH(B86,""^((L\+M)|(M\+L))$"")"),FALSE)</f>
        <v>0</v>
      </c>
      <c r="I86" s="37" t="b">
        <f>IFERROR(__xludf.DUMMYFUNCTION("REGEXMATCH(B86,""^((R\+M)|(M\+R))$"")"),FALSE)</f>
        <v>0</v>
      </c>
      <c r="J86" s="37" t="b">
        <f>IFERROR(__xludf.DUMMYFUNCTION("REGEXMATCH(B86,""^L\+R\+M$"")"),FALSE)</f>
        <v>0</v>
      </c>
    </row>
    <row r="87" ht="18.75" customHeight="1">
      <c r="A87" s="8" t="str">
        <f>Paper_Textual_Conflict!O87</f>
        <v>L + M</v>
      </c>
      <c r="B87" s="8" t="str">
        <f>IFERROR(__xludf.DUMMYFUNCTION("SUBSTITUTE(REGEXEXTRACT(A87,""^[^(]*""),"" "","""")"),"L+M")</f>
        <v>L+M</v>
      </c>
      <c r="C87" s="8"/>
      <c r="D87" s="37" t="b">
        <f>IFERROR(__xludf.DUMMYFUNCTION("REGEXMATCH(B87,""^L$"")"),FALSE)</f>
        <v>0</v>
      </c>
      <c r="E87" s="37" t="b">
        <f>IFERROR(__xludf.DUMMYFUNCTION("REGEXMATCH(B87,""^R$"")"),FALSE)</f>
        <v>0</v>
      </c>
      <c r="F87" s="37" t="b">
        <f>IFERROR(__xludf.DUMMYFUNCTION("REGEXMATCH(B87,""^M$"")"),FALSE)</f>
        <v>0</v>
      </c>
      <c r="G87" s="37" t="b">
        <f>IFERROR(__xludf.DUMMYFUNCTION("REGEXMATCH(B87,""^((L\+R)|(R\+L))$"")"),FALSE)</f>
        <v>0</v>
      </c>
      <c r="H87" s="37" t="b">
        <f>IFERROR(__xludf.DUMMYFUNCTION("REGEXMATCH(B87,""^((L\+M)|(M\+L))$"")"),TRUE)</f>
        <v>1</v>
      </c>
      <c r="I87" s="37" t="b">
        <f>IFERROR(__xludf.DUMMYFUNCTION("REGEXMATCH(B87,""^((R\+M)|(M\+R))$"")"),FALSE)</f>
        <v>0</v>
      </c>
      <c r="J87" s="37" t="b">
        <f>IFERROR(__xludf.DUMMYFUNCTION("REGEXMATCH(B87,""^L\+R\+M$"")"),FALSE)</f>
        <v>0</v>
      </c>
    </row>
    <row r="88" ht="18.75" customHeight="1">
      <c r="A88" s="8" t="str">
        <f>Paper_Textual_Conflict!O88</f>
        <v>L (L syntactically includes R, while R removes an additional empty line)</v>
      </c>
      <c r="B88" s="8" t="str">
        <f>IFERROR(__xludf.DUMMYFUNCTION("SUBSTITUTE(REGEXEXTRACT(A88,""^[^(]*""),"" "","""")"),"L")</f>
        <v>L</v>
      </c>
      <c r="C88" s="8"/>
      <c r="D88" s="37" t="b">
        <f>IFERROR(__xludf.DUMMYFUNCTION("REGEXMATCH(B88,""^L$"")"),TRUE)</f>
        <v>1</v>
      </c>
      <c r="E88" s="37" t="b">
        <f>IFERROR(__xludf.DUMMYFUNCTION("REGEXMATCH(B88,""^R$"")"),FALSE)</f>
        <v>0</v>
      </c>
      <c r="F88" s="37" t="b">
        <f>IFERROR(__xludf.DUMMYFUNCTION("REGEXMATCH(B88,""^M$"")"),FALSE)</f>
        <v>0</v>
      </c>
      <c r="G88" s="37" t="b">
        <f>IFERROR(__xludf.DUMMYFUNCTION("REGEXMATCH(B88,""^((L\+R)|(R\+L))$"")"),FALSE)</f>
        <v>0</v>
      </c>
      <c r="H88" s="37" t="b">
        <f>IFERROR(__xludf.DUMMYFUNCTION("REGEXMATCH(B88,""^((L\+M)|(M\+L))$"")"),FALSE)</f>
        <v>0</v>
      </c>
      <c r="I88" s="37" t="b">
        <f>IFERROR(__xludf.DUMMYFUNCTION("REGEXMATCH(B88,""^((R\+M)|(M\+R))$"")"),FALSE)</f>
        <v>0</v>
      </c>
      <c r="J88" s="37" t="b">
        <f>IFERROR(__xludf.DUMMYFUNCTION("REGEXMATCH(B88,""^L\+R\+M$"")"),FALSE)</f>
        <v>0</v>
      </c>
    </row>
    <row r="89" ht="18.75" customHeight="1">
      <c r="A89" s="8" t="str">
        <f>Paper_Textual_Conflict!O89</f>
        <v>L+R</v>
      </c>
      <c r="B89" s="8" t="str">
        <f>IFERROR(__xludf.DUMMYFUNCTION("SUBSTITUTE(REGEXEXTRACT(A89,""^[^(]*""),"" "","""")"),"L+R")</f>
        <v>L+R</v>
      </c>
      <c r="C89" s="8"/>
      <c r="D89" s="37" t="b">
        <f>IFERROR(__xludf.DUMMYFUNCTION("REGEXMATCH(B89,""^L$"")"),FALSE)</f>
        <v>0</v>
      </c>
      <c r="E89" s="37" t="b">
        <f>IFERROR(__xludf.DUMMYFUNCTION("REGEXMATCH(B89,""^R$"")"),FALSE)</f>
        <v>0</v>
      </c>
      <c r="F89" s="37" t="b">
        <f>IFERROR(__xludf.DUMMYFUNCTION("REGEXMATCH(B89,""^M$"")"),FALSE)</f>
        <v>0</v>
      </c>
      <c r="G89" s="37" t="b">
        <f>IFERROR(__xludf.DUMMYFUNCTION("REGEXMATCH(B89,""^((L\+R)|(R\+L))$"")"),TRUE)</f>
        <v>1</v>
      </c>
      <c r="H89" s="37" t="b">
        <f>IFERROR(__xludf.DUMMYFUNCTION("REGEXMATCH(B89,""^((L\+M)|(M\+L))$"")"),FALSE)</f>
        <v>0</v>
      </c>
      <c r="I89" s="37" t="b">
        <f>IFERROR(__xludf.DUMMYFUNCTION("REGEXMATCH(B89,""^((R\+M)|(M\+R))$"")"),FALSE)</f>
        <v>0</v>
      </c>
      <c r="J89" s="37" t="b">
        <f>IFERROR(__xludf.DUMMYFUNCTION("REGEXMATCH(B89,""^L\+R\+M$"")"),FALSE)</f>
        <v>0</v>
      </c>
    </row>
    <row r="90" ht="18.75" customHeight="1">
      <c r="A90" s="8" t="str">
        <f>Paper_Textual_Conflict!O90</f>
        <v>R</v>
      </c>
      <c r="B90" s="8" t="str">
        <f>IFERROR(__xludf.DUMMYFUNCTION("SUBSTITUTE(REGEXEXTRACT(A90,""^[^(]*""),"" "","""")"),"R")</f>
        <v>R</v>
      </c>
      <c r="C90" s="8"/>
      <c r="D90" s="37" t="b">
        <f>IFERROR(__xludf.DUMMYFUNCTION("REGEXMATCH(B90,""^L$"")"),FALSE)</f>
        <v>0</v>
      </c>
      <c r="E90" s="37" t="b">
        <f>IFERROR(__xludf.DUMMYFUNCTION("REGEXMATCH(B90,""^R$"")"),TRUE)</f>
        <v>1</v>
      </c>
      <c r="F90" s="37" t="b">
        <f>IFERROR(__xludf.DUMMYFUNCTION("REGEXMATCH(B90,""^M$"")"),FALSE)</f>
        <v>0</v>
      </c>
      <c r="G90" s="37" t="b">
        <f>IFERROR(__xludf.DUMMYFUNCTION("REGEXMATCH(B90,""^((L\+R)|(R\+L))$"")"),FALSE)</f>
        <v>0</v>
      </c>
      <c r="H90" s="37" t="b">
        <f>IFERROR(__xludf.DUMMYFUNCTION("REGEXMATCH(B90,""^((L\+M)|(M\+L))$"")"),FALSE)</f>
        <v>0</v>
      </c>
      <c r="I90" s="37" t="b">
        <f>IFERROR(__xludf.DUMMYFUNCTION("REGEXMATCH(B90,""^((R\+M)|(M\+R))$"")"),FALSE)</f>
        <v>0</v>
      </c>
      <c r="J90" s="37" t="b">
        <f>IFERROR(__xludf.DUMMYFUNCTION("REGEXMATCH(B90,""^L\+R\+M$"")"),FALSE)</f>
        <v>0</v>
      </c>
    </row>
    <row r="91" ht="18.75" customHeight="1">
      <c r="A91" s="8" t="str">
        <f>Paper_Textual_Conflict!O91</f>
        <v>L (L has a higher version number than R)</v>
      </c>
      <c r="B91" s="8" t="str">
        <f>IFERROR(__xludf.DUMMYFUNCTION("SUBSTITUTE(REGEXEXTRACT(A91,""^[^(]*""),"" "","""")"),"L")</f>
        <v>L</v>
      </c>
      <c r="C91" s="8"/>
      <c r="D91" s="37" t="b">
        <f>IFERROR(__xludf.DUMMYFUNCTION("REGEXMATCH(B91,""^L$"")"),TRUE)</f>
        <v>1</v>
      </c>
      <c r="E91" s="37" t="b">
        <f>IFERROR(__xludf.DUMMYFUNCTION("REGEXMATCH(B91,""^R$"")"),FALSE)</f>
        <v>0</v>
      </c>
      <c r="F91" s="37" t="b">
        <f>IFERROR(__xludf.DUMMYFUNCTION("REGEXMATCH(B91,""^M$"")"),FALSE)</f>
        <v>0</v>
      </c>
      <c r="G91" s="37" t="b">
        <f>IFERROR(__xludf.DUMMYFUNCTION("REGEXMATCH(B91,""^((L\+R)|(R\+L))$"")"),FALSE)</f>
        <v>0</v>
      </c>
      <c r="H91" s="37" t="b">
        <f>IFERROR(__xludf.DUMMYFUNCTION("REGEXMATCH(B91,""^((L\+M)|(M\+L))$"")"),FALSE)</f>
        <v>0</v>
      </c>
      <c r="I91" s="37" t="b">
        <f>IFERROR(__xludf.DUMMYFUNCTION("REGEXMATCH(B91,""^((R\+M)|(M\+R))$"")"),FALSE)</f>
        <v>0</v>
      </c>
      <c r="J91" s="37" t="b">
        <f>IFERROR(__xludf.DUMMYFUNCTION("REGEXMATCH(B91,""^L\+R\+M$"")"),FALSE)</f>
        <v>0</v>
      </c>
    </row>
    <row r="92" ht="18.75" customHeight="1">
      <c r="A92" s="8" t="str">
        <f>Paper_Textual_Conflict!O92</f>
        <v>R</v>
      </c>
      <c r="B92" s="8" t="str">
        <f>IFERROR(__xludf.DUMMYFUNCTION("SUBSTITUTE(REGEXEXTRACT(A92,""^[^(]*""),"" "","""")"),"R")</f>
        <v>R</v>
      </c>
      <c r="C92" s="8"/>
      <c r="D92" s="37" t="b">
        <f>IFERROR(__xludf.DUMMYFUNCTION("REGEXMATCH(B92,""^L$"")"),FALSE)</f>
        <v>0</v>
      </c>
      <c r="E92" s="37" t="b">
        <f>IFERROR(__xludf.DUMMYFUNCTION("REGEXMATCH(B92,""^R$"")"),TRUE)</f>
        <v>1</v>
      </c>
      <c r="F92" s="37" t="b">
        <f>IFERROR(__xludf.DUMMYFUNCTION("REGEXMATCH(B92,""^M$"")"),FALSE)</f>
        <v>0</v>
      </c>
      <c r="G92" s="37" t="b">
        <f>IFERROR(__xludf.DUMMYFUNCTION("REGEXMATCH(B92,""^((L\+R)|(R\+L))$"")"),FALSE)</f>
        <v>0</v>
      </c>
      <c r="H92" s="37" t="b">
        <f>IFERROR(__xludf.DUMMYFUNCTION("REGEXMATCH(B92,""^((L\+M)|(M\+L))$"")"),FALSE)</f>
        <v>0</v>
      </c>
      <c r="I92" s="37" t="b">
        <f>IFERROR(__xludf.DUMMYFUNCTION("REGEXMATCH(B92,""^((R\+M)|(M\+R))$"")"),FALSE)</f>
        <v>0</v>
      </c>
      <c r="J92" s="37" t="b">
        <f>IFERROR(__xludf.DUMMYFUNCTION("REGEXMATCH(B92,""^L\+R\+M$"")"),FALSE)</f>
        <v>0</v>
      </c>
    </row>
    <row r="93" ht="18.75" customHeight="1">
      <c r="A93" s="8" t="str">
        <f>Paper_Textual_Conflict!O93</f>
        <v>R</v>
      </c>
      <c r="B93" s="8" t="str">
        <f>IFERROR(__xludf.DUMMYFUNCTION("SUBSTITUTE(REGEXEXTRACT(A93,""^[^(]*""),"" "","""")"),"R")</f>
        <v>R</v>
      </c>
      <c r="C93" s="8"/>
      <c r="D93" s="37" t="b">
        <f>IFERROR(__xludf.DUMMYFUNCTION("REGEXMATCH(B93,""^L$"")"),FALSE)</f>
        <v>0</v>
      </c>
      <c r="E93" s="37" t="b">
        <f>IFERROR(__xludf.DUMMYFUNCTION("REGEXMATCH(B93,""^R$"")"),TRUE)</f>
        <v>1</v>
      </c>
      <c r="F93" s="37" t="b">
        <f>IFERROR(__xludf.DUMMYFUNCTION("REGEXMATCH(B93,""^M$"")"),FALSE)</f>
        <v>0</v>
      </c>
      <c r="G93" s="37" t="b">
        <f>IFERROR(__xludf.DUMMYFUNCTION("REGEXMATCH(B93,""^((L\+R)|(R\+L))$"")"),FALSE)</f>
        <v>0</v>
      </c>
      <c r="H93" s="37" t="b">
        <f>IFERROR(__xludf.DUMMYFUNCTION("REGEXMATCH(B93,""^((L\+M)|(M\+L))$"")"),FALSE)</f>
        <v>0</v>
      </c>
      <c r="I93" s="37" t="b">
        <f>IFERROR(__xludf.DUMMYFUNCTION("REGEXMATCH(B93,""^((R\+M)|(M\+R))$"")"),FALSE)</f>
        <v>0</v>
      </c>
      <c r="J93" s="37" t="b">
        <f>IFERROR(__xludf.DUMMYFUNCTION("REGEXMATCH(B93,""^L\+R\+M$"")"),FALSE)</f>
        <v>0</v>
      </c>
    </row>
    <row r="94" ht="18.75" customHeight="1">
      <c r="A94" s="8" t="str">
        <f>Paper_Textual_Conflict!O94</f>
        <v>L</v>
      </c>
      <c r="B94" s="8" t="str">
        <f>IFERROR(__xludf.DUMMYFUNCTION("SUBSTITUTE(REGEXEXTRACT(A94,""^[^(]*""),"" "","""")"),"L")</f>
        <v>L</v>
      </c>
      <c r="C94" s="8"/>
      <c r="D94" s="37" t="b">
        <f>IFERROR(__xludf.DUMMYFUNCTION("REGEXMATCH(B94,""^L$"")"),TRUE)</f>
        <v>1</v>
      </c>
      <c r="E94" s="37" t="b">
        <f>IFERROR(__xludf.DUMMYFUNCTION("REGEXMATCH(B94,""^R$"")"),FALSE)</f>
        <v>0</v>
      </c>
      <c r="F94" s="37" t="b">
        <f>IFERROR(__xludf.DUMMYFUNCTION("REGEXMATCH(B94,""^M$"")"),FALSE)</f>
        <v>0</v>
      </c>
      <c r="G94" s="37" t="b">
        <f>IFERROR(__xludf.DUMMYFUNCTION("REGEXMATCH(B94,""^((L\+R)|(R\+L))$"")"),FALSE)</f>
        <v>0</v>
      </c>
      <c r="H94" s="37" t="b">
        <f>IFERROR(__xludf.DUMMYFUNCTION("REGEXMATCH(B94,""^((L\+M)|(M\+L))$"")"),FALSE)</f>
        <v>0</v>
      </c>
      <c r="I94" s="37" t="b">
        <f>IFERROR(__xludf.DUMMYFUNCTION("REGEXMATCH(B94,""^((R\+M)|(M\+R))$"")"),FALSE)</f>
        <v>0</v>
      </c>
      <c r="J94" s="37" t="b">
        <f>IFERROR(__xludf.DUMMYFUNCTION("REGEXMATCH(B94,""^L\+R\+M$"")"),FALSE)</f>
        <v>0</v>
      </c>
    </row>
    <row r="95" ht="18.75" customHeight="1">
      <c r="A95" s="8" t="str">
        <f>Paper_Textual_Conflict!O95</f>
        <v>L+R</v>
      </c>
      <c r="B95" s="8" t="str">
        <f>IFERROR(__xludf.DUMMYFUNCTION("SUBSTITUTE(REGEXEXTRACT(A95,""^[^(]*""),"" "","""")"),"L+R")</f>
        <v>L+R</v>
      </c>
      <c r="C95" s="8"/>
      <c r="D95" s="37" t="b">
        <f>IFERROR(__xludf.DUMMYFUNCTION("REGEXMATCH(B95,""^L$"")"),FALSE)</f>
        <v>0</v>
      </c>
      <c r="E95" s="37" t="b">
        <f>IFERROR(__xludf.DUMMYFUNCTION("REGEXMATCH(B95,""^R$"")"),FALSE)</f>
        <v>0</v>
      </c>
      <c r="F95" s="37" t="b">
        <f>IFERROR(__xludf.DUMMYFUNCTION("REGEXMATCH(B95,""^M$"")"),FALSE)</f>
        <v>0</v>
      </c>
      <c r="G95" s="37" t="b">
        <f>IFERROR(__xludf.DUMMYFUNCTION("REGEXMATCH(B95,""^((L\+R)|(R\+L))$"")"),TRUE)</f>
        <v>1</v>
      </c>
      <c r="H95" s="37" t="b">
        <f>IFERROR(__xludf.DUMMYFUNCTION("REGEXMATCH(B95,""^((L\+M)|(M\+L))$"")"),FALSE)</f>
        <v>0</v>
      </c>
      <c r="I95" s="37" t="b">
        <f>IFERROR(__xludf.DUMMYFUNCTION("REGEXMATCH(B95,""^((R\+M)|(M\+R))$"")"),FALSE)</f>
        <v>0</v>
      </c>
      <c r="J95" s="37" t="b">
        <f>IFERROR(__xludf.DUMMYFUNCTION("REGEXMATCH(B95,""^L\+R\+M$"")"),FALSE)</f>
        <v>0</v>
      </c>
    </row>
    <row r="96" ht="18.75" customHeight="1">
      <c r="A96" s="8" t="str">
        <f>Paper_Textual_Conflict!O96</f>
        <v>L</v>
      </c>
      <c r="B96" s="8" t="str">
        <f>IFERROR(__xludf.DUMMYFUNCTION("SUBSTITUTE(REGEXEXTRACT(A96,""^[^(]*""),"" "","""")"),"L")</f>
        <v>L</v>
      </c>
      <c r="C96" s="8"/>
      <c r="D96" s="37" t="b">
        <f>IFERROR(__xludf.DUMMYFUNCTION("REGEXMATCH(B96,""^L$"")"),TRUE)</f>
        <v>1</v>
      </c>
      <c r="E96" s="37" t="b">
        <f>IFERROR(__xludf.DUMMYFUNCTION("REGEXMATCH(B96,""^R$"")"),FALSE)</f>
        <v>0</v>
      </c>
      <c r="F96" s="37" t="b">
        <f>IFERROR(__xludf.DUMMYFUNCTION("REGEXMATCH(B96,""^M$"")"),FALSE)</f>
        <v>0</v>
      </c>
      <c r="G96" s="37" t="b">
        <f>IFERROR(__xludf.DUMMYFUNCTION("REGEXMATCH(B96,""^((L\+R)|(R\+L))$"")"),FALSE)</f>
        <v>0</v>
      </c>
      <c r="H96" s="37" t="b">
        <f>IFERROR(__xludf.DUMMYFUNCTION("REGEXMATCH(B96,""^((L\+M)|(M\+L))$"")"),FALSE)</f>
        <v>0</v>
      </c>
      <c r="I96" s="37" t="b">
        <f>IFERROR(__xludf.DUMMYFUNCTION("REGEXMATCH(B96,""^((R\+M)|(M\+R))$"")"),FALSE)</f>
        <v>0</v>
      </c>
      <c r="J96" s="37" t="b">
        <f>IFERROR(__xludf.DUMMYFUNCTION("REGEXMATCH(B96,""^L\+R\+M$"")"),FALSE)</f>
        <v>0</v>
      </c>
    </row>
    <row r="97" ht="18.75" customHeight="1">
      <c r="A97" s="8" t="str">
        <f>Paper_Textual_Conflict!O97</f>
        <v>R</v>
      </c>
      <c r="B97" s="8" t="str">
        <f>IFERROR(__xludf.DUMMYFUNCTION("SUBSTITUTE(REGEXEXTRACT(A97,""^[^(]*""),"" "","""")"),"R")</f>
        <v>R</v>
      </c>
      <c r="C97" s="8"/>
      <c r="D97" s="37" t="b">
        <f>IFERROR(__xludf.DUMMYFUNCTION("REGEXMATCH(B97,""^L$"")"),FALSE)</f>
        <v>0</v>
      </c>
      <c r="E97" s="37" t="b">
        <f>IFERROR(__xludf.DUMMYFUNCTION("REGEXMATCH(B97,""^R$"")"),TRUE)</f>
        <v>1</v>
      </c>
      <c r="F97" s="37" t="b">
        <f>IFERROR(__xludf.DUMMYFUNCTION("REGEXMATCH(B97,""^M$"")"),FALSE)</f>
        <v>0</v>
      </c>
      <c r="G97" s="37" t="b">
        <f>IFERROR(__xludf.DUMMYFUNCTION("REGEXMATCH(B97,""^((L\+R)|(R\+L))$"")"),FALSE)</f>
        <v>0</v>
      </c>
      <c r="H97" s="37" t="b">
        <f>IFERROR(__xludf.DUMMYFUNCTION("REGEXMATCH(B97,""^((L\+M)|(M\+L))$"")"),FALSE)</f>
        <v>0</v>
      </c>
      <c r="I97" s="37" t="b">
        <f>IFERROR(__xludf.DUMMYFUNCTION("REGEXMATCH(B97,""^((R\+M)|(M\+R))$"")"),FALSE)</f>
        <v>0</v>
      </c>
      <c r="J97" s="37" t="b">
        <f>IFERROR(__xludf.DUMMYFUNCTION("REGEXMATCH(B97,""^L\+R\+M$"")"),FALSE)</f>
        <v>0</v>
      </c>
    </row>
    <row r="98" ht="18.75" customHeight="1">
      <c r="A98" s="8" t="str">
        <f>Paper_Textual_Conflict!O98</f>
        <v>R</v>
      </c>
      <c r="B98" s="8" t="str">
        <f>IFERROR(__xludf.DUMMYFUNCTION("SUBSTITUTE(REGEXEXTRACT(A98,""^[^(]*""),"" "","""")"),"R")</f>
        <v>R</v>
      </c>
      <c r="C98" s="8"/>
      <c r="D98" s="37" t="b">
        <f>IFERROR(__xludf.DUMMYFUNCTION("REGEXMATCH(B98,""^L$"")"),FALSE)</f>
        <v>0</v>
      </c>
      <c r="E98" s="37" t="b">
        <f>IFERROR(__xludf.DUMMYFUNCTION("REGEXMATCH(B98,""^R$"")"),TRUE)</f>
        <v>1</v>
      </c>
      <c r="F98" s="37" t="b">
        <f>IFERROR(__xludf.DUMMYFUNCTION("REGEXMATCH(B98,""^M$"")"),FALSE)</f>
        <v>0</v>
      </c>
      <c r="G98" s="37" t="b">
        <f>IFERROR(__xludf.DUMMYFUNCTION("REGEXMATCH(B98,""^((L\+R)|(R\+L))$"")"),FALSE)</f>
        <v>0</v>
      </c>
      <c r="H98" s="37" t="b">
        <f>IFERROR(__xludf.DUMMYFUNCTION("REGEXMATCH(B98,""^((L\+M)|(M\+L))$"")"),FALSE)</f>
        <v>0</v>
      </c>
      <c r="I98" s="37" t="b">
        <f>IFERROR(__xludf.DUMMYFUNCTION("REGEXMATCH(B98,""^((R\+M)|(M\+R))$"")"),FALSE)</f>
        <v>0</v>
      </c>
      <c r="J98" s="37" t="b">
        <f>IFERROR(__xludf.DUMMYFUNCTION("REGEXMATCH(B98,""^L\+R\+M$"")"),FALSE)</f>
        <v>0</v>
      </c>
    </row>
    <row r="99" ht="18.75" customHeight="1">
      <c r="A99" s="8" t="str">
        <f>Paper_Textual_Conflict!O99</f>
        <v>R</v>
      </c>
      <c r="B99" s="8" t="str">
        <f>IFERROR(__xludf.DUMMYFUNCTION("SUBSTITUTE(REGEXEXTRACT(A99,""^[^(]*""),"" "","""")"),"R")</f>
        <v>R</v>
      </c>
      <c r="C99" s="8"/>
      <c r="D99" s="37" t="b">
        <f>IFERROR(__xludf.DUMMYFUNCTION("REGEXMATCH(B99,""^L$"")"),FALSE)</f>
        <v>0</v>
      </c>
      <c r="E99" s="37" t="b">
        <f>IFERROR(__xludf.DUMMYFUNCTION("REGEXMATCH(B99,""^R$"")"),TRUE)</f>
        <v>1</v>
      </c>
      <c r="F99" s="37" t="b">
        <f>IFERROR(__xludf.DUMMYFUNCTION("REGEXMATCH(B99,""^M$"")"),FALSE)</f>
        <v>0</v>
      </c>
      <c r="G99" s="37" t="b">
        <f>IFERROR(__xludf.DUMMYFUNCTION("REGEXMATCH(B99,""^((L\+R)|(R\+L))$"")"),FALSE)</f>
        <v>0</v>
      </c>
      <c r="H99" s="37" t="b">
        <f>IFERROR(__xludf.DUMMYFUNCTION("REGEXMATCH(B99,""^((L\+M)|(M\+L))$"")"),FALSE)</f>
        <v>0</v>
      </c>
      <c r="I99" s="37" t="b">
        <f>IFERROR(__xludf.DUMMYFUNCTION("REGEXMATCH(B99,""^((R\+M)|(M\+R))$"")"),FALSE)</f>
        <v>0</v>
      </c>
      <c r="J99" s="37" t="b">
        <f>IFERROR(__xludf.DUMMYFUNCTION("REGEXMATCH(B99,""^L\+R\+M$"")"),FALSE)</f>
        <v>0</v>
      </c>
    </row>
    <row r="100" ht="18.75" customHeight="1">
      <c r="A100" s="8" t="str">
        <f>Paper_Textual_Conflict!O100</f>
        <v>R</v>
      </c>
      <c r="B100" s="8" t="str">
        <f>IFERROR(__xludf.DUMMYFUNCTION("SUBSTITUTE(REGEXEXTRACT(A100,""^[^(]*""),"" "","""")"),"R")</f>
        <v>R</v>
      </c>
      <c r="C100" s="8"/>
      <c r="D100" s="37" t="b">
        <f>IFERROR(__xludf.DUMMYFUNCTION("REGEXMATCH(B100,""^L$"")"),FALSE)</f>
        <v>0</v>
      </c>
      <c r="E100" s="37" t="b">
        <f>IFERROR(__xludf.DUMMYFUNCTION("REGEXMATCH(B100,""^R$"")"),TRUE)</f>
        <v>1</v>
      </c>
      <c r="F100" s="37" t="b">
        <f>IFERROR(__xludf.DUMMYFUNCTION("REGEXMATCH(B100,""^M$"")"),FALSE)</f>
        <v>0</v>
      </c>
      <c r="G100" s="37" t="b">
        <f>IFERROR(__xludf.DUMMYFUNCTION("REGEXMATCH(B100,""^((L\+R)|(R\+L))$"")"),FALSE)</f>
        <v>0</v>
      </c>
      <c r="H100" s="37" t="b">
        <f>IFERROR(__xludf.DUMMYFUNCTION("REGEXMATCH(B100,""^((L\+M)|(M\+L))$"")"),FALSE)</f>
        <v>0</v>
      </c>
      <c r="I100" s="37" t="b">
        <f>IFERROR(__xludf.DUMMYFUNCTION("REGEXMATCH(B100,""^((R\+M)|(M\+R))$"")"),FALSE)</f>
        <v>0</v>
      </c>
      <c r="J100" s="37" t="b">
        <f>IFERROR(__xludf.DUMMYFUNCTION("REGEXMATCH(B100,""^L\+R\+M$"")"),FALSE)</f>
        <v>0</v>
      </c>
    </row>
    <row r="101" ht="18.75" customHeight="1">
      <c r="A101" s="8" t="str">
        <f>Paper_Textual_Conflict!O101</f>
        <v>L</v>
      </c>
      <c r="B101" s="8" t="str">
        <f>IFERROR(__xludf.DUMMYFUNCTION("SUBSTITUTE(REGEXEXTRACT(A101,""^[^(]*""),"" "","""")"),"L")</f>
        <v>L</v>
      </c>
      <c r="C101" s="8"/>
      <c r="D101" s="37" t="b">
        <f>IFERROR(__xludf.DUMMYFUNCTION("REGEXMATCH(B101,""^L$"")"),TRUE)</f>
        <v>1</v>
      </c>
      <c r="E101" s="37" t="b">
        <f>IFERROR(__xludf.DUMMYFUNCTION("REGEXMATCH(B101,""^R$"")"),FALSE)</f>
        <v>0</v>
      </c>
      <c r="F101" s="37" t="b">
        <f>IFERROR(__xludf.DUMMYFUNCTION("REGEXMATCH(B101,""^M$"")"),FALSE)</f>
        <v>0</v>
      </c>
      <c r="G101" s="37" t="b">
        <f>IFERROR(__xludf.DUMMYFUNCTION("REGEXMATCH(B101,""^((L\+R)|(R\+L))$"")"),FALSE)</f>
        <v>0</v>
      </c>
      <c r="H101" s="37" t="b">
        <f>IFERROR(__xludf.DUMMYFUNCTION("REGEXMATCH(B101,""^((L\+M)|(M\+L))$"")"),FALSE)</f>
        <v>0</v>
      </c>
      <c r="I101" s="37" t="b">
        <f>IFERROR(__xludf.DUMMYFUNCTION("REGEXMATCH(B101,""^((R\+M)|(M\+R))$"")"),FALSE)</f>
        <v>0</v>
      </c>
      <c r="J101" s="37" t="b">
        <f>IFERROR(__xludf.DUMMYFUNCTION("REGEXMATCH(B101,""^L\+R\+M$"")"),FALSE)</f>
        <v>0</v>
      </c>
    </row>
    <row r="102" ht="18.75" customHeight="1">
      <c r="A102" s="8" t="str">
        <f>Paper_Textual_Conflict!O102</f>
        <v>L</v>
      </c>
      <c r="B102" s="8" t="str">
        <f>IFERROR(__xludf.DUMMYFUNCTION("SUBSTITUTE(REGEXEXTRACT(A102,""^[^(]*""),"" "","""")"),"L")</f>
        <v>L</v>
      </c>
      <c r="C102" s="8"/>
      <c r="D102" s="37" t="b">
        <f>IFERROR(__xludf.DUMMYFUNCTION("REGEXMATCH(B102,""^L$"")"),TRUE)</f>
        <v>1</v>
      </c>
      <c r="E102" s="37" t="b">
        <f>IFERROR(__xludf.DUMMYFUNCTION("REGEXMATCH(B102,""^R$"")"),FALSE)</f>
        <v>0</v>
      </c>
      <c r="F102" s="37" t="b">
        <f>IFERROR(__xludf.DUMMYFUNCTION("REGEXMATCH(B102,""^M$"")"),FALSE)</f>
        <v>0</v>
      </c>
      <c r="G102" s="37" t="b">
        <f>IFERROR(__xludf.DUMMYFUNCTION("REGEXMATCH(B102,""^((L\+R)|(R\+L))$"")"),FALSE)</f>
        <v>0</v>
      </c>
      <c r="H102" s="37" t="b">
        <f>IFERROR(__xludf.DUMMYFUNCTION("REGEXMATCH(B102,""^((L\+M)|(M\+L))$"")"),FALSE)</f>
        <v>0</v>
      </c>
      <c r="I102" s="37" t="b">
        <f>IFERROR(__xludf.DUMMYFUNCTION("REGEXMATCH(B102,""^((R\+M)|(M\+R))$"")"),FALSE)</f>
        <v>0</v>
      </c>
      <c r="J102" s="37" t="b">
        <f>IFERROR(__xludf.DUMMYFUNCTION("REGEXMATCH(B102,""^L\+R\+M$"")"),FALSE)</f>
        <v>0</v>
      </c>
    </row>
    <row r="103" ht="18.75" customHeight="1">
      <c r="A103" s="8" t="str">
        <f>Paper_Textual_Conflict!O103</f>
        <v>L+R</v>
      </c>
      <c r="B103" s="8" t="str">
        <f>IFERROR(__xludf.DUMMYFUNCTION("SUBSTITUTE(REGEXEXTRACT(A103,""^[^(]*""),"" "","""")"),"L+R")</f>
        <v>L+R</v>
      </c>
      <c r="C103" s="8"/>
      <c r="D103" s="37" t="b">
        <f>IFERROR(__xludf.DUMMYFUNCTION("REGEXMATCH(B103,""^L$"")"),FALSE)</f>
        <v>0</v>
      </c>
      <c r="E103" s="37" t="b">
        <f>IFERROR(__xludf.DUMMYFUNCTION("REGEXMATCH(B103,""^R$"")"),FALSE)</f>
        <v>0</v>
      </c>
      <c r="F103" s="37" t="b">
        <f>IFERROR(__xludf.DUMMYFUNCTION("REGEXMATCH(B103,""^M$"")"),FALSE)</f>
        <v>0</v>
      </c>
      <c r="G103" s="37" t="b">
        <f>IFERROR(__xludf.DUMMYFUNCTION("REGEXMATCH(B103,""^((L\+R)|(R\+L))$"")"),TRUE)</f>
        <v>1</v>
      </c>
      <c r="H103" s="37" t="b">
        <f>IFERROR(__xludf.DUMMYFUNCTION("REGEXMATCH(B103,""^((L\+M)|(M\+L))$"")"),FALSE)</f>
        <v>0</v>
      </c>
      <c r="I103" s="37" t="b">
        <f>IFERROR(__xludf.DUMMYFUNCTION("REGEXMATCH(B103,""^((R\+M)|(M\+R))$"")"),FALSE)</f>
        <v>0</v>
      </c>
      <c r="J103" s="37" t="b">
        <f>IFERROR(__xludf.DUMMYFUNCTION("REGEXMATCH(B103,""^L\+R\+M$"")"),FALSE)</f>
        <v>0</v>
      </c>
    </row>
    <row r="104" ht="18.75" customHeight="1">
      <c r="A104" s="8" t="str">
        <f>Paper_Textual_Conflict!O104</f>
        <v>R</v>
      </c>
      <c r="B104" s="8" t="str">
        <f>IFERROR(__xludf.DUMMYFUNCTION("SUBSTITUTE(REGEXEXTRACT(A104,""^[^(]*""),"" "","""")"),"R")</f>
        <v>R</v>
      </c>
      <c r="C104" s="8"/>
      <c r="D104" s="37" t="b">
        <f>IFERROR(__xludf.DUMMYFUNCTION("REGEXMATCH(B104,""^L$"")"),FALSE)</f>
        <v>0</v>
      </c>
      <c r="E104" s="37" t="b">
        <f>IFERROR(__xludf.DUMMYFUNCTION("REGEXMATCH(B104,""^R$"")"),TRUE)</f>
        <v>1</v>
      </c>
      <c r="F104" s="37" t="b">
        <f>IFERROR(__xludf.DUMMYFUNCTION("REGEXMATCH(B104,""^M$"")"),FALSE)</f>
        <v>0</v>
      </c>
      <c r="G104" s="37" t="b">
        <f>IFERROR(__xludf.DUMMYFUNCTION("REGEXMATCH(B104,""^((L\+R)|(R\+L))$"")"),FALSE)</f>
        <v>0</v>
      </c>
      <c r="H104" s="37" t="b">
        <f>IFERROR(__xludf.DUMMYFUNCTION("REGEXMATCH(B104,""^((L\+M)|(M\+L))$"")"),FALSE)</f>
        <v>0</v>
      </c>
      <c r="I104" s="37" t="b">
        <f>IFERROR(__xludf.DUMMYFUNCTION("REGEXMATCH(B104,""^((R\+M)|(M\+R))$"")"),FALSE)</f>
        <v>0</v>
      </c>
      <c r="J104" s="37" t="b">
        <f>IFERROR(__xludf.DUMMYFUNCTION("REGEXMATCH(B104,""^L\+R\+M$"")"),FALSE)</f>
        <v>0</v>
      </c>
    </row>
    <row r="105" ht="18.75" customHeight="1">
      <c r="A105" s="8" t="str">
        <f>Paper_Textual_Conflict!O105</f>
        <v>L</v>
      </c>
      <c r="B105" s="8" t="str">
        <f>IFERROR(__xludf.DUMMYFUNCTION("SUBSTITUTE(REGEXEXTRACT(A105,""^[^(]*""),"" "","""")"),"L")</f>
        <v>L</v>
      </c>
      <c r="C105" s="8"/>
      <c r="D105" s="37" t="b">
        <f>IFERROR(__xludf.DUMMYFUNCTION("REGEXMATCH(B105,""^L$"")"),TRUE)</f>
        <v>1</v>
      </c>
      <c r="E105" s="37" t="b">
        <f>IFERROR(__xludf.DUMMYFUNCTION("REGEXMATCH(B105,""^R$"")"),FALSE)</f>
        <v>0</v>
      </c>
      <c r="F105" s="37" t="b">
        <f>IFERROR(__xludf.DUMMYFUNCTION("REGEXMATCH(B105,""^M$"")"),FALSE)</f>
        <v>0</v>
      </c>
      <c r="G105" s="37" t="b">
        <f>IFERROR(__xludf.DUMMYFUNCTION("REGEXMATCH(B105,""^((L\+R)|(R\+L))$"")"),FALSE)</f>
        <v>0</v>
      </c>
      <c r="H105" s="37" t="b">
        <f>IFERROR(__xludf.DUMMYFUNCTION("REGEXMATCH(B105,""^((L\+M)|(M\+L))$"")"),FALSE)</f>
        <v>0</v>
      </c>
      <c r="I105" s="37" t="b">
        <f>IFERROR(__xludf.DUMMYFUNCTION("REGEXMATCH(B105,""^((R\+M)|(M\+R))$"")"),FALSE)</f>
        <v>0</v>
      </c>
      <c r="J105" s="37" t="b">
        <f>IFERROR(__xludf.DUMMYFUNCTION("REGEXMATCH(B105,""^L\+R\+M$"")"),FALSE)</f>
        <v>0</v>
      </c>
    </row>
    <row r="106" ht="18.75" customHeight="1">
      <c r="A106" s="8" t="str">
        <f>Paper_Textual_Conflict!O106</f>
        <v>L</v>
      </c>
      <c r="B106" s="8" t="str">
        <f>IFERROR(__xludf.DUMMYFUNCTION("SUBSTITUTE(REGEXEXTRACT(A106,""^[^(]*""),"" "","""")"),"L")</f>
        <v>L</v>
      </c>
      <c r="C106" s="8"/>
      <c r="D106" s="37" t="b">
        <f>IFERROR(__xludf.DUMMYFUNCTION("REGEXMATCH(B106,""^L$"")"),TRUE)</f>
        <v>1</v>
      </c>
      <c r="E106" s="37" t="b">
        <f>IFERROR(__xludf.DUMMYFUNCTION("REGEXMATCH(B106,""^R$"")"),FALSE)</f>
        <v>0</v>
      </c>
      <c r="F106" s="37" t="b">
        <f>IFERROR(__xludf.DUMMYFUNCTION("REGEXMATCH(B106,""^M$"")"),FALSE)</f>
        <v>0</v>
      </c>
      <c r="G106" s="37" t="b">
        <f>IFERROR(__xludf.DUMMYFUNCTION("REGEXMATCH(B106,""^((L\+R)|(R\+L))$"")"),FALSE)</f>
        <v>0</v>
      </c>
      <c r="H106" s="37" t="b">
        <f>IFERROR(__xludf.DUMMYFUNCTION("REGEXMATCH(B106,""^((L\+M)|(M\+L))$"")"),FALSE)</f>
        <v>0</v>
      </c>
      <c r="I106" s="37" t="b">
        <f>IFERROR(__xludf.DUMMYFUNCTION("REGEXMATCH(B106,""^((R\+M)|(M\+R))$"")"),FALSE)</f>
        <v>0</v>
      </c>
      <c r="J106" s="37" t="b">
        <f>IFERROR(__xludf.DUMMYFUNCTION("REGEXMATCH(B106,""^L\+R\+M$"")"),FALSE)</f>
        <v>0</v>
      </c>
    </row>
    <row r="107" ht="18.75" customHeight="1">
      <c r="A107" s="8" t="str">
        <f>Paper_Textual_Conflict!O107</f>
        <v>R</v>
      </c>
      <c r="B107" s="8" t="str">
        <f>IFERROR(__xludf.DUMMYFUNCTION("SUBSTITUTE(REGEXEXTRACT(A107,""^[^(]*""),"" "","""")"),"R")</f>
        <v>R</v>
      </c>
      <c r="C107" s="8"/>
      <c r="D107" s="37" t="b">
        <f>IFERROR(__xludf.DUMMYFUNCTION("REGEXMATCH(B107,""^L$"")"),FALSE)</f>
        <v>0</v>
      </c>
      <c r="E107" s="37" t="b">
        <f>IFERROR(__xludf.DUMMYFUNCTION("REGEXMATCH(B107,""^R$"")"),TRUE)</f>
        <v>1</v>
      </c>
      <c r="F107" s="37" t="b">
        <f>IFERROR(__xludf.DUMMYFUNCTION("REGEXMATCH(B107,""^M$"")"),FALSE)</f>
        <v>0</v>
      </c>
      <c r="G107" s="37" t="b">
        <f>IFERROR(__xludf.DUMMYFUNCTION("REGEXMATCH(B107,""^((L\+R)|(R\+L))$"")"),FALSE)</f>
        <v>0</v>
      </c>
      <c r="H107" s="37" t="b">
        <f>IFERROR(__xludf.DUMMYFUNCTION("REGEXMATCH(B107,""^((L\+M)|(M\+L))$"")"),FALSE)</f>
        <v>0</v>
      </c>
      <c r="I107" s="37" t="b">
        <f>IFERROR(__xludf.DUMMYFUNCTION("REGEXMATCH(B107,""^((R\+M)|(M\+R))$"")"),FALSE)</f>
        <v>0</v>
      </c>
      <c r="J107" s="37" t="b">
        <f>IFERROR(__xludf.DUMMYFUNCTION("REGEXMATCH(B107,""^L\+R\+M$"")"),FALSE)</f>
        <v>0</v>
      </c>
    </row>
    <row r="108" ht="18.75" customHeight="1">
      <c r="A108" s="8" t="str">
        <f>Paper_Textual_Conflict!O108</f>
        <v>L</v>
      </c>
      <c r="B108" s="8" t="str">
        <f>IFERROR(__xludf.DUMMYFUNCTION("SUBSTITUTE(REGEXEXTRACT(A108,""^[^(]*""),"" "","""")"),"L")</f>
        <v>L</v>
      </c>
      <c r="C108" s="8"/>
      <c r="D108" s="37" t="b">
        <f>IFERROR(__xludf.DUMMYFUNCTION("REGEXMATCH(B108,""^L$"")"),TRUE)</f>
        <v>1</v>
      </c>
      <c r="E108" s="37" t="b">
        <f>IFERROR(__xludf.DUMMYFUNCTION("REGEXMATCH(B108,""^R$"")"),FALSE)</f>
        <v>0</v>
      </c>
      <c r="F108" s="37" t="b">
        <f>IFERROR(__xludf.DUMMYFUNCTION("REGEXMATCH(B108,""^M$"")"),FALSE)</f>
        <v>0</v>
      </c>
      <c r="G108" s="37" t="b">
        <f>IFERROR(__xludf.DUMMYFUNCTION("REGEXMATCH(B108,""^((L\+R)|(R\+L))$"")"),FALSE)</f>
        <v>0</v>
      </c>
      <c r="H108" s="37" t="b">
        <f>IFERROR(__xludf.DUMMYFUNCTION("REGEXMATCH(B108,""^((L\+M)|(M\+L))$"")"),FALSE)</f>
        <v>0</v>
      </c>
      <c r="I108" s="37" t="b">
        <f>IFERROR(__xludf.DUMMYFUNCTION("REGEXMATCH(B108,""^((R\+M)|(M\+R))$"")"),FALSE)</f>
        <v>0</v>
      </c>
      <c r="J108" s="37" t="b">
        <f>IFERROR(__xludf.DUMMYFUNCTION("REGEXMATCH(B108,""^L\+R\+M$"")"),FALSE)</f>
        <v>0</v>
      </c>
    </row>
    <row r="109" ht="18.75" customHeight="1">
      <c r="A109" s="8" t="str">
        <f>Paper_Textual_Conflict!O109</f>
        <v>R+M</v>
      </c>
      <c r="B109" s="8" t="str">
        <f>IFERROR(__xludf.DUMMYFUNCTION("SUBSTITUTE(REGEXEXTRACT(A109,""^[^(]*""),"" "","""")"),"R+M")</f>
        <v>R+M</v>
      </c>
      <c r="C109" s="8"/>
      <c r="D109" s="37" t="b">
        <f>IFERROR(__xludf.DUMMYFUNCTION("REGEXMATCH(B109,""^L$"")"),FALSE)</f>
        <v>0</v>
      </c>
      <c r="E109" s="37" t="b">
        <f>IFERROR(__xludf.DUMMYFUNCTION("REGEXMATCH(B109,""^R$"")"),FALSE)</f>
        <v>0</v>
      </c>
      <c r="F109" s="37" t="b">
        <f>IFERROR(__xludf.DUMMYFUNCTION("REGEXMATCH(B109,""^M$"")"),FALSE)</f>
        <v>0</v>
      </c>
      <c r="G109" s="37" t="b">
        <f>IFERROR(__xludf.DUMMYFUNCTION("REGEXMATCH(B109,""^((L\+R)|(R\+L))$"")"),FALSE)</f>
        <v>0</v>
      </c>
      <c r="H109" s="37" t="b">
        <f>IFERROR(__xludf.DUMMYFUNCTION("REGEXMATCH(B109,""^((L\+M)|(M\+L))$"")"),FALSE)</f>
        <v>0</v>
      </c>
      <c r="I109" s="37" t="b">
        <f>IFERROR(__xludf.DUMMYFUNCTION("REGEXMATCH(B109,""^((R\+M)|(M\+R))$"")"),TRUE)</f>
        <v>1</v>
      </c>
      <c r="J109" s="37" t="b">
        <f>IFERROR(__xludf.DUMMYFUNCTION("REGEXMATCH(B109,""^L\+R\+M$"")"),FALSE)</f>
        <v>0</v>
      </c>
    </row>
    <row r="110" ht="18.75" customHeight="1">
      <c r="A110" s="8" t="str">
        <f>Paper_Textual_Conflict!O110</f>
        <v>R</v>
      </c>
      <c r="B110" s="8" t="str">
        <f>IFERROR(__xludf.DUMMYFUNCTION("SUBSTITUTE(REGEXEXTRACT(A110,""^[^(]*""),"" "","""")"),"R")</f>
        <v>R</v>
      </c>
      <c r="C110" s="8"/>
      <c r="D110" s="37" t="b">
        <f>IFERROR(__xludf.DUMMYFUNCTION("REGEXMATCH(B110,""^L$"")"),FALSE)</f>
        <v>0</v>
      </c>
      <c r="E110" s="37" t="b">
        <f>IFERROR(__xludf.DUMMYFUNCTION("REGEXMATCH(B110,""^R$"")"),TRUE)</f>
        <v>1</v>
      </c>
      <c r="F110" s="37" t="b">
        <f>IFERROR(__xludf.DUMMYFUNCTION("REGEXMATCH(B110,""^M$"")"),FALSE)</f>
        <v>0</v>
      </c>
      <c r="G110" s="37" t="b">
        <f>IFERROR(__xludf.DUMMYFUNCTION("REGEXMATCH(B110,""^((L\+R)|(R\+L))$"")"),FALSE)</f>
        <v>0</v>
      </c>
      <c r="H110" s="37" t="b">
        <f>IFERROR(__xludf.DUMMYFUNCTION("REGEXMATCH(B110,""^((L\+M)|(M\+L))$"")"),FALSE)</f>
        <v>0</v>
      </c>
      <c r="I110" s="37" t="b">
        <f>IFERROR(__xludf.DUMMYFUNCTION("REGEXMATCH(B110,""^((R\+M)|(M\+R))$"")"),FALSE)</f>
        <v>0</v>
      </c>
      <c r="J110" s="37" t="b">
        <f>IFERROR(__xludf.DUMMYFUNCTION("REGEXMATCH(B110,""^L\+R\+M$"")"),FALSE)</f>
        <v>0</v>
      </c>
    </row>
    <row r="111" ht="18.75" customHeight="1">
      <c r="A111" s="8" t="str">
        <f>Paper_Textual_Conflict!O111</f>
        <v>L+R</v>
      </c>
      <c r="B111" s="8" t="str">
        <f>IFERROR(__xludf.DUMMYFUNCTION("SUBSTITUTE(REGEXEXTRACT(A111,""^[^(]*""),"" "","""")"),"L+R")</f>
        <v>L+R</v>
      </c>
      <c r="C111" s="8"/>
      <c r="D111" s="37" t="b">
        <f>IFERROR(__xludf.DUMMYFUNCTION("REGEXMATCH(B111,""^L$"")"),FALSE)</f>
        <v>0</v>
      </c>
      <c r="E111" s="37" t="b">
        <f>IFERROR(__xludf.DUMMYFUNCTION("REGEXMATCH(B111,""^R$"")"),FALSE)</f>
        <v>0</v>
      </c>
      <c r="F111" s="37" t="b">
        <f>IFERROR(__xludf.DUMMYFUNCTION("REGEXMATCH(B111,""^M$"")"),FALSE)</f>
        <v>0</v>
      </c>
      <c r="G111" s="37" t="b">
        <f>IFERROR(__xludf.DUMMYFUNCTION("REGEXMATCH(B111,""^((L\+R)|(R\+L))$"")"),TRUE)</f>
        <v>1</v>
      </c>
      <c r="H111" s="37" t="b">
        <f>IFERROR(__xludf.DUMMYFUNCTION("REGEXMATCH(B111,""^((L\+M)|(M\+L))$"")"),FALSE)</f>
        <v>0</v>
      </c>
      <c r="I111" s="37" t="b">
        <f>IFERROR(__xludf.DUMMYFUNCTION("REGEXMATCH(B111,""^((R\+M)|(M\+R))$"")"),FALSE)</f>
        <v>0</v>
      </c>
      <c r="J111" s="37" t="b">
        <f>IFERROR(__xludf.DUMMYFUNCTION("REGEXMATCH(B111,""^L\+R\+M$"")"),FALSE)</f>
        <v>0</v>
      </c>
    </row>
    <row r="112" ht="18.75" customHeight="1">
      <c r="A112" s="8" t="str">
        <f>Paper_Textual_Conflict!O112</f>
        <v>L+R</v>
      </c>
      <c r="B112" s="8" t="str">
        <f>IFERROR(__xludf.DUMMYFUNCTION("SUBSTITUTE(REGEXEXTRACT(A112,""^[^(]*""),"" "","""")"),"L+R")</f>
        <v>L+R</v>
      </c>
      <c r="C112" s="8"/>
      <c r="D112" s="37" t="b">
        <f>IFERROR(__xludf.DUMMYFUNCTION("REGEXMATCH(B112,""^L$"")"),FALSE)</f>
        <v>0</v>
      </c>
      <c r="E112" s="37" t="b">
        <f>IFERROR(__xludf.DUMMYFUNCTION("REGEXMATCH(B112,""^R$"")"),FALSE)</f>
        <v>0</v>
      </c>
      <c r="F112" s="37" t="b">
        <f>IFERROR(__xludf.DUMMYFUNCTION("REGEXMATCH(B112,""^M$"")"),FALSE)</f>
        <v>0</v>
      </c>
      <c r="G112" s="37" t="b">
        <f>IFERROR(__xludf.DUMMYFUNCTION("REGEXMATCH(B112,""^((L\+R)|(R\+L))$"")"),TRUE)</f>
        <v>1</v>
      </c>
      <c r="H112" s="37" t="b">
        <f>IFERROR(__xludf.DUMMYFUNCTION("REGEXMATCH(B112,""^((L\+M)|(M\+L))$"")"),FALSE)</f>
        <v>0</v>
      </c>
      <c r="I112" s="37" t="b">
        <f>IFERROR(__xludf.DUMMYFUNCTION("REGEXMATCH(B112,""^((R\+M)|(M\+R))$"")"),FALSE)</f>
        <v>0</v>
      </c>
      <c r="J112" s="37" t="b">
        <f>IFERROR(__xludf.DUMMYFUNCTION("REGEXMATCH(B112,""^L\+R\+M$"")"),FALSE)</f>
        <v>0</v>
      </c>
    </row>
    <row r="113" ht="18.75" customHeight="1">
      <c r="A113" s="8" t="str">
        <f>Paper_Textual_Conflict!O113</f>
        <v>L+R+M</v>
      </c>
      <c r="B113" s="8" t="str">
        <f>IFERROR(__xludf.DUMMYFUNCTION("SUBSTITUTE(REGEXEXTRACT(A113,""^[^(]*""),"" "","""")"),"L+R+M")</f>
        <v>L+R+M</v>
      </c>
      <c r="C113" s="8"/>
      <c r="D113" s="37" t="b">
        <f>IFERROR(__xludf.DUMMYFUNCTION("REGEXMATCH(B113,""^L$"")"),FALSE)</f>
        <v>0</v>
      </c>
      <c r="E113" s="37" t="b">
        <f>IFERROR(__xludf.DUMMYFUNCTION("REGEXMATCH(B113,""^R$"")"),FALSE)</f>
        <v>0</v>
      </c>
      <c r="F113" s="37" t="b">
        <f>IFERROR(__xludf.DUMMYFUNCTION("REGEXMATCH(B113,""^M$"")"),FALSE)</f>
        <v>0</v>
      </c>
      <c r="G113" s="37" t="b">
        <f>IFERROR(__xludf.DUMMYFUNCTION("REGEXMATCH(B113,""^((L\+R)|(R\+L))$"")"),FALSE)</f>
        <v>0</v>
      </c>
      <c r="H113" s="37" t="b">
        <f>IFERROR(__xludf.DUMMYFUNCTION("REGEXMATCH(B113,""^((L\+M)|(M\+L))$"")"),FALSE)</f>
        <v>0</v>
      </c>
      <c r="I113" s="37" t="b">
        <f>IFERROR(__xludf.DUMMYFUNCTION("REGEXMATCH(B113,""^((R\+M)|(M\+R))$"")"),FALSE)</f>
        <v>0</v>
      </c>
      <c r="J113" s="37" t="b">
        <f>IFERROR(__xludf.DUMMYFUNCTION("REGEXMATCH(B113,""^L\+R\+M$"")"),TRUE)</f>
        <v>1</v>
      </c>
    </row>
    <row r="114" ht="18.75" customHeight="1">
      <c r="A114" s="8" t="str">
        <f>Paper_Textual_Conflict!O114</f>
        <v>L</v>
      </c>
      <c r="B114" s="8" t="str">
        <f>IFERROR(__xludf.DUMMYFUNCTION("SUBSTITUTE(REGEXEXTRACT(A114,""^[^(]*""),"" "","""")"),"L")</f>
        <v>L</v>
      </c>
      <c r="C114" s="8"/>
      <c r="D114" s="37" t="b">
        <f>IFERROR(__xludf.DUMMYFUNCTION("REGEXMATCH(B114,""^L$"")"),TRUE)</f>
        <v>1</v>
      </c>
      <c r="E114" s="37" t="b">
        <f>IFERROR(__xludf.DUMMYFUNCTION("REGEXMATCH(B114,""^R$"")"),FALSE)</f>
        <v>0</v>
      </c>
      <c r="F114" s="37" t="b">
        <f>IFERROR(__xludf.DUMMYFUNCTION("REGEXMATCH(B114,""^M$"")"),FALSE)</f>
        <v>0</v>
      </c>
      <c r="G114" s="37" t="b">
        <f>IFERROR(__xludf.DUMMYFUNCTION("REGEXMATCH(B114,""^((L\+R)|(R\+L))$"")"),FALSE)</f>
        <v>0</v>
      </c>
      <c r="H114" s="37" t="b">
        <f>IFERROR(__xludf.DUMMYFUNCTION("REGEXMATCH(B114,""^((L\+M)|(M\+L))$"")"),FALSE)</f>
        <v>0</v>
      </c>
      <c r="I114" s="37" t="b">
        <f>IFERROR(__xludf.DUMMYFUNCTION("REGEXMATCH(B114,""^((R\+M)|(M\+R))$"")"),FALSE)</f>
        <v>0</v>
      </c>
      <c r="J114" s="37" t="b">
        <f>IFERROR(__xludf.DUMMYFUNCTION("REGEXMATCH(B114,""^L\+R\+M$"")"),FALSE)</f>
        <v>0</v>
      </c>
    </row>
    <row r="115" ht="18.75" customHeight="1">
      <c r="A115" s="8" t="str">
        <f>Paper_Textual_Conflict!O115</f>
        <v>R</v>
      </c>
      <c r="B115" s="8" t="str">
        <f>IFERROR(__xludf.DUMMYFUNCTION("SUBSTITUTE(REGEXEXTRACT(A115,""^[^(]*""),"" "","""")"),"R")</f>
        <v>R</v>
      </c>
      <c r="C115" s="8"/>
      <c r="D115" s="37" t="b">
        <f>IFERROR(__xludf.DUMMYFUNCTION("REGEXMATCH(B115,""^L$"")"),FALSE)</f>
        <v>0</v>
      </c>
      <c r="E115" s="37" t="b">
        <f>IFERROR(__xludf.DUMMYFUNCTION("REGEXMATCH(B115,""^R$"")"),TRUE)</f>
        <v>1</v>
      </c>
      <c r="F115" s="37" t="b">
        <f>IFERROR(__xludf.DUMMYFUNCTION("REGEXMATCH(B115,""^M$"")"),FALSE)</f>
        <v>0</v>
      </c>
      <c r="G115" s="37" t="b">
        <f>IFERROR(__xludf.DUMMYFUNCTION("REGEXMATCH(B115,""^((L\+R)|(R\+L))$"")"),FALSE)</f>
        <v>0</v>
      </c>
      <c r="H115" s="37" t="b">
        <f>IFERROR(__xludf.DUMMYFUNCTION("REGEXMATCH(B115,""^((L\+M)|(M\+L))$"")"),FALSE)</f>
        <v>0</v>
      </c>
      <c r="I115" s="37" t="b">
        <f>IFERROR(__xludf.DUMMYFUNCTION("REGEXMATCH(B115,""^((R\+M)|(M\+R))$"")"),FALSE)</f>
        <v>0</v>
      </c>
      <c r="J115" s="37" t="b">
        <f>IFERROR(__xludf.DUMMYFUNCTION("REGEXMATCH(B115,""^L\+R\+M$"")"),FALSE)</f>
        <v>0</v>
      </c>
    </row>
    <row r="116" ht="18.75" customHeight="1">
      <c r="A116" s="8" t="str">
        <f>Paper_Textual_Conflict!O116</f>
        <v>R</v>
      </c>
      <c r="B116" s="8" t="str">
        <f>IFERROR(__xludf.DUMMYFUNCTION("SUBSTITUTE(REGEXEXTRACT(A116,""^[^(]*""),"" "","""")"),"R")</f>
        <v>R</v>
      </c>
      <c r="C116" s="8"/>
      <c r="D116" s="37" t="b">
        <f>IFERROR(__xludf.DUMMYFUNCTION("REGEXMATCH(B116,""^L$"")"),FALSE)</f>
        <v>0</v>
      </c>
      <c r="E116" s="37" t="b">
        <f>IFERROR(__xludf.DUMMYFUNCTION("REGEXMATCH(B116,""^R$"")"),TRUE)</f>
        <v>1</v>
      </c>
      <c r="F116" s="37" t="b">
        <f>IFERROR(__xludf.DUMMYFUNCTION("REGEXMATCH(B116,""^M$"")"),FALSE)</f>
        <v>0</v>
      </c>
      <c r="G116" s="37" t="b">
        <f>IFERROR(__xludf.DUMMYFUNCTION("REGEXMATCH(B116,""^((L\+R)|(R\+L))$"")"),FALSE)</f>
        <v>0</v>
      </c>
      <c r="H116" s="37" t="b">
        <f>IFERROR(__xludf.DUMMYFUNCTION("REGEXMATCH(B116,""^((L\+M)|(M\+L))$"")"),FALSE)</f>
        <v>0</v>
      </c>
      <c r="I116" s="37" t="b">
        <f>IFERROR(__xludf.DUMMYFUNCTION("REGEXMATCH(B116,""^((R\+M)|(M\+R))$"")"),FALSE)</f>
        <v>0</v>
      </c>
      <c r="J116" s="37" t="b">
        <f>IFERROR(__xludf.DUMMYFUNCTION("REGEXMATCH(B116,""^L\+R\+M$"")"),FALSE)</f>
        <v>0</v>
      </c>
    </row>
    <row r="117" ht="18.75" customHeight="1">
      <c r="A117" s="8" t="str">
        <f>Paper_Textual_Conflict!O117</f>
        <v>R</v>
      </c>
      <c r="B117" s="8" t="str">
        <f>IFERROR(__xludf.DUMMYFUNCTION("SUBSTITUTE(REGEXEXTRACT(A117,""^[^(]*""),"" "","""")"),"R")</f>
        <v>R</v>
      </c>
      <c r="C117" s="8"/>
      <c r="D117" s="37" t="b">
        <f>IFERROR(__xludf.DUMMYFUNCTION("REGEXMATCH(B117,""^L$"")"),FALSE)</f>
        <v>0</v>
      </c>
      <c r="E117" s="37" t="b">
        <f>IFERROR(__xludf.DUMMYFUNCTION("REGEXMATCH(B117,""^R$"")"),TRUE)</f>
        <v>1</v>
      </c>
      <c r="F117" s="37" t="b">
        <f>IFERROR(__xludf.DUMMYFUNCTION("REGEXMATCH(B117,""^M$"")"),FALSE)</f>
        <v>0</v>
      </c>
      <c r="G117" s="37" t="b">
        <f>IFERROR(__xludf.DUMMYFUNCTION("REGEXMATCH(B117,""^((L\+R)|(R\+L))$"")"),FALSE)</f>
        <v>0</v>
      </c>
      <c r="H117" s="37" t="b">
        <f>IFERROR(__xludf.DUMMYFUNCTION("REGEXMATCH(B117,""^((L\+M)|(M\+L))$"")"),FALSE)</f>
        <v>0</v>
      </c>
      <c r="I117" s="37" t="b">
        <f>IFERROR(__xludf.DUMMYFUNCTION("REGEXMATCH(B117,""^((R\+M)|(M\+R))$"")"),FALSE)</f>
        <v>0</v>
      </c>
      <c r="J117" s="37" t="b">
        <f>IFERROR(__xludf.DUMMYFUNCTION("REGEXMATCH(B117,""^L\+R\+M$"")"),FALSE)</f>
        <v>0</v>
      </c>
    </row>
    <row r="118" ht="18.75" customHeight="1">
      <c r="A118" s="8" t="str">
        <f>Paper_Textual_Conflict!O118</f>
        <v>L+M</v>
      </c>
      <c r="B118" s="8" t="str">
        <f>IFERROR(__xludf.DUMMYFUNCTION("SUBSTITUTE(REGEXEXTRACT(A118,""^[^(]*""),"" "","""")"),"L+M")</f>
        <v>L+M</v>
      </c>
      <c r="C118" s="8"/>
      <c r="D118" s="37" t="b">
        <f>IFERROR(__xludf.DUMMYFUNCTION("REGEXMATCH(B118,""^L$"")"),FALSE)</f>
        <v>0</v>
      </c>
      <c r="E118" s="37" t="b">
        <f>IFERROR(__xludf.DUMMYFUNCTION("REGEXMATCH(B118,""^R$"")"),FALSE)</f>
        <v>0</v>
      </c>
      <c r="F118" s="37" t="b">
        <f>IFERROR(__xludf.DUMMYFUNCTION("REGEXMATCH(B118,""^M$"")"),FALSE)</f>
        <v>0</v>
      </c>
      <c r="G118" s="37" t="b">
        <f>IFERROR(__xludf.DUMMYFUNCTION("REGEXMATCH(B118,""^((L\+R)|(R\+L))$"")"),FALSE)</f>
        <v>0</v>
      </c>
      <c r="H118" s="37" t="b">
        <f>IFERROR(__xludf.DUMMYFUNCTION("REGEXMATCH(B118,""^((L\+M)|(M\+L))$"")"),TRUE)</f>
        <v>1</v>
      </c>
      <c r="I118" s="37" t="b">
        <f>IFERROR(__xludf.DUMMYFUNCTION("REGEXMATCH(B118,""^((R\+M)|(M\+R))$"")"),FALSE)</f>
        <v>0</v>
      </c>
      <c r="J118" s="37" t="b">
        <f>IFERROR(__xludf.DUMMYFUNCTION("REGEXMATCH(B118,""^L\+R\+M$"")"),FALSE)</f>
        <v>0</v>
      </c>
    </row>
    <row r="119" ht="18.75" customHeight="1">
      <c r="A119" s="8" t="str">
        <f>Paper_Textual_Conflict!O119</f>
        <v>M</v>
      </c>
      <c r="B119" s="8" t="str">
        <f>IFERROR(__xludf.DUMMYFUNCTION("SUBSTITUTE(REGEXEXTRACT(A119,""^[^(]*""),"" "","""")"),"M")</f>
        <v>M</v>
      </c>
      <c r="C119" s="8"/>
      <c r="D119" s="37" t="b">
        <f>IFERROR(__xludf.DUMMYFUNCTION("REGEXMATCH(B119,""^L$"")"),FALSE)</f>
        <v>0</v>
      </c>
      <c r="E119" s="37" t="b">
        <f>IFERROR(__xludf.DUMMYFUNCTION("REGEXMATCH(B119,""^R$"")"),FALSE)</f>
        <v>0</v>
      </c>
      <c r="F119" s="37" t="b">
        <f>IFERROR(__xludf.DUMMYFUNCTION("REGEXMATCH(B119,""^M$"")"),TRUE)</f>
        <v>1</v>
      </c>
      <c r="G119" s="37" t="b">
        <f>IFERROR(__xludf.DUMMYFUNCTION("REGEXMATCH(B119,""^((L\+R)|(R\+L))$"")"),FALSE)</f>
        <v>0</v>
      </c>
      <c r="H119" s="37" t="b">
        <f>IFERROR(__xludf.DUMMYFUNCTION("REGEXMATCH(B119,""^((L\+M)|(M\+L))$"")"),FALSE)</f>
        <v>0</v>
      </c>
      <c r="I119" s="37" t="b">
        <f>IFERROR(__xludf.DUMMYFUNCTION("REGEXMATCH(B119,""^((R\+M)|(M\+R))$"")"),FALSE)</f>
        <v>0</v>
      </c>
      <c r="J119" s="37" t="b">
        <f>IFERROR(__xludf.DUMMYFUNCTION("REGEXMATCH(B119,""^L\+R\+M$"")"),FALSE)</f>
        <v>0</v>
      </c>
    </row>
    <row r="120" ht="18.75" customHeight="1">
      <c r="A120" s="8" t="str">
        <f>Paper_Textual_Conflict!O120</f>
        <v>L+R+M</v>
      </c>
      <c r="B120" s="8" t="str">
        <f>IFERROR(__xludf.DUMMYFUNCTION("SUBSTITUTE(REGEXEXTRACT(A120,""^[^(]*""),"" "","""")"),"L+R+M")</f>
        <v>L+R+M</v>
      </c>
      <c r="C120" s="8"/>
      <c r="D120" s="37" t="b">
        <f>IFERROR(__xludf.DUMMYFUNCTION("REGEXMATCH(B120,""^L$"")"),FALSE)</f>
        <v>0</v>
      </c>
      <c r="E120" s="37" t="b">
        <f>IFERROR(__xludf.DUMMYFUNCTION("REGEXMATCH(B120,""^R$"")"),FALSE)</f>
        <v>0</v>
      </c>
      <c r="F120" s="37" t="b">
        <f>IFERROR(__xludf.DUMMYFUNCTION("REGEXMATCH(B120,""^M$"")"),FALSE)</f>
        <v>0</v>
      </c>
      <c r="G120" s="37" t="b">
        <f>IFERROR(__xludf.DUMMYFUNCTION("REGEXMATCH(B120,""^((L\+R)|(R\+L))$"")"),FALSE)</f>
        <v>0</v>
      </c>
      <c r="H120" s="37" t="b">
        <f>IFERROR(__xludf.DUMMYFUNCTION("REGEXMATCH(B120,""^((L\+M)|(M\+L))$"")"),FALSE)</f>
        <v>0</v>
      </c>
      <c r="I120" s="37" t="b">
        <f>IFERROR(__xludf.DUMMYFUNCTION("REGEXMATCH(B120,""^((R\+M)|(M\+R))$"")"),FALSE)</f>
        <v>0</v>
      </c>
      <c r="J120" s="37" t="b">
        <f>IFERROR(__xludf.DUMMYFUNCTION("REGEXMATCH(B120,""^L\+R\+M$"")"),TRUE)</f>
        <v>1</v>
      </c>
    </row>
    <row r="121" ht="18.75" customHeight="1">
      <c r="A121" s="8" t="str">
        <f>Paper_Textual_Conflict!O121</f>
        <v>L+R+M</v>
      </c>
      <c r="B121" s="8" t="str">
        <f>IFERROR(__xludf.DUMMYFUNCTION("SUBSTITUTE(REGEXEXTRACT(A121,""^[^(]*""),"" "","""")"),"L+R+M")</f>
        <v>L+R+M</v>
      </c>
      <c r="C121" s="8"/>
      <c r="D121" s="37" t="b">
        <f>IFERROR(__xludf.DUMMYFUNCTION("REGEXMATCH(B121,""^L$"")"),FALSE)</f>
        <v>0</v>
      </c>
      <c r="E121" s="37" t="b">
        <f>IFERROR(__xludf.DUMMYFUNCTION("REGEXMATCH(B121,""^R$"")"),FALSE)</f>
        <v>0</v>
      </c>
      <c r="F121" s="37" t="b">
        <f>IFERROR(__xludf.DUMMYFUNCTION("REGEXMATCH(B121,""^M$"")"),FALSE)</f>
        <v>0</v>
      </c>
      <c r="G121" s="37" t="b">
        <f>IFERROR(__xludf.DUMMYFUNCTION("REGEXMATCH(B121,""^((L\+R)|(R\+L))$"")"),FALSE)</f>
        <v>0</v>
      </c>
      <c r="H121" s="37" t="b">
        <f>IFERROR(__xludf.DUMMYFUNCTION("REGEXMATCH(B121,""^((L\+M)|(M\+L))$"")"),FALSE)</f>
        <v>0</v>
      </c>
      <c r="I121" s="37" t="b">
        <f>IFERROR(__xludf.DUMMYFUNCTION("REGEXMATCH(B121,""^((R\+M)|(M\+R))$"")"),FALSE)</f>
        <v>0</v>
      </c>
      <c r="J121" s="37" t="b">
        <f>IFERROR(__xludf.DUMMYFUNCTION("REGEXMATCH(B121,""^L\+R\+M$"")"),TRUE)</f>
        <v>1</v>
      </c>
    </row>
    <row r="122" ht="18.75" customHeight="1">
      <c r="A122" s="8" t="str">
        <f>Paper_Textual_Conflict!O122</f>
        <v>L</v>
      </c>
      <c r="B122" s="8" t="str">
        <f>IFERROR(__xludf.DUMMYFUNCTION("SUBSTITUTE(REGEXEXTRACT(A122,""^[^(]*""),"" "","""")"),"L")</f>
        <v>L</v>
      </c>
      <c r="C122" s="8"/>
      <c r="D122" s="37" t="b">
        <f>IFERROR(__xludf.DUMMYFUNCTION("REGEXMATCH(B122,""^L$"")"),TRUE)</f>
        <v>1</v>
      </c>
      <c r="E122" s="37" t="b">
        <f>IFERROR(__xludf.DUMMYFUNCTION("REGEXMATCH(B122,""^R$"")"),FALSE)</f>
        <v>0</v>
      </c>
      <c r="F122" s="37" t="b">
        <f>IFERROR(__xludf.DUMMYFUNCTION("REGEXMATCH(B122,""^M$"")"),FALSE)</f>
        <v>0</v>
      </c>
      <c r="G122" s="37" t="b">
        <f>IFERROR(__xludf.DUMMYFUNCTION("REGEXMATCH(B122,""^((L\+R)|(R\+L))$"")"),FALSE)</f>
        <v>0</v>
      </c>
      <c r="H122" s="37" t="b">
        <f>IFERROR(__xludf.DUMMYFUNCTION("REGEXMATCH(B122,""^((L\+M)|(M\+L))$"")"),FALSE)</f>
        <v>0</v>
      </c>
      <c r="I122" s="37" t="b">
        <f>IFERROR(__xludf.DUMMYFUNCTION("REGEXMATCH(B122,""^((R\+M)|(M\+R))$"")"),FALSE)</f>
        <v>0</v>
      </c>
      <c r="J122" s="37" t="b">
        <f>IFERROR(__xludf.DUMMYFUNCTION("REGEXMATCH(B122,""^L\+R\+M$"")"),FALSE)</f>
        <v>0</v>
      </c>
    </row>
    <row r="123" ht="18.75" customHeight="1">
      <c r="A123" s="8" t="str">
        <f>Paper_Textual_Conflict!O123</f>
        <v>R</v>
      </c>
      <c r="B123" s="8" t="str">
        <f>IFERROR(__xludf.DUMMYFUNCTION("SUBSTITUTE(REGEXEXTRACT(A123,""^[^(]*""),"" "","""")"),"R")</f>
        <v>R</v>
      </c>
      <c r="C123" s="8"/>
      <c r="D123" s="37" t="b">
        <f>IFERROR(__xludf.DUMMYFUNCTION("REGEXMATCH(B123,""^L$"")"),FALSE)</f>
        <v>0</v>
      </c>
      <c r="E123" s="37" t="b">
        <f>IFERROR(__xludf.DUMMYFUNCTION("REGEXMATCH(B123,""^R$"")"),TRUE)</f>
        <v>1</v>
      </c>
      <c r="F123" s="37" t="b">
        <f>IFERROR(__xludf.DUMMYFUNCTION("REGEXMATCH(B123,""^M$"")"),FALSE)</f>
        <v>0</v>
      </c>
      <c r="G123" s="37" t="b">
        <f>IFERROR(__xludf.DUMMYFUNCTION("REGEXMATCH(B123,""^((L\+R)|(R\+L))$"")"),FALSE)</f>
        <v>0</v>
      </c>
      <c r="H123" s="37" t="b">
        <f>IFERROR(__xludf.DUMMYFUNCTION("REGEXMATCH(B123,""^((L\+M)|(M\+L))$"")"),FALSE)</f>
        <v>0</v>
      </c>
      <c r="I123" s="37" t="b">
        <f>IFERROR(__xludf.DUMMYFUNCTION("REGEXMATCH(B123,""^((R\+M)|(M\+R))$"")"),FALSE)</f>
        <v>0</v>
      </c>
      <c r="J123" s="37" t="b">
        <f>IFERROR(__xludf.DUMMYFUNCTION("REGEXMATCH(B123,""^L\+R\+M$"")"),FALSE)</f>
        <v>0</v>
      </c>
    </row>
    <row r="124" ht="18.75" customHeight="1">
      <c r="A124" s="8" t="str">
        <f>Paper_Textual_Conflict!O124</f>
        <v>L+R+M</v>
      </c>
      <c r="B124" s="8" t="str">
        <f>IFERROR(__xludf.DUMMYFUNCTION("SUBSTITUTE(REGEXEXTRACT(A124,""^[^(]*""),"" "","""")"),"L+R+M")</f>
        <v>L+R+M</v>
      </c>
      <c r="C124" s="8"/>
      <c r="D124" s="37" t="b">
        <f>IFERROR(__xludf.DUMMYFUNCTION("REGEXMATCH(B124,""^L$"")"),FALSE)</f>
        <v>0</v>
      </c>
      <c r="E124" s="37" t="b">
        <f>IFERROR(__xludf.DUMMYFUNCTION("REGEXMATCH(B124,""^R$"")"),FALSE)</f>
        <v>0</v>
      </c>
      <c r="F124" s="37" t="b">
        <f>IFERROR(__xludf.DUMMYFUNCTION("REGEXMATCH(B124,""^M$"")"),FALSE)</f>
        <v>0</v>
      </c>
      <c r="G124" s="37" t="b">
        <f>IFERROR(__xludf.DUMMYFUNCTION("REGEXMATCH(B124,""^((L\+R)|(R\+L))$"")"),FALSE)</f>
        <v>0</v>
      </c>
      <c r="H124" s="37" t="b">
        <f>IFERROR(__xludf.DUMMYFUNCTION("REGEXMATCH(B124,""^((L\+M)|(M\+L))$"")"),FALSE)</f>
        <v>0</v>
      </c>
      <c r="I124" s="37" t="b">
        <f>IFERROR(__xludf.DUMMYFUNCTION("REGEXMATCH(B124,""^((R\+M)|(M\+R))$"")"),FALSE)</f>
        <v>0</v>
      </c>
      <c r="J124" s="37" t="b">
        <f>IFERROR(__xludf.DUMMYFUNCTION("REGEXMATCH(B124,""^L\+R\+M$"")"),TRUE)</f>
        <v>1</v>
      </c>
    </row>
    <row r="125" ht="18.75" customHeight="1">
      <c r="A125" s="8" t="str">
        <f>Paper_Textual_Conflict!O125</f>
        <v>L</v>
      </c>
      <c r="B125" s="8" t="str">
        <f>IFERROR(__xludf.DUMMYFUNCTION("SUBSTITUTE(REGEXEXTRACT(A125,""^[^(]*""),"" "","""")"),"L")</f>
        <v>L</v>
      </c>
      <c r="C125" s="8"/>
      <c r="D125" s="37" t="b">
        <f>IFERROR(__xludf.DUMMYFUNCTION("REGEXMATCH(B125,""^L$"")"),TRUE)</f>
        <v>1</v>
      </c>
      <c r="E125" s="37" t="b">
        <f>IFERROR(__xludf.DUMMYFUNCTION("REGEXMATCH(B125,""^R$"")"),FALSE)</f>
        <v>0</v>
      </c>
      <c r="F125" s="37" t="b">
        <f>IFERROR(__xludf.DUMMYFUNCTION("REGEXMATCH(B125,""^M$"")"),FALSE)</f>
        <v>0</v>
      </c>
      <c r="G125" s="37" t="b">
        <f>IFERROR(__xludf.DUMMYFUNCTION("REGEXMATCH(B125,""^((L\+R)|(R\+L))$"")"),FALSE)</f>
        <v>0</v>
      </c>
      <c r="H125" s="37" t="b">
        <f>IFERROR(__xludf.DUMMYFUNCTION("REGEXMATCH(B125,""^((L\+M)|(M\+L))$"")"),FALSE)</f>
        <v>0</v>
      </c>
      <c r="I125" s="37" t="b">
        <f>IFERROR(__xludf.DUMMYFUNCTION("REGEXMATCH(B125,""^((R\+M)|(M\+R))$"")"),FALSE)</f>
        <v>0</v>
      </c>
      <c r="J125" s="37" t="b">
        <f>IFERROR(__xludf.DUMMYFUNCTION("REGEXMATCH(B125,""^L\+R\+M$"")"),FALSE)</f>
        <v>0</v>
      </c>
    </row>
    <row r="126" ht="18.75" customHeight="1">
      <c r="A126" s="8" t="str">
        <f>Paper_Textual_Conflict!O126</f>
        <v>L+R</v>
      </c>
      <c r="B126" s="8" t="str">
        <f>IFERROR(__xludf.DUMMYFUNCTION("SUBSTITUTE(REGEXEXTRACT(A126,""^[^(]*""),"" "","""")"),"L+R")</f>
        <v>L+R</v>
      </c>
      <c r="C126" s="8"/>
      <c r="D126" s="37" t="b">
        <f>IFERROR(__xludf.DUMMYFUNCTION("REGEXMATCH(B126,""^L$"")"),FALSE)</f>
        <v>0</v>
      </c>
      <c r="E126" s="37" t="b">
        <f>IFERROR(__xludf.DUMMYFUNCTION("REGEXMATCH(B126,""^R$"")"),FALSE)</f>
        <v>0</v>
      </c>
      <c r="F126" s="37" t="b">
        <f>IFERROR(__xludf.DUMMYFUNCTION("REGEXMATCH(B126,""^M$"")"),FALSE)</f>
        <v>0</v>
      </c>
      <c r="G126" s="37" t="b">
        <f>IFERROR(__xludf.DUMMYFUNCTION("REGEXMATCH(B126,""^((L\+R)|(R\+L))$"")"),TRUE)</f>
        <v>1</v>
      </c>
      <c r="H126" s="37" t="b">
        <f>IFERROR(__xludf.DUMMYFUNCTION("REGEXMATCH(B126,""^((L\+M)|(M\+L))$"")"),FALSE)</f>
        <v>0</v>
      </c>
      <c r="I126" s="37" t="b">
        <f>IFERROR(__xludf.DUMMYFUNCTION("REGEXMATCH(B126,""^((R\+M)|(M\+R))$"")"),FALSE)</f>
        <v>0</v>
      </c>
      <c r="J126" s="37" t="b">
        <f>IFERROR(__xludf.DUMMYFUNCTION("REGEXMATCH(B126,""^L\+R\+M$"")"),FALSE)</f>
        <v>0</v>
      </c>
    </row>
    <row r="127" ht="18.75" customHeight="1">
      <c r="A127" s="8" t="str">
        <f>Paper_Textual_Conflict!O127</f>
        <v>L</v>
      </c>
      <c r="B127" s="8" t="str">
        <f>IFERROR(__xludf.DUMMYFUNCTION("SUBSTITUTE(REGEXEXTRACT(A127,""^[^(]*""),"" "","""")"),"L")</f>
        <v>L</v>
      </c>
      <c r="C127" s="8"/>
      <c r="D127" s="37" t="b">
        <f>IFERROR(__xludf.DUMMYFUNCTION("REGEXMATCH(B127,""^L$"")"),TRUE)</f>
        <v>1</v>
      </c>
      <c r="E127" s="37" t="b">
        <f>IFERROR(__xludf.DUMMYFUNCTION("REGEXMATCH(B127,""^R$"")"),FALSE)</f>
        <v>0</v>
      </c>
      <c r="F127" s="37" t="b">
        <f>IFERROR(__xludf.DUMMYFUNCTION("REGEXMATCH(B127,""^M$"")"),FALSE)</f>
        <v>0</v>
      </c>
      <c r="G127" s="37" t="b">
        <f>IFERROR(__xludf.DUMMYFUNCTION("REGEXMATCH(B127,""^((L\+R)|(R\+L))$"")"),FALSE)</f>
        <v>0</v>
      </c>
      <c r="H127" s="37" t="b">
        <f>IFERROR(__xludf.DUMMYFUNCTION("REGEXMATCH(B127,""^((L\+M)|(M\+L))$"")"),FALSE)</f>
        <v>0</v>
      </c>
      <c r="I127" s="37" t="b">
        <f>IFERROR(__xludf.DUMMYFUNCTION("REGEXMATCH(B127,""^((R\+M)|(M\+R))$"")"),FALSE)</f>
        <v>0</v>
      </c>
      <c r="J127" s="37" t="b">
        <f>IFERROR(__xludf.DUMMYFUNCTION("REGEXMATCH(B127,""^L\+R\+M$"")"),FALSE)</f>
        <v>0</v>
      </c>
    </row>
    <row r="128" ht="18.75" customHeight="1">
      <c r="A128" s="8" t="str">
        <f>Paper_Textual_Conflict!O128</f>
        <v>L+R</v>
      </c>
      <c r="B128" s="8" t="str">
        <f>IFERROR(__xludf.DUMMYFUNCTION("SUBSTITUTE(REGEXEXTRACT(A128,""^[^(]*""),"" "","""")"),"L+R")</f>
        <v>L+R</v>
      </c>
      <c r="C128" s="8"/>
      <c r="D128" s="37" t="b">
        <f>IFERROR(__xludf.DUMMYFUNCTION("REGEXMATCH(B128,""^L$"")"),FALSE)</f>
        <v>0</v>
      </c>
      <c r="E128" s="37" t="b">
        <f>IFERROR(__xludf.DUMMYFUNCTION("REGEXMATCH(B128,""^R$"")"),FALSE)</f>
        <v>0</v>
      </c>
      <c r="F128" s="37" t="b">
        <f>IFERROR(__xludf.DUMMYFUNCTION("REGEXMATCH(B128,""^M$"")"),FALSE)</f>
        <v>0</v>
      </c>
      <c r="G128" s="37" t="b">
        <f>IFERROR(__xludf.DUMMYFUNCTION("REGEXMATCH(B128,""^((L\+R)|(R\+L))$"")"),TRUE)</f>
        <v>1</v>
      </c>
      <c r="H128" s="37" t="b">
        <f>IFERROR(__xludf.DUMMYFUNCTION("REGEXMATCH(B128,""^((L\+M)|(M\+L))$"")"),FALSE)</f>
        <v>0</v>
      </c>
      <c r="I128" s="37" t="b">
        <f>IFERROR(__xludf.DUMMYFUNCTION("REGEXMATCH(B128,""^((R\+M)|(M\+R))$"")"),FALSE)</f>
        <v>0</v>
      </c>
      <c r="J128" s="37" t="b">
        <f>IFERROR(__xludf.DUMMYFUNCTION("REGEXMATCH(B128,""^L\+R\+M$"")"),FALSE)</f>
        <v>0</v>
      </c>
    </row>
    <row r="129" ht="18.75" customHeight="1">
      <c r="A129" s="8" t="str">
        <f>Paper_Textual_Conflict!O129</f>
        <v>L</v>
      </c>
      <c r="B129" s="8" t="str">
        <f>IFERROR(__xludf.DUMMYFUNCTION("SUBSTITUTE(REGEXEXTRACT(A129,""^[^(]*""),"" "","""")"),"L")</f>
        <v>L</v>
      </c>
      <c r="C129" s="8"/>
      <c r="D129" s="37" t="b">
        <f>IFERROR(__xludf.DUMMYFUNCTION("REGEXMATCH(B129,""^L$"")"),TRUE)</f>
        <v>1</v>
      </c>
      <c r="E129" s="37" t="b">
        <f>IFERROR(__xludf.DUMMYFUNCTION("REGEXMATCH(B129,""^R$"")"),FALSE)</f>
        <v>0</v>
      </c>
      <c r="F129" s="37" t="b">
        <f>IFERROR(__xludf.DUMMYFUNCTION("REGEXMATCH(B129,""^M$"")"),FALSE)</f>
        <v>0</v>
      </c>
      <c r="G129" s="37" t="b">
        <f>IFERROR(__xludf.DUMMYFUNCTION("REGEXMATCH(B129,""^((L\+R)|(R\+L))$"")"),FALSE)</f>
        <v>0</v>
      </c>
      <c r="H129" s="37" t="b">
        <f>IFERROR(__xludf.DUMMYFUNCTION("REGEXMATCH(B129,""^((L\+M)|(M\+L))$"")"),FALSE)</f>
        <v>0</v>
      </c>
      <c r="I129" s="37" t="b">
        <f>IFERROR(__xludf.DUMMYFUNCTION("REGEXMATCH(B129,""^((R\+M)|(M\+R))$"")"),FALSE)</f>
        <v>0</v>
      </c>
      <c r="J129" s="37" t="b">
        <f>IFERROR(__xludf.DUMMYFUNCTION("REGEXMATCH(B129,""^L\+R\+M$"")"),FALSE)</f>
        <v>0</v>
      </c>
    </row>
    <row r="130" ht="18.75" customHeight="1">
      <c r="A130" s="8" t="str">
        <f>Paper_Textual_Conflict!O130</f>
        <v>L+R</v>
      </c>
      <c r="B130" s="8" t="str">
        <f>IFERROR(__xludf.DUMMYFUNCTION("SUBSTITUTE(REGEXEXTRACT(A130,""^[^(]*""),"" "","""")"),"L+R")</f>
        <v>L+R</v>
      </c>
      <c r="C130" s="8"/>
      <c r="D130" s="37" t="b">
        <f>IFERROR(__xludf.DUMMYFUNCTION("REGEXMATCH(B130,""^L$"")"),FALSE)</f>
        <v>0</v>
      </c>
      <c r="E130" s="37" t="b">
        <f>IFERROR(__xludf.DUMMYFUNCTION("REGEXMATCH(B130,""^R$"")"),FALSE)</f>
        <v>0</v>
      </c>
      <c r="F130" s="37" t="b">
        <f>IFERROR(__xludf.DUMMYFUNCTION("REGEXMATCH(B130,""^M$"")"),FALSE)</f>
        <v>0</v>
      </c>
      <c r="G130" s="37" t="b">
        <f>IFERROR(__xludf.DUMMYFUNCTION("REGEXMATCH(B130,""^((L\+R)|(R\+L))$"")"),TRUE)</f>
        <v>1</v>
      </c>
      <c r="H130" s="37" t="b">
        <f>IFERROR(__xludf.DUMMYFUNCTION("REGEXMATCH(B130,""^((L\+M)|(M\+L))$"")"),FALSE)</f>
        <v>0</v>
      </c>
      <c r="I130" s="37" t="b">
        <f>IFERROR(__xludf.DUMMYFUNCTION("REGEXMATCH(B130,""^((R\+M)|(M\+R))$"")"),FALSE)</f>
        <v>0</v>
      </c>
      <c r="J130" s="37" t="b">
        <f>IFERROR(__xludf.DUMMYFUNCTION("REGEXMATCH(B130,""^L\+R\+M$"")"),FALSE)</f>
        <v>0</v>
      </c>
    </row>
    <row r="131" ht="18.75" customHeight="1">
      <c r="A131" s="8" t="str">
        <f>Paper_Textual_Conflict!O131</f>
        <v>R</v>
      </c>
      <c r="B131" s="8" t="str">
        <f>IFERROR(__xludf.DUMMYFUNCTION("SUBSTITUTE(REGEXEXTRACT(A131,""^[^(]*""),"" "","""")"),"R")</f>
        <v>R</v>
      </c>
      <c r="C131" s="8"/>
      <c r="D131" s="37" t="b">
        <f>IFERROR(__xludf.DUMMYFUNCTION("REGEXMATCH(B131,""^L$"")"),FALSE)</f>
        <v>0</v>
      </c>
      <c r="E131" s="37" t="b">
        <f>IFERROR(__xludf.DUMMYFUNCTION("REGEXMATCH(B131,""^R$"")"),TRUE)</f>
        <v>1</v>
      </c>
      <c r="F131" s="37" t="b">
        <f>IFERROR(__xludf.DUMMYFUNCTION("REGEXMATCH(B131,""^M$"")"),FALSE)</f>
        <v>0</v>
      </c>
      <c r="G131" s="37" t="b">
        <f>IFERROR(__xludf.DUMMYFUNCTION("REGEXMATCH(B131,""^((L\+R)|(R\+L))$"")"),FALSE)</f>
        <v>0</v>
      </c>
      <c r="H131" s="37" t="b">
        <f>IFERROR(__xludf.DUMMYFUNCTION("REGEXMATCH(B131,""^((L\+M)|(M\+L))$"")"),FALSE)</f>
        <v>0</v>
      </c>
      <c r="I131" s="37" t="b">
        <f>IFERROR(__xludf.DUMMYFUNCTION("REGEXMATCH(B131,""^((R\+M)|(M\+R))$"")"),FALSE)</f>
        <v>0</v>
      </c>
      <c r="J131" s="37" t="b">
        <f>IFERROR(__xludf.DUMMYFUNCTION("REGEXMATCH(B131,""^L\+R\+M$"")"),FALSE)</f>
        <v>0</v>
      </c>
    </row>
    <row r="132" ht="18.75" customHeight="1">
      <c r="A132" s="8" t="str">
        <f>Paper_Textual_Conflict!O132</f>
        <v>L</v>
      </c>
      <c r="B132" s="8" t="str">
        <f>IFERROR(__xludf.DUMMYFUNCTION("SUBSTITUTE(REGEXEXTRACT(A132,""^[^(]*""),"" "","""")"),"L")</f>
        <v>L</v>
      </c>
      <c r="C132" s="8"/>
      <c r="D132" s="37" t="b">
        <f>IFERROR(__xludf.DUMMYFUNCTION("REGEXMATCH(B132,""^L$"")"),TRUE)</f>
        <v>1</v>
      </c>
      <c r="E132" s="37" t="b">
        <f>IFERROR(__xludf.DUMMYFUNCTION("REGEXMATCH(B132,""^R$"")"),FALSE)</f>
        <v>0</v>
      </c>
      <c r="F132" s="37" t="b">
        <f>IFERROR(__xludf.DUMMYFUNCTION("REGEXMATCH(B132,""^M$"")"),FALSE)</f>
        <v>0</v>
      </c>
      <c r="G132" s="37" t="b">
        <f>IFERROR(__xludf.DUMMYFUNCTION("REGEXMATCH(B132,""^((L\+R)|(R\+L))$"")"),FALSE)</f>
        <v>0</v>
      </c>
      <c r="H132" s="37" t="b">
        <f>IFERROR(__xludf.DUMMYFUNCTION("REGEXMATCH(B132,""^((L\+M)|(M\+L))$"")"),FALSE)</f>
        <v>0</v>
      </c>
      <c r="I132" s="37" t="b">
        <f>IFERROR(__xludf.DUMMYFUNCTION("REGEXMATCH(B132,""^((R\+M)|(M\+R))$"")"),FALSE)</f>
        <v>0</v>
      </c>
      <c r="J132" s="37" t="b">
        <f>IFERROR(__xludf.DUMMYFUNCTION("REGEXMATCH(B132,""^L\+R\+M$"")"),FALSE)</f>
        <v>0</v>
      </c>
    </row>
    <row r="133" ht="18.75" customHeight="1">
      <c r="A133" s="8" t="str">
        <f>Paper_Textual_Conflict!O133</f>
        <v>L</v>
      </c>
      <c r="B133" s="8" t="str">
        <f>IFERROR(__xludf.DUMMYFUNCTION("SUBSTITUTE(REGEXEXTRACT(A133,""^[^(]*""),"" "","""")"),"L")</f>
        <v>L</v>
      </c>
      <c r="C133" s="8"/>
      <c r="D133" s="37" t="b">
        <f>IFERROR(__xludf.DUMMYFUNCTION("REGEXMATCH(B133,""^L$"")"),TRUE)</f>
        <v>1</v>
      </c>
      <c r="E133" s="37" t="b">
        <f>IFERROR(__xludf.DUMMYFUNCTION("REGEXMATCH(B133,""^R$"")"),FALSE)</f>
        <v>0</v>
      </c>
      <c r="F133" s="37" t="b">
        <f>IFERROR(__xludf.DUMMYFUNCTION("REGEXMATCH(B133,""^M$"")"),FALSE)</f>
        <v>0</v>
      </c>
      <c r="G133" s="37" t="b">
        <f>IFERROR(__xludf.DUMMYFUNCTION("REGEXMATCH(B133,""^((L\+R)|(R\+L))$"")"),FALSE)</f>
        <v>0</v>
      </c>
      <c r="H133" s="37" t="b">
        <f>IFERROR(__xludf.DUMMYFUNCTION("REGEXMATCH(B133,""^((L\+M)|(M\+L))$"")"),FALSE)</f>
        <v>0</v>
      </c>
      <c r="I133" s="37" t="b">
        <f>IFERROR(__xludf.DUMMYFUNCTION("REGEXMATCH(B133,""^((R\+M)|(M\+R))$"")"),FALSE)</f>
        <v>0</v>
      </c>
      <c r="J133" s="37" t="b">
        <f>IFERROR(__xludf.DUMMYFUNCTION("REGEXMATCH(B133,""^L\+R\+M$"")"),FALSE)</f>
        <v>0</v>
      </c>
    </row>
    <row r="134" ht="18.75" customHeight="1">
      <c r="A134" s="8" t="str">
        <f>Paper_Textual_Conflict!O134</f>
        <v>R</v>
      </c>
      <c r="B134" s="8" t="str">
        <f>IFERROR(__xludf.DUMMYFUNCTION("SUBSTITUTE(REGEXEXTRACT(A134,""^[^(]*""),"" "","""")"),"R")</f>
        <v>R</v>
      </c>
      <c r="C134" s="8"/>
      <c r="D134" s="37" t="b">
        <f>IFERROR(__xludf.DUMMYFUNCTION("REGEXMATCH(B134,""^L$"")"),FALSE)</f>
        <v>0</v>
      </c>
      <c r="E134" s="37" t="b">
        <f>IFERROR(__xludf.DUMMYFUNCTION("REGEXMATCH(B134,""^R$"")"),TRUE)</f>
        <v>1</v>
      </c>
      <c r="F134" s="37" t="b">
        <f>IFERROR(__xludf.DUMMYFUNCTION("REGEXMATCH(B134,""^M$"")"),FALSE)</f>
        <v>0</v>
      </c>
      <c r="G134" s="37" t="b">
        <f>IFERROR(__xludf.DUMMYFUNCTION("REGEXMATCH(B134,""^((L\+R)|(R\+L))$"")"),FALSE)</f>
        <v>0</v>
      </c>
      <c r="H134" s="37" t="b">
        <f>IFERROR(__xludf.DUMMYFUNCTION("REGEXMATCH(B134,""^((L\+M)|(M\+L))$"")"),FALSE)</f>
        <v>0</v>
      </c>
      <c r="I134" s="37" t="b">
        <f>IFERROR(__xludf.DUMMYFUNCTION("REGEXMATCH(B134,""^((R\+M)|(M\+R))$"")"),FALSE)</f>
        <v>0</v>
      </c>
      <c r="J134" s="37" t="b">
        <f>IFERROR(__xludf.DUMMYFUNCTION("REGEXMATCH(B134,""^L\+R\+M$"")"),FALSE)</f>
        <v>0</v>
      </c>
    </row>
    <row r="135" ht="18.75" customHeight="1">
      <c r="A135" s="8" t="str">
        <f>Paper_Textual_Conflict!O135</f>
        <v>L</v>
      </c>
      <c r="B135" s="8" t="str">
        <f>IFERROR(__xludf.DUMMYFUNCTION("SUBSTITUTE(REGEXEXTRACT(A135,""^[^(]*""),"" "","""")"),"L")</f>
        <v>L</v>
      </c>
      <c r="C135" s="8"/>
      <c r="D135" s="37" t="b">
        <f>IFERROR(__xludf.DUMMYFUNCTION("REGEXMATCH(B135,""^L$"")"),TRUE)</f>
        <v>1</v>
      </c>
      <c r="E135" s="37" t="b">
        <f>IFERROR(__xludf.DUMMYFUNCTION("REGEXMATCH(B135,""^R$"")"),FALSE)</f>
        <v>0</v>
      </c>
      <c r="F135" s="37" t="b">
        <f>IFERROR(__xludf.DUMMYFUNCTION("REGEXMATCH(B135,""^M$"")"),FALSE)</f>
        <v>0</v>
      </c>
      <c r="G135" s="37" t="b">
        <f>IFERROR(__xludf.DUMMYFUNCTION("REGEXMATCH(B135,""^((L\+R)|(R\+L))$"")"),FALSE)</f>
        <v>0</v>
      </c>
      <c r="H135" s="37" t="b">
        <f>IFERROR(__xludf.DUMMYFUNCTION("REGEXMATCH(B135,""^((L\+M)|(M\+L))$"")"),FALSE)</f>
        <v>0</v>
      </c>
      <c r="I135" s="37" t="b">
        <f>IFERROR(__xludf.DUMMYFUNCTION("REGEXMATCH(B135,""^((R\+M)|(M\+R))$"")"),FALSE)</f>
        <v>0</v>
      </c>
      <c r="J135" s="37" t="b">
        <f>IFERROR(__xludf.DUMMYFUNCTION("REGEXMATCH(B135,""^L\+R\+M$"")"),FALSE)</f>
        <v>0</v>
      </c>
    </row>
    <row r="136" ht="18.75" customHeight="1">
      <c r="A136" s="8" t="str">
        <f>Paper_Textual_Conflict!O136</f>
        <v>R</v>
      </c>
      <c r="B136" s="8" t="str">
        <f>IFERROR(__xludf.DUMMYFUNCTION("SUBSTITUTE(REGEXEXTRACT(A136,""^[^(]*""),"" "","""")"),"R")</f>
        <v>R</v>
      </c>
      <c r="C136" s="8"/>
      <c r="D136" s="37" t="b">
        <f>IFERROR(__xludf.DUMMYFUNCTION("REGEXMATCH(B136,""^L$"")"),FALSE)</f>
        <v>0</v>
      </c>
      <c r="E136" s="37" t="b">
        <f>IFERROR(__xludf.DUMMYFUNCTION("REGEXMATCH(B136,""^R$"")"),TRUE)</f>
        <v>1</v>
      </c>
      <c r="F136" s="37" t="b">
        <f>IFERROR(__xludf.DUMMYFUNCTION("REGEXMATCH(B136,""^M$"")"),FALSE)</f>
        <v>0</v>
      </c>
      <c r="G136" s="37" t="b">
        <f>IFERROR(__xludf.DUMMYFUNCTION("REGEXMATCH(B136,""^((L\+R)|(R\+L))$"")"),FALSE)</f>
        <v>0</v>
      </c>
      <c r="H136" s="37" t="b">
        <f>IFERROR(__xludf.DUMMYFUNCTION("REGEXMATCH(B136,""^((L\+M)|(M\+L))$"")"),FALSE)</f>
        <v>0</v>
      </c>
      <c r="I136" s="37" t="b">
        <f>IFERROR(__xludf.DUMMYFUNCTION("REGEXMATCH(B136,""^((R\+M)|(M\+R))$"")"),FALSE)</f>
        <v>0</v>
      </c>
      <c r="J136" s="37" t="b">
        <f>IFERROR(__xludf.DUMMYFUNCTION("REGEXMATCH(B136,""^L\+R\+M$"")"),FALSE)</f>
        <v>0</v>
      </c>
    </row>
    <row r="137" ht="18.75" customHeight="1">
      <c r="A137" s="8" t="str">
        <f>Paper_Textual_Conflict!O137</f>
        <v>L</v>
      </c>
      <c r="B137" s="8" t="str">
        <f>IFERROR(__xludf.DUMMYFUNCTION("SUBSTITUTE(REGEXEXTRACT(A137,""^[^(]*""),"" "","""")"),"L")</f>
        <v>L</v>
      </c>
      <c r="C137" s="8"/>
      <c r="D137" s="37" t="b">
        <f>IFERROR(__xludf.DUMMYFUNCTION("REGEXMATCH(B137,""^L$"")"),TRUE)</f>
        <v>1</v>
      </c>
      <c r="E137" s="37" t="b">
        <f>IFERROR(__xludf.DUMMYFUNCTION("REGEXMATCH(B137,""^R$"")"),FALSE)</f>
        <v>0</v>
      </c>
      <c r="F137" s="37" t="b">
        <f>IFERROR(__xludf.DUMMYFUNCTION("REGEXMATCH(B137,""^M$"")"),FALSE)</f>
        <v>0</v>
      </c>
      <c r="G137" s="37" t="b">
        <f>IFERROR(__xludf.DUMMYFUNCTION("REGEXMATCH(B137,""^((L\+R)|(R\+L))$"")"),FALSE)</f>
        <v>0</v>
      </c>
      <c r="H137" s="37" t="b">
        <f>IFERROR(__xludf.DUMMYFUNCTION("REGEXMATCH(B137,""^((L\+M)|(M\+L))$"")"),FALSE)</f>
        <v>0</v>
      </c>
      <c r="I137" s="37" t="b">
        <f>IFERROR(__xludf.DUMMYFUNCTION("REGEXMATCH(B137,""^((R\+M)|(M\+R))$"")"),FALSE)</f>
        <v>0</v>
      </c>
      <c r="J137" s="37" t="b">
        <f>IFERROR(__xludf.DUMMYFUNCTION("REGEXMATCH(B137,""^L\+R\+M$"")"),FALSE)</f>
        <v>0</v>
      </c>
    </row>
    <row r="138" ht="18.75" customHeight="1">
      <c r="A138" s="8" t="str">
        <f>Paper_Textual_Conflict!O138</f>
        <v>L+R</v>
      </c>
      <c r="B138" s="8" t="str">
        <f>IFERROR(__xludf.DUMMYFUNCTION("SUBSTITUTE(REGEXEXTRACT(A138,""^[^(]*""),"" "","""")"),"L+R")</f>
        <v>L+R</v>
      </c>
      <c r="C138" s="8"/>
      <c r="D138" s="37" t="b">
        <f>IFERROR(__xludf.DUMMYFUNCTION("REGEXMATCH(B138,""^L$"")"),FALSE)</f>
        <v>0</v>
      </c>
      <c r="E138" s="37" t="b">
        <f>IFERROR(__xludf.DUMMYFUNCTION("REGEXMATCH(B138,""^R$"")"),FALSE)</f>
        <v>0</v>
      </c>
      <c r="F138" s="37" t="b">
        <f>IFERROR(__xludf.DUMMYFUNCTION("REGEXMATCH(B138,""^M$"")"),FALSE)</f>
        <v>0</v>
      </c>
      <c r="G138" s="37" t="b">
        <f>IFERROR(__xludf.DUMMYFUNCTION("REGEXMATCH(B138,""^((L\+R)|(R\+L))$"")"),TRUE)</f>
        <v>1</v>
      </c>
      <c r="H138" s="37" t="b">
        <f>IFERROR(__xludf.DUMMYFUNCTION("REGEXMATCH(B138,""^((L\+M)|(M\+L))$"")"),FALSE)</f>
        <v>0</v>
      </c>
      <c r="I138" s="37" t="b">
        <f>IFERROR(__xludf.DUMMYFUNCTION("REGEXMATCH(B138,""^((R\+M)|(M\+R))$"")"),FALSE)</f>
        <v>0</v>
      </c>
      <c r="J138" s="37" t="b">
        <f>IFERROR(__xludf.DUMMYFUNCTION("REGEXMATCH(B138,""^L\+R\+M$"")"),FALSE)</f>
        <v>0</v>
      </c>
    </row>
    <row r="139" ht="18.75" customHeight="1">
      <c r="A139" s="8" t="str">
        <f>Paper_Textual_Conflict!O139</f>
        <v>L</v>
      </c>
      <c r="B139" s="8" t="str">
        <f>IFERROR(__xludf.DUMMYFUNCTION("SUBSTITUTE(REGEXEXTRACT(A139,""^[^(]*""),"" "","""")"),"L")</f>
        <v>L</v>
      </c>
      <c r="C139" s="8"/>
      <c r="D139" s="37" t="b">
        <f>IFERROR(__xludf.DUMMYFUNCTION("REGEXMATCH(B139,""^L$"")"),TRUE)</f>
        <v>1</v>
      </c>
      <c r="E139" s="37" t="b">
        <f>IFERROR(__xludf.DUMMYFUNCTION("REGEXMATCH(B139,""^R$"")"),FALSE)</f>
        <v>0</v>
      </c>
      <c r="F139" s="37" t="b">
        <f>IFERROR(__xludf.DUMMYFUNCTION("REGEXMATCH(B139,""^M$"")"),FALSE)</f>
        <v>0</v>
      </c>
      <c r="G139" s="37" t="b">
        <f>IFERROR(__xludf.DUMMYFUNCTION("REGEXMATCH(B139,""^((L\+R)|(R\+L))$"")"),FALSE)</f>
        <v>0</v>
      </c>
      <c r="H139" s="37" t="b">
        <f>IFERROR(__xludf.DUMMYFUNCTION("REGEXMATCH(B139,""^((L\+M)|(M\+L))$"")"),FALSE)</f>
        <v>0</v>
      </c>
      <c r="I139" s="37" t="b">
        <f>IFERROR(__xludf.DUMMYFUNCTION("REGEXMATCH(B139,""^((R\+M)|(M\+R))$"")"),FALSE)</f>
        <v>0</v>
      </c>
      <c r="J139" s="37" t="b">
        <f>IFERROR(__xludf.DUMMYFUNCTION("REGEXMATCH(B139,""^L\+R\+M$"")"),FALSE)</f>
        <v>0</v>
      </c>
    </row>
    <row r="140" ht="18.75" customHeight="1">
      <c r="A140" s="8" t="str">
        <f>Paper_Textual_Conflict!O140</f>
        <v>R</v>
      </c>
      <c r="B140" s="8" t="str">
        <f>IFERROR(__xludf.DUMMYFUNCTION("SUBSTITUTE(REGEXEXTRACT(A140,""^[^(]*""),"" "","""")"),"R")</f>
        <v>R</v>
      </c>
      <c r="C140" s="8"/>
      <c r="D140" s="37" t="b">
        <f>IFERROR(__xludf.DUMMYFUNCTION("REGEXMATCH(B140,""^L$"")"),FALSE)</f>
        <v>0</v>
      </c>
      <c r="E140" s="37" t="b">
        <f>IFERROR(__xludf.DUMMYFUNCTION("REGEXMATCH(B140,""^R$"")"),TRUE)</f>
        <v>1</v>
      </c>
      <c r="F140" s="37" t="b">
        <f>IFERROR(__xludf.DUMMYFUNCTION("REGEXMATCH(B140,""^M$"")"),FALSE)</f>
        <v>0</v>
      </c>
      <c r="G140" s="37" t="b">
        <f>IFERROR(__xludf.DUMMYFUNCTION("REGEXMATCH(B140,""^((L\+R)|(R\+L))$"")"),FALSE)</f>
        <v>0</v>
      </c>
      <c r="H140" s="37" t="b">
        <f>IFERROR(__xludf.DUMMYFUNCTION("REGEXMATCH(B140,""^((L\+M)|(M\+L))$"")"),FALSE)</f>
        <v>0</v>
      </c>
      <c r="I140" s="37" t="b">
        <f>IFERROR(__xludf.DUMMYFUNCTION("REGEXMATCH(B140,""^((R\+M)|(M\+R))$"")"),FALSE)</f>
        <v>0</v>
      </c>
      <c r="J140" s="37" t="b">
        <f>IFERROR(__xludf.DUMMYFUNCTION("REGEXMATCH(B140,""^L\+R\+M$"")"),FALSE)</f>
        <v>0</v>
      </c>
    </row>
    <row r="141" ht="18.75" customHeight="1">
      <c r="A141" s="8" t="str">
        <f>Paper_Textual_Conflict!O141</f>
        <v>L</v>
      </c>
      <c r="B141" s="8" t="str">
        <f>IFERROR(__xludf.DUMMYFUNCTION("SUBSTITUTE(REGEXEXTRACT(A141,""^[^(]*""),"" "","""")"),"L")</f>
        <v>L</v>
      </c>
      <c r="C141" s="8"/>
      <c r="D141" s="37" t="b">
        <f>IFERROR(__xludf.DUMMYFUNCTION("REGEXMATCH(B141,""^L$"")"),TRUE)</f>
        <v>1</v>
      </c>
      <c r="E141" s="37" t="b">
        <f>IFERROR(__xludf.DUMMYFUNCTION("REGEXMATCH(B141,""^R$"")"),FALSE)</f>
        <v>0</v>
      </c>
      <c r="F141" s="37" t="b">
        <f>IFERROR(__xludf.DUMMYFUNCTION("REGEXMATCH(B141,""^M$"")"),FALSE)</f>
        <v>0</v>
      </c>
      <c r="G141" s="37" t="b">
        <f>IFERROR(__xludf.DUMMYFUNCTION("REGEXMATCH(B141,""^((L\+R)|(R\+L))$"")"),FALSE)</f>
        <v>0</v>
      </c>
      <c r="H141" s="37" t="b">
        <f>IFERROR(__xludf.DUMMYFUNCTION("REGEXMATCH(B141,""^((L\+M)|(M\+L))$"")"),FALSE)</f>
        <v>0</v>
      </c>
      <c r="I141" s="37" t="b">
        <f>IFERROR(__xludf.DUMMYFUNCTION("REGEXMATCH(B141,""^((R\+M)|(M\+R))$"")"),FALSE)</f>
        <v>0</v>
      </c>
      <c r="J141" s="37" t="b">
        <f>IFERROR(__xludf.DUMMYFUNCTION("REGEXMATCH(B141,""^L\+R\+M$"")"),FALSE)</f>
        <v>0</v>
      </c>
    </row>
    <row r="142" ht="18.75" customHeight="1">
      <c r="A142" s="8" t="str">
        <f>Paper_Textual_Conflict!O142</f>
        <v>L</v>
      </c>
      <c r="B142" s="8" t="str">
        <f>IFERROR(__xludf.DUMMYFUNCTION("SUBSTITUTE(REGEXEXTRACT(A142,""^[^(]*""),"" "","""")"),"L")</f>
        <v>L</v>
      </c>
      <c r="C142" s="8"/>
      <c r="D142" s="37" t="b">
        <f>IFERROR(__xludf.DUMMYFUNCTION("REGEXMATCH(B142,""^L$"")"),TRUE)</f>
        <v>1</v>
      </c>
      <c r="E142" s="37" t="b">
        <f>IFERROR(__xludf.DUMMYFUNCTION("REGEXMATCH(B142,""^R$"")"),FALSE)</f>
        <v>0</v>
      </c>
      <c r="F142" s="37" t="b">
        <f>IFERROR(__xludf.DUMMYFUNCTION("REGEXMATCH(B142,""^M$"")"),FALSE)</f>
        <v>0</v>
      </c>
      <c r="G142" s="37" t="b">
        <f>IFERROR(__xludf.DUMMYFUNCTION("REGEXMATCH(B142,""^((L\+R)|(R\+L))$"")"),FALSE)</f>
        <v>0</v>
      </c>
      <c r="H142" s="37" t="b">
        <f>IFERROR(__xludf.DUMMYFUNCTION("REGEXMATCH(B142,""^((L\+M)|(M\+L))$"")"),FALSE)</f>
        <v>0</v>
      </c>
      <c r="I142" s="37" t="b">
        <f>IFERROR(__xludf.DUMMYFUNCTION("REGEXMATCH(B142,""^((R\+M)|(M\+R))$"")"),FALSE)</f>
        <v>0</v>
      </c>
      <c r="J142" s="37" t="b">
        <f>IFERROR(__xludf.DUMMYFUNCTION("REGEXMATCH(B142,""^L\+R\+M$"")"),FALSE)</f>
        <v>0</v>
      </c>
    </row>
    <row r="143" ht="18.75" customHeight="1">
      <c r="A143" s="8" t="str">
        <f>Paper_Textual_Conflict!O143</f>
        <v>L</v>
      </c>
      <c r="B143" s="8" t="str">
        <f>IFERROR(__xludf.DUMMYFUNCTION("SUBSTITUTE(REGEXEXTRACT(A143,""^[^(]*""),"" "","""")"),"L")</f>
        <v>L</v>
      </c>
      <c r="C143" s="8"/>
      <c r="D143" s="37" t="b">
        <f>IFERROR(__xludf.DUMMYFUNCTION("REGEXMATCH(B143,""^L$"")"),TRUE)</f>
        <v>1</v>
      </c>
      <c r="E143" s="37" t="b">
        <f>IFERROR(__xludf.DUMMYFUNCTION("REGEXMATCH(B143,""^R$"")"),FALSE)</f>
        <v>0</v>
      </c>
      <c r="F143" s="37" t="b">
        <f>IFERROR(__xludf.DUMMYFUNCTION("REGEXMATCH(B143,""^M$"")"),FALSE)</f>
        <v>0</v>
      </c>
      <c r="G143" s="37" t="b">
        <f>IFERROR(__xludf.DUMMYFUNCTION("REGEXMATCH(B143,""^((L\+R)|(R\+L))$"")"),FALSE)</f>
        <v>0</v>
      </c>
      <c r="H143" s="37" t="b">
        <f>IFERROR(__xludf.DUMMYFUNCTION("REGEXMATCH(B143,""^((L\+M)|(M\+L))$"")"),FALSE)</f>
        <v>0</v>
      </c>
      <c r="I143" s="37" t="b">
        <f>IFERROR(__xludf.DUMMYFUNCTION("REGEXMATCH(B143,""^((R\+M)|(M\+R))$"")"),FALSE)</f>
        <v>0</v>
      </c>
      <c r="J143" s="37" t="b">
        <f>IFERROR(__xludf.DUMMYFUNCTION("REGEXMATCH(B143,""^L\+R\+M$"")"),FALSE)</f>
        <v>0</v>
      </c>
    </row>
    <row r="144" ht="18.75" customHeight="1">
      <c r="A144" s="8" t="str">
        <f>Paper_Textual_Conflict!O144</f>
        <v>R</v>
      </c>
      <c r="B144" s="8" t="str">
        <f>IFERROR(__xludf.DUMMYFUNCTION("SUBSTITUTE(REGEXEXTRACT(A144,""^[^(]*""),"" "","""")"),"R")</f>
        <v>R</v>
      </c>
      <c r="C144" s="8"/>
      <c r="D144" s="37" t="b">
        <f>IFERROR(__xludf.DUMMYFUNCTION("REGEXMATCH(B144,""^L$"")"),FALSE)</f>
        <v>0</v>
      </c>
      <c r="E144" s="37" t="b">
        <f>IFERROR(__xludf.DUMMYFUNCTION("REGEXMATCH(B144,""^R$"")"),TRUE)</f>
        <v>1</v>
      </c>
      <c r="F144" s="37" t="b">
        <f>IFERROR(__xludf.DUMMYFUNCTION("REGEXMATCH(B144,""^M$"")"),FALSE)</f>
        <v>0</v>
      </c>
      <c r="G144" s="37" t="b">
        <f>IFERROR(__xludf.DUMMYFUNCTION("REGEXMATCH(B144,""^((L\+R)|(R\+L))$"")"),FALSE)</f>
        <v>0</v>
      </c>
      <c r="H144" s="37" t="b">
        <f>IFERROR(__xludf.DUMMYFUNCTION("REGEXMATCH(B144,""^((L\+M)|(M\+L))$"")"),FALSE)</f>
        <v>0</v>
      </c>
      <c r="I144" s="37" t="b">
        <f>IFERROR(__xludf.DUMMYFUNCTION("REGEXMATCH(B144,""^((R\+M)|(M\+R))$"")"),FALSE)</f>
        <v>0</v>
      </c>
      <c r="J144" s="37" t="b">
        <f>IFERROR(__xludf.DUMMYFUNCTION("REGEXMATCH(B144,""^L\+R\+M$"")"),FALSE)</f>
        <v>0</v>
      </c>
    </row>
    <row r="145" ht="18.75" customHeight="1">
      <c r="A145" s="8" t="str">
        <f>Paper_Textual_Conflict!O145</f>
        <v>L</v>
      </c>
      <c r="B145" s="8" t="str">
        <f>IFERROR(__xludf.DUMMYFUNCTION("SUBSTITUTE(REGEXEXTRACT(A145,""^[^(]*""),"" "","""")"),"L")</f>
        <v>L</v>
      </c>
      <c r="C145" s="8"/>
      <c r="D145" s="37" t="b">
        <f>IFERROR(__xludf.DUMMYFUNCTION("REGEXMATCH(B145,""^L$"")"),TRUE)</f>
        <v>1</v>
      </c>
      <c r="E145" s="37" t="b">
        <f>IFERROR(__xludf.DUMMYFUNCTION("REGEXMATCH(B145,""^R$"")"),FALSE)</f>
        <v>0</v>
      </c>
      <c r="F145" s="37" t="b">
        <f>IFERROR(__xludf.DUMMYFUNCTION("REGEXMATCH(B145,""^M$"")"),FALSE)</f>
        <v>0</v>
      </c>
      <c r="G145" s="37" t="b">
        <f>IFERROR(__xludf.DUMMYFUNCTION("REGEXMATCH(B145,""^((L\+R)|(R\+L))$"")"),FALSE)</f>
        <v>0</v>
      </c>
      <c r="H145" s="37" t="b">
        <f>IFERROR(__xludf.DUMMYFUNCTION("REGEXMATCH(B145,""^((L\+M)|(M\+L))$"")"),FALSE)</f>
        <v>0</v>
      </c>
      <c r="I145" s="37" t="b">
        <f>IFERROR(__xludf.DUMMYFUNCTION("REGEXMATCH(B145,""^((R\+M)|(M\+R))$"")"),FALSE)</f>
        <v>0</v>
      </c>
      <c r="J145" s="37" t="b">
        <f>IFERROR(__xludf.DUMMYFUNCTION("REGEXMATCH(B145,""^L\+R\+M$"")"),FALSE)</f>
        <v>0</v>
      </c>
    </row>
    <row r="146" ht="18.75" customHeight="1">
      <c r="A146" s="8" t="str">
        <f>Paper_Textual_Conflict!O146</f>
        <v>L</v>
      </c>
      <c r="B146" s="8" t="str">
        <f>IFERROR(__xludf.DUMMYFUNCTION("SUBSTITUTE(REGEXEXTRACT(A146,""^[^(]*""),"" "","""")"),"L")</f>
        <v>L</v>
      </c>
      <c r="C146" s="8"/>
      <c r="D146" s="37" t="b">
        <f>IFERROR(__xludf.DUMMYFUNCTION("REGEXMATCH(B146,""^L$"")"),TRUE)</f>
        <v>1</v>
      </c>
      <c r="E146" s="37" t="b">
        <f>IFERROR(__xludf.DUMMYFUNCTION("REGEXMATCH(B146,""^R$"")"),FALSE)</f>
        <v>0</v>
      </c>
      <c r="F146" s="37" t="b">
        <f>IFERROR(__xludf.DUMMYFUNCTION("REGEXMATCH(B146,""^M$"")"),FALSE)</f>
        <v>0</v>
      </c>
      <c r="G146" s="37" t="b">
        <f>IFERROR(__xludf.DUMMYFUNCTION("REGEXMATCH(B146,""^((L\+R)|(R\+L))$"")"),FALSE)</f>
        <v>0</v>
      </c>
      <c r="H146" s="37" t="b">
        <f>IFERROR(__xludf.DUMMYFUNCTION("REGEXMATCH(B146,""^((L\+M)|(M\+L))$"")"),FALSE)</f>
        <v>0</v>
      </c>
      <c r="I146" s="37" t="b">
        <f>IFERROR(__xludf.DUMMYFUNCTION("REGEXMATCH(B146,""^((R\+M)|(M\+R))$"")"),FALSE)</f>
        <v>0</v>
      </c>
      <c r="J146" s="37" t="b">
        <f>IFERROR(__xludf.DUMMYFUNCTION("REGEXMATCH(B146,""^L\+R\+M$"")"),FALSE)</f>
        <v>0</v>
      </c>
    </row>
    <row r="147" ht="18.75" customHeight="1">
      <c r="A147" s="8" t="str">
        <f>Paper_Textual_Conflict!O147</f>
        <v>L+R+M</v>
      </c>
      <c r="B147" s="8" t="str">
        <f>IFERROR(__xludf.DUMMYFUNCTION("SUBSTITUTE(REGEXEXTRACT(A147,""^[^(]*""),"" "","""")"),"L+R+M")</f>
        <v>L+R+M</v>
      </c>
      <c r="C147" s="8"/>
      <c r="D147" s="37" t="b">
        <f>IFERROR(__xludf.DUMMYFUNCTION("REGEXMATCH(B147,""^L$"")"),FALSE)</f>
        <v>0</v>
      </c>
      <c r="E147" s="37" t="b">
        <f>IFERROR(__xludf.DUMMYFUNCTION("REGEXMATCH(B147,""^R$"")"),FALSE)</f>
        <v>0</v>
      </c>
      <c r="F147" s="37" t="b">
        <f>IFERROR(__xludf.DUMMYFUNCTION("REGEXMATCH(B147,""^M$"")"),FALSE)</f>
        <v>0</v>
      </c>
      <c r="G147" s="37" t="b">
        <f>IFERROR(__xludf.DUMMYFUNCTION("REGEXMATCH(B147,""^((L\+R)|(R\+L))$"")"),FALSE)</f>
        <v>0</v>
      </c>
      <c r="H147" s="37" t="b">
        <f>IFERROR(__xludf.DUMMYFUNCTION("REGEXMATCH(B147,""^((L\+M)|(M\+L))$"")"),FALSE)</f>
        <v>0</v>
      </c>
      <c r="I147" s="37" t="b">
        <f>IFERROR(__xludf.DUMMYFUNCTION("REGEXMATCH(B147,""^((R\+M)|(M\+R))$"")"),FALSE)</f>
        <v>0</v>
      </c>
      <c r="J147" s="37" t="b">
        <f>IFERROR(__xludf.DUMMYFUNCTION("REGEXMATCH(B147,""^L\+R\+M$"")"),TRUE)</f>
        <v>1</v>
      </c>
    </row>
    <row r="148" ht="18.75" customHeight="1">
      <c r="A148" s="8" t="str">
        <f>Paper_Textual_Conflict!O148</f>
        <v>L+R</v>
      </c>
      <c r="B148" s="8" t="str">
        <f>IFERROR(__xludf.DUMMYFUNCTION("SUBSTITUTE(REGEXEXTRACT(A148,""^[^(]*""),"" "","""")"),"L+R")</f>
        <v>L+R</v>
      </c>
      <c r="C148" s="8"/>
      <c r="D148" s="37" t="b">
        <f>IFERROR(__xludf.DUMMYFUNCTION("REGEXMATCH(B148,""^L$"")"),FALSE)</f>
        <v>0</v>
      </c>
      <c r="E148" s="37" t="b">
        <f>IFERROR(__xludf.DUMMYFUNCTION("REGEXMATCH(B148,""^R$"")"),FALSE)</f>
        <v>0</v>
      </c>
      <c r="F148" s="37" t="b">
        <f>IFERROR(__xludf.DUMMYFUNCTION("REGEXMATCH(B148,""^M$"")"),FALSE)</f>
        <v>0</v>
      </c>
      <c r="G148" s="37" t="b">
        <f>IFERROR(__xludf.DUMMYFUNCTION("REGEXMATCH(B148,""^((L\+R)|(R\+L))$"")"),TRUE)</f>
        <v>1</v>
      </c>
      <c r="H148" s="37" t="b">
        <f>IFERROR(__xludf.DUMMYFUNCTION("REGEXMATCH(B148,""^((L\+M)|(M\+L))$"")"),FALSE)</f>
        <v>0</v>
      </c>
      <c r="I148" s="37" t="b">
        <f>IFERROR(__xludf.DUMMYFUNCTION("REGEXMATCH(B148,""^((R\+M)|(M\+R))$"")"),FALSE)</f>
        <v>0</v>
      </c>
      <c r="J148" s="37" t="b">
        <f>IFERROR(__xludf.DUMMYFUNCTION("REGEXMATCH(B148,""^L\+R\+M$"")"),FALSE)</f>
        <v>0</v>
      </c>
    </row>
    <row r="149" ht="18.75" customHeight="1">
      <c r="A149" s="8" t="str">
        <f>Paper_Textual_Conflict!O149</f>
        <v>L+R</v>
      </c>
      <c r="B149" s="8" t="str">
        <f>IFERROR(__xludf.DUMMYFUNCTION("SUBSTITUTE(REGEXEXTRACT(A149,""^[^(]*""),"" "","""")"),"L+R")</f>
        <v>L+R</v>
      </c>
      <c r="C149" s="8"/>
      <c r="D149" s="37" t="b">
        <f>IFERROR(__xludf.DUMMYFUNCTION("REGEXMATCH(B149,""^L$"")"),FALSE)</f>
        <v>0</v>
      </c>
      <c r="E149" s="37" t="b">
        <f>IFERROR(__xludf.DUMMYFUNCTION("REGEXMATCH(B149,""^R$"")"),FALSE)</f>
        <v>0</v>
      </c>
      <c r="F149" s="37" t="b">
        <f>IFERROR(__xludf.DUMMYFUNCTION("REGEXMATCH(B149,""^M$"")"),FALSE)</f>
        <v>0</v>
      </c>
      <c r="G149" s="37" t="b">
        <f>IFERROR(__xludf.DUMMYFUNCTION("REGEXMATCH(B149,""^((L\+R)|(R\+L))$"")"),TRUE)</f>
        <v>1</v>
      </c>
      <c r="H149" s="37" t="b">
        <f>IFERROR(__xludf.DUMMYFUNCTION("REGEXMATCH(B149,""^((L\+M)|(M\+L))$"")"),FALSE)</f>
        <v>0</v>
      </c>
      <c r="I149" s="37" t="b">
        <f>IFERROR(__xludf.DUMMYFUNCTION("REGEXMATCH(B149,""^((R\+M)|(M\+R))$"")"),FALSE)</f>
        <v>0</v>
      </c>
      <c r="J149" s="37" t="b">
        <f>IFERROR(__xludf.DUMMYFUNCTION("REGEXMATCH(B149,""^L\+R\+M$"")"),FALSE)</f>
        <v>0</v>
      </c>
    </row>
    <row r="150" ht="18.75" customHeight="1">
      <c r="A150" s="8" t="str">
        <f>Paper_Textual_Conflict!O150</f>
        <v>R+M</v>
      </c>
      <c r="B150" s="8" t="str">
        <f>IFERROR(__xludf.DUMMYFUNCTION("SUBSTITUTE(REGEXEXTRACT(A150,""^[^(]*""),"" "","""")"),"R+M")</f>
        <v>R+M</v>
      </c>
      <c r="C150" s="8"/>
      <c r="D150" s="37" t="b">
        <f>IFERROR(__xludf.DUMMYFUNCTION("REGEXMATCH(B150,""^L$"")"),FALSE)</f>
        <v>0</v>
      </c>
      <c r="E150" s="37" t="b">
        <f>IFERROR(__xludf.DUMMYFUNCTION("REGEXMATCH(B150,""^R$"")"),FALSE)</f>
        <v>0</v>
      </c>
      <c r="F150" s="37" t="b">
        <f>IFERROR(__xludf.DUMMYFUNCTION("REGEXMATCH(B150,""^M$"")"),FALSE)</f>
        <v>0</v>
      </c>
      <c r="G150" s="37" t="b">
        <f>IFERROR(__xludf.DUMMYFUNCTION("REGEXMATCH(B150,""^((L\+R)|(R\+L))$"")"),FALSE)</f>
        <v>0</v>
      </c>
      <c r="H150" s="37" t="b">
        <f>IFERROR(__xludf.DUMMYFUNCTION("REGEXMATCH(B150,""^((L\+M)|(M\+L))$"")"),FALSE)</f>
        <v>0</v>
      </c>
      <c r="I150" s="37" t="b">
        <f>IFERROR(__xludf.DUMMYFUNCTION("REGEXMATCH(B150,""^((R\+M)|(M\+R))$"")"),TRUE)</f>
        <v>1</v>
      </c>
      <c r="J150" s="37" t="b">
        <f>IFERROR(__xludf.DUMMYFUNCTION("REGEXMATCH(B150,""^L\+R\+M$"")"),FALSE)</f>
        <v>0</v>
      </c>
    </row>
    <row r="151" ht="18.75" customHeight="1">
      <c r="A151" s="8" t="str">
        <f>Paper_Textual_Conflict!O151</f>
        <v>L+R</v>
      </c>
      <c r="B151" s="8" t="str">
        <f>IFERROR(__xludf.DUMMYFUNCTION("SUBSTITUTE(REGEXEXTRACT(A151,""^[^(]*""),"" "","""")"),"L+R")</f>
        <v>L+R</v>
      </c>
      <c r="C151" s="8"/>
      <c r="D151" s="37" t="b">
        <f>IFERROR(__xludf.DUMMYFUNCTION("REGEXMATCH(B151,""^L$"")"),FALSE)</f>
        <v>0</v>
      </c>
      <c r="E151" s="37" t="b">
        <f>IFERROR(__xludf.DUMMYFUNCTION("REGEXMATCH(B151,""^R$"")"),FALSE)</f>
        <v>0</v>
      </c>
      <c r="F151" s="37" t="b">
        <f>IFERROR(__xludf.DUMMYFUNCTION("REGEXMATCH(B151,""^M$"")"),FALSE)</f>
        <v>0</v>
      </c>
      <c r="G151" s="37" t="b">
        <f>IFERROR(__xludf.DUMMYFUNCTION("REGEXMATCH(B151,""^((L\+R)|(R\+L))$"")"),TRUE)</f>
        <v>1</v>
      </c>
      <c r="H151" s="37" t="b">
        <f>IFERROR(__xludf.DUMMYFUNCTION("REGEXMATCH(B151,""^((L\+M)|(M\+L))$"")"),FALSE)</f>
        <v>0</v>
      </c>
      <c r="I151" s="37" t="b">
        <f>IFERROR(__xludf.DUMMYFUNCTION("REGEXMATCH(B151,""^((R\+M)|(M\+R))$"")"),FALSE)</f>
        <v>0</v>
      </c>
      <c r="J151" s="37" t="b">
        <f>IFERROR(__xludf.DUMMYFUNCTION("REGEXMATCH(B151,""^L\+R\+M$"")"),FALSE)</f>
        <v>0</v>
      </c>
    </row>
    <row r="152" ht="18.75" customHeight="1">
      <c r="A152" s="8" t="str">
        <f>Paper_Textual_Conflict!O152</f>
        <v>L+R</v>
      </c>
      <c r="B152" s="8" t="str">
        <f>IFERROR(__xludf.DUMMYFUNCTION("SUBSTITUTE(REGEXEXTRACT(A152,""^[^(]*""),"" "","""")"),"L+R")</f>
        <v>L+R</v>
      </c>
      <c r="C152" s="8"/>
      <c r="D152" s="37" t="b">
        <f>IFERROR(__xludf.DUMMYFUNCTION("REGEXMATCH(B152,""^L$"")"),FALSE)</f>
        <v>0</v>
      </c>
      <c r="E152" s="37" t="b">
        <f>IFERROR(__xludf.DUMMYFUNCTION("REGEXMATCH(B152,""^R$"")"),FALSE)</f>
        <v>0</v>
      </c>
      <c r="F152" s="37" t="b">
        <f>IFERROR(__xludf.DUMMYFUNCTION("REGEXMATCH(B152,""^M$"")"),FALSE)</f>
        <v>0</v>
      </c>
      <c r="G152" s="37" t="b">
        <f>IFERROR(__xludf.DUMMYFUNCTION("REGEXMATCH(B152,""^((L\+R)|(R\+L))$"")"),TRUE)</f>
        <v>1</v>
      </c>
      <c r="H152" s="37" t="b">
        <f>IFERROR(__xludf.DUMMYFUNCTION("REGEXMATCH(B152,""^((L\+M)|(M\+L))$"")"),FALSE)</f>
        <v>0</v>
      </c>
      <c r="I152" s="37" t="b">
        <f>IFERROR(__xludf.DUMMYFUNCTION("REGEXMATCH(B152,""^((R\+M)|(M\+R))$"")"),FALSE)</f>
        <v>0</v>
      </c>
      <c r="J152" s="37" t="b">
        <f>IFERROR(__xludf.DUMMYFUNCTION("REGEXMATCH(B152,""^L\+R\+M$"")"),FALSE)</f>
        <v>0</v>
      </c>
    </row>
    <row r="153" ht="18.75" customHeight="1">
      <c r="A153" s="8" t="str">
        <f>Paper_Textual_Conflict!O153</f>
        <v>L+R+M</v>
      </c>
      <c r="B153" s="8" t="str">
        <f>IFERROR(__xludf.DUMMYFUNCTION("SUBSTITUTE(REGEXEXTRACT(A153,""^[^(]*""),"" "","""")"),"L+R+M")</f>
        <v>L+R+M</v>
      </c>
      <c r="C153" s="8"/>
      <c r="D153" s="37" t="b">
        <f>IFERROR(__xludf.DUMMYFUNCTION("REGEXMATCH(B153,""^L$"")"),FALSE)</f>
        <v>0</v>
      </c>
      <c r="E153" s="37" t="b">
        <f>IFERROR(__xludf.DUMMYFUNCTION("REGEXMATCH(B153,""^R$"")"),FALSE)</f>
        <v>0</v>
      </c>
      <c r="F153" s="37" t="b">
        <f>IFERROR(__xludf.DUMMYFUNCTION("REGEXMATCH(B153,""^M$"")"),FALSE)</f>
        <v>0</v>
      </c>
      <c r="G153" s="37" t="b">
        <f>IFERROR(__xludf.DUMMYFUNCTION("REGEXMATCH(B153,""^((L\+R)|(R\+L))$"")"),FALSE)</f>
        <v>0</v>
      </c>
      <c r="H153" s="37" t="b">
        <f>IFERROR(__xludf.DUMMYFUNCTION("REGEXMATCH(B153,""^((L\+M)|(M\+L))$"")"),FALSE)</f>
        <v>0</v>
      </c>
      <c r="I153" s="37" t="b">
        <f>IFERROR(__xludf.DUMMYFUNCTION("REGEXMATCH(B153,""^((R\+M)|(M\+R))$"")"),FALSE)</f>
        <v>0</v>
      </c>
      <c r="J153" s="37" t="b">
        <f>IFERROR(__xludf.DUMMYFUNCTION("REGEXMATCH(B153,""^L\+R\+M$"")"),TRUE)</f>
        <v>1</v>
      </c>
    </row>
    <row r="154" ht="18.75" customHeight="1">
      <c r="A154" s="8" t="str">
        <f>Paper_Textual_Conflict!O154</f>
        <v>L</v>
      </c>
      <c r="B154" s="8" t="str">
        <f>IFERROR(__xludf.DUMMYFUNCTION("SUBSTITUTE(REGEXEXTRACT(A154,""^[^(]*""),"" "","""")"),"L")</f>
        <v>L</v>
      </c>
      <c r="C154" s="8"/>
      <c r="D154" s="37" t="b">
        <f>IFERROR(__xludf.DUMMYFUNCTION("REGEXMATCH(B154,""^L$"")"),TRUE)</f>
        <v>1</v>
      </c>
      <c r="E154" s="37" t="b">
        <f>IFERROR(__xludf.DUMMYFUNCTION("REGEXMATCH(B154,""^R$"")"),FALSE)</f>
        <v>0</v>
      </c>
      <c r="F154" s="37" t="b">
        <f>IFERROR(__xludf.DUMMYFUNCTION("REGEXMATCH(B154,""^M$"")"),FALSE)</f>
        <v>0</v>
      </c>
      <c r="G154" s="37" t="b">
        <f>IFERROR(__xludf.DUMMYFUNCTION("REGEXMATCH(B154,""^((L\+R)|(R\+L))$"")"),FALSE)</f>
        <v>0</v>
      </c>
      <c r="H154" s="37" t="b">
        <f>IFERROR(__xludf.DUMMYFUNCTION("REGEXMATCH(B154,""^((L\+M)|(M\+L))$"")"),FALSE)</f>
        <v>0</v>
      </c>
      <c r="I154" s="37" t="b">
        <f>IFERROR(__xludf.DUMMYFUNCTION("REGEXMATCH(B154,""^((R\+M)|(M\+R))$"")"),FALSE)</f>
        <v>0</v>
      </c>
      <c r="J154" s="37" t="b">
        <f>IFERROR(__xludf.DUMMYFUNCTION("REGEXMATCH(B154,""^L\+R\+M$"")"),FALSE)</f>
        <v>0</v>
      </c>
    </row>
    <row r="155" ht="18.75" customHeight="1">
      <c r="A155" s="8" t="str">
        <f>Paper_Textual_Conflict!O155</f>
        <v>R</v>
      </c>
      <c r="B155" s="8" t="str">
        <f>IFERROR(__xludf.DUMMYFUNCTION("SUBSTITUTE(REGEXEXTRACT(A155,""^[^(]*""),"" "","""")"),"R")</f>
        <v>R</v>
      </c>
      <c r="C155" s="8"/>
      <c r="D155" s="37" t="b">
        <f>IFERROR(__xludf.DUMMYFUNCTION("REGEXMATCH(B155,""^L$"")"),FALSE)</f>
        <v>0</v>
      </c>
      <c r="E155" s="37" t="b">
        <f>IFERROR(__xludf.DUMMYFUNCTION("REGEXMATCH(B155,""^R$"")"),TRUE)</f>
        <v>1</v>
      </c>
      <c r="F155" s="37" t="b">
        <f>IFERROR(__xludf.DUMMYFUNCTION("REGEXMATCH(B155,""^M$"")"),FALSE)</f>
        <v>0</v>
      </c>
      <c r="G155" s="37" t="b">
        <f>IFERROR(__xludf.DUMMYFUNCTION("REGEXMATCH(B155,""^((L\+R)|(R\+L))$"")"),FALSE)</f>
        <v>0</v>
      </c>
      <c r="H155" s="37" t="b">
        <f>IFERROR(__xludf.DUMMYFUNCTION("REGEXMATCH(B155,""^((L\+M)|(M\+L))$"")"),FALSE)</f>
        <v>0</v>
      </c>
      <c r="I155" s="37" t="b">
        <f>IFERROR(__xludf.DUMMYFUNCTION("REGEXMATCH(B155,""^((R\+M)|(M\+R))$"")"),FALSE)</f>
        <v>0</v>
      </c>
      <c r="J155" s="37" t="b">
        <f>IFERROR(__xludf.DUMMYFUNCTION("REGEXMATCH(B155,""^L\+R\+M$"")"),FALSE)</f>
        <v>0</v>
      </c>
    </row>
    <row r="156" ht="18.75" customHeight="1">
      <c r="A156" s="8" t="str">
        <f>Paper_Textual_Conflict!O156</f>
        <v>L</v>
      </c>
      <c r="B156" s="8" t="str">
        <f>IFERROR(__xludf.DUMMYFUNCTION("SUBSTITUTE(REGEXEXTRACT(A156,""^[^(]*""),"" "","""")"),"L")</f>
        <v>L</v>
      </c>
      <c r="C156" s="8"/>
      <c r="D156" s="37" t="b">
        <f>IFERROR(__xludf.DUMMYFUNCTION("REGEXMATCH(B156,""^L$"")"),TRUE)</f>
        <v>1</v>
      </c>
      <c r="E156" s="37" t="b">
        <f>IFERROR(__xludf.DUMMYFUNCTION("REGEXMATCH(B156,""^R$"")"),FALSE)</f>
        <v>0</v>
      </c>
      <c r="F156" s="37" t="b">
        <f>IFERROR(__xludf.DUMMYFUNCTION("REGEXMATCH(B156,""^M$"")"),FALSE)</f>
        <v>0</v>
      </c>
      <c r="G156" s="37" t="b">
        <f>IFERROR(__xludf.DUMMYFUNCTION("REGEXMATCH(B156,""^((L\+R)|(R\+L))$"")"),FALSE)</f>
        <v>0</v>
      </c>
      <c r="H156" s="37" t="b">
        <f>IFERROR(__xludf.DUMMYFUNCTION("REGEXMATCH(B156,""^((L\+M)|(M\+L))$"")"),FALSE)</f>
        <v>0</v>
      </c>
      <c r="I156" s="37" t="b">
        <f>IFERROR(__xludf.DUMMYFUNCTION("REGEXMATCH(B156,""^((R\+M)|(M\+R))$"")"),FALSE)</f>
        <v>0</v>
      </c>
      <c r="J156" s="37" t="b">
        <f>IFERROR(__xludf.DUMMYFUNCTION("REGEXMATCH(B156,""^L\+R\+M$"")"),FALSE)</f>
        <v>0</v>
      </c>
    </row>
    <row r="157" ht="18.75" customHeight="1">
      <c r="A157" s="8" t="str">
        <f>Paper_Textual_Conflict!O157</f>
        <v>L</v>
      </c>
      <c r="B157" s="8" t="str">
        <f>IFERROR(__xludf.DUMMYFUNCTION("SUBSTITUTE(REGEXEXTRACT(A157,""^[^(]*""),"" "","""")"),"L")</f>
        <v>L</v>
      </c>
      <c r="C157" s="8"/>
      <c r="D157" s="37" t="b">
        <f>IFERROR(__xludf.DUMMYFUNCTION("REGEXMATCH(B157,""^L$"")"),TRUE)</f>
        <v>1</v>
      </c>
      <c r="E157" s="37" t="b">
        <f>IFERROR(__xludf.DUMMYFUNCTION("REGEXMATCH(B157,""^R$"")"),FALSE)</f>
        <v>0</v>
      </c>
      <c r="F157" s="37" t="b">
        <f>IFERROR(__xludf.DUMMYFUNCTION("REGEXMATCH(B157,""^M$"")"),FALSE)</f>
        <v>0</v>
      </c>
      <c r="G157" s="37" t="b">
        <f>IFERROR(__xludf.DUMMYFUNCTION("REGEXMATCH(B157,""^((L\+R)|(R\+L))$"")"),FALSE)</f>
        <v>0</v>
      </c>
      <c r="H157" s="37" t="b">
        <f>IFERROR(__xludf.DUMMYFUNCTION("REGEXMATCH(B157,""^((L\+M)|(M\+L))$"")"),FALSE)</f>
        <v>0</v>
      </c>
      <c r="I157" s="37" t="b">
        <f>IFERROR(__xludf.DUMMYFUNCTION("REGEXMATCH(B157,""^((R\+M)|(M\+R))$"")"),FALSE)</f>
        <v>0</v>
      </c>
      <c r="J157" s="37" t="b">
        <f>IFERROR(__xludf.DUMMYFUNCTION("REGEXMATCH(B157,""^L\+R\+M$"")"),FALSE)</f>
        <v>0</v>
      </c>
    </row>
    <row r="158" ht="18.75" customHeight="1">
      <c r="A158" s="8" t="str">
        <f>Paper_Textual_Conflict!O158</f>
        <v>M</v>
      </c>
      <c r="B158" s="8" t="str">
        <f>IFERROR(__xludf.DUMMYFUNCTION("SUBSTITUTE(REGEXEXTRACT(A158,""^[^(]*""),"" "","""")"),"M")</f>
        <v>M</v>
      </c>
      <c r="C158" s="8"/>
      <c r="D158" s="37" t="b">
        <f>IFERROR(__xludf.DUMMYFUNCTION("REGEXMATCH(B158,""^L$"")"),FALSE)</f>
        <v>0</v>
      </c>
      <c r="E158" s="37" t="b">
        <f>IFERROR(__xludf.DUMMYFUNCTION("REGEXMATCH(B158,""^R$"")"),FALSE)</f>
        <v>0</v>
      </c>
      <c r="F158" s="37" t="b">
        <f>IFERROR(__xludf.DUMMYFUNCTION("REGEXMATCH(B158,""^M$"")"),TRUE)</f>
        <v>1</v>
      </c>
      <c r="G158" s="37" t="b">
        <f>IFERROR(__xludf.DUMMYFUNCTION("REGEXMATCH(B158,""^((L\+R)|(R\+L))$"")"),FALSE)</f>
        <v>0</v>
      </c>
      <c r="H158" s="37" t="b">
        <f>IFERROR(__xludf.DUMMYFUNCTION("REGEXMATCH(B158,""^((L\+M)|(M\+L))$"")"),FALSE)</f>
        <v>0</v>
      </c>
      <c r="I158" s="37" t="b">
        <f>IFERROR(__xludf.DUMMYFUNCTION("REGEXMATCH(B158,""^((R\+M)|(M\+R))$"")"),FALSE)</f>
        <v>0</v>
      </c>
      <c r="J158" s="37" t="b">
        <f>IFERROR(__xludf.DUMMYFUNCTION("REGEXMATCH(B158,""^L\+R\+M$"")"),FALSE)</f>
        <v>0</v>
      </c>
    </row>
    <row r="159" ht="18.75" customHeight="1">
      <c r="A159" s="8" t="str">
        <f>Paper_Textual_Conflict!O159</f>
        <v>R</v>
      </c>
      <c r="B159" s="8" t="str">
        <f>IFERROR(__xludf.DUMMYFUNCTION("SUBSTITUTE(REGEXEXTRACT(A159,""^[^(]*""),"" "","""")"),"R")</f>
        <v>R</v>
      </c>
      <c r="C159" s="8"/>
      <c r="D159" s="37" t="b">
        <f>IFERROR(__xludf.DUMMYFUNCTION("REGEXMATCH(B159,""^L$"")"),FALSE)</f>
        <v>0</v>
      </c>
      <c r="E159" s="37" t="b">
        <f>IFERROR(__xludf.DUMMYFUNCTION("REGEXMATCH(B159,""^R$"")"),TRUE)</f>
        <v>1</v>
      </c>
      <c r="F159" s="37" t="b">
        <f>IFERROR(__xludf.DUMMYFUNCTION("REGEXMATCH(B159,""^M$"")"),FALSE)</f>
        <v>0</v>
      </c>
      <c r="G159" s="37" t="b">
        <f>IFERROR(__xludf.DUMMYFUNCTION("REGEXMATCH(B159,""^((L\+R)|(R\+L))$"")"),FALSE)</f>
        <v>0</v>
      </c>
      <c r="H159" s="37" t="b">
        <f>IFERROR(__xludf.DUMMYFUNCTION("REGEXMATCH(B159,""^((L\+M)|(M\+L))$"")"),FALSE)</f>
        <v>0</v>
      </c>
      <c r="I159" s="37" t="b">
        <f>IFERROR(__xludf.DUMMYFUNCTION("REGEXMATCH(B159,""^((R\+M)|(M\+R))$"")"),FALSE)</f>
        <v>0</v>
      </c>
      <c r="J159" s="37" t="b">
        <f>IFERROR(__xludf.DUMMYFUNCTION("REGEXMATCH(B159,""^L\+R\+M$"")"),FALSE)</f>
        <v>0</v>
      </c>
    </row>
    <row r="160" ht="18.75" customHeight="1">
      <c r="A160" s="8" t="str">
        <f>Paper_Textual_Conflict!O160</f>
        <v>L</v>
      </c>
      <c r="B160" s="8" t="str">
        <f>IFERROR(__xludf.DUMMYFUNCTION("SUBSTITUTE(REGEXEXTRACT(A160,""^[^(]*""),"" "","""")"),"L")</f>
        <v>L</v>
      </c>
      <c r="C160" s="8"/>
      <c r="D160" s="37" t="b">
        <f>IFERROR(__xludf.DUMMYFUNCTION("REGEXMATCH(B160,""^L$"")"),TRUE)</f>
        <v>1</v>
      </c>
      <c r="E160" s="37" t="b">
        <f>IFERROR(__xludf.DUMMYFUNCTION("REGEXMATCH(B160,""^R$"")"),FALSE)</f>
        <v>0</v>
      </c>
      <c r="F160" s="37" t="b">
        <f>IFERROR(__xludf.DUMMYFUNCTION("REGEXMATCH(B160,""^M$"")"),FALSE)</f>
        <v>0</v>
      </c>
      <c r="G160" s="37" t="b">
        <f>IFERROR(__xludf.DUMMYFUNCTION("REGEXMATCH(B160,""^((L\+R)|(R\+L))$"")"),FALSE)</f>
        <v>0</v>
      </c>
      <c r="H160" s="37" t="b">
        <f>IFERROR(__xludf.DUMMYFUNCTION("REGEXMATCH(B160,""^((L\+M)|(M\+L))$"")"),FALSE)</f>
        <v>0</v>
      </c>
      <c r="I160" s="37" t="b">
        <f>IFERROR(__xludf.DUMMYFUNCTION("REGEXMATCH(B160,""^((R\+M)|(M\+R))$"")"),FALSE)</f>
        <v>0</v>
      </c>
      <c r="J160" s="37" t="b">
        <f>IFERROR(__xludf.DUMMYFUNCTION("REGEXMATCH(B160,""^L\+R\+M$"")"),FALSE)</f>
        <v>0</v>
      </c>
    </row>
    <row r="161" ht="18.75" customHeight="1">
      <c r="A161" s="8" t="str">
        <f>Paper_Textual_Conflict!O161</f>
        <v>R</v>
      </c>
      <c r="B161" s="8" t="str">
        <f>IFERROR(__xludf.DUMMYFUNCTION("SUBSTITUTE(REGEXEXTRACT(A161,""^[^(]*""),"" "","""")"),"R")</f>
        <v>R</v>
      </c>
      <c r="C161" s="8"/>
      <c r="D161" s="37" t="b">
        <f>IFERROR(__xludf.DUMMYFUNCTION("REGEXMATCH(B161,""^L$"")"),FALSE)</f>
        <v>0</v>
      </c>
      <c r="E161" s="37" t="b">
        <f>IFERROR(__xludf.DUMMYFUNCTION("REGEXMATCH(B161,""^R$"")"),TRUE)</f>
        <v>1</v>
      </c>
      <c r="F161" s="37" t="b">
        <f>IFERROR(__xludf.DUMMYFUNCTION("REGEXMATCH(B161,""^M$"")"),FALSE)</f>
        <v>0</v>
      </c>
      <c r="G161" s="37" t="b">
        <f>IFERROR(__xludf.DUMMYFUNCTION("REGEXMATCH(B161,""^((L\+R)|(R\+L))$"")"),FALSE)</f>
        <v>0</v>
      </c>
      <c r="H161" s="37" t="b">
        <f>IFERROR(__xludf.DUMMYFUNCTION("REGEXMATCH(B161,""^((L\+M)|(M\+L))$"")"),FALSE)</f>
        <v>0</v>
      </c>
      <c r="I161" s="37" t="b">
        <f>IFERROR(__xludf.DUMMYFUNCTION("REGEXMATCH(B161,""^((R\+M)|(M\+R))$"")"),FALSE)</f>
        <v>0</v>
      </c>
      <c r="J161" s="37" t="b">
        <f>IFERROR(__xludf.DUMMYFUNCTION("REGEXMATCH(B161,""^L\+R\+M$"")"),FALSE)</f>
        <v>0</v>
      </c>
    </row>
    <row r="162" ht="18.75" customHeight="1">
      <c r="A162" s="8" t="str">
        <f>Paper_Textual_Conflict!O162</f>
        <v>L+R+M</v>
      </c>
      <c r="B162" s="8" t="str">
        <f>IFERROR(__xludf.DUMMYFUNCTION("SUBSTITUTE(REGEXEXTRACT(A162,""^[^(]*""),"" "","""")"),"L+R+M")</f>
        <v>L+R+M</v>
      </c>
      <c r="C162" s="8"/>
      <c r="D162" s="37" t="b">
        <f>IFERROR(__xludf.DUMMYFUNCTION("REGEXMATCH(B162,""^L$"")"),FALSE)</f>
        <v>0</v>
      </c>
      <c r="E162" s="37" t="b">
        <f>IFERROR(__xludf.DUMMYFUNCTION("REGEXMATCH(B162,""^R$"")"),FALSE)</f>
        <v>0</v>
      </c>
      <c r="F162" s="37" t="b">
        <f>IFERROR(__xludf.DUMMYFUNCTION("REGEXMATCH(B162,""^M$"")"),FALSE)</f>
        <v>0</v>
      </c>
      <c r="G162" s="37" t="b">
        <f>IFERROR(__xludf.DUMMYFUNCTION("REGEXMATCH(B162,""^((L\+R)|(R\+L))$"")"),FALSE)</f>
        <v>0</v>
      </c>
      <c r="H162" s="37" t="b">
        <f>IFERROR(__xludf.DUMMYFUNCTION("REGEXMATCH(B162,""^((L\+M)|(M\+L))$"")"),FALSE)</f>
        <v>0</v>
      </c>
      <c r="I162" s="37" t="b">
        <f>IFERROR(__xludf.DUMMYFUNCTION("REGEXMATCH(B162,""^((R\+M)|(M\+R))$"")"),FALSE)</f>
        <v>0</v>
      </c>
      <c r="J162" s="37" t="b">
        <f>IFERROR(__xludf.DUMMYFUNCTION("REGEXMATCH(B162,""^L\+R\+M$"")"),TRUE)</f>
        <v>1</v>
      </c>
    </row>
    <row r="163" ht="18.75" customHeight="1">
      <c r="A163" s="8" t="str">
        <f>Paper_Textual_Conflict!O163</f>
        <v>L+R</v>
      </c>
      <c r="B163" s="8" t="str">
        <f>IFERROR(__xludf.DUMMYFUNCTION("SUBSTITUTE(REGEXEXTRACT(A163,""^[^(]*""),"" "","""")"),"L+R")</f>
        <v>L+R</v>
      </c>
      <c r="C163" s="8"/>
      <c r="D163" s="37" t="b">
        <f>IFERROR(__xludf.DUMMYFUNCTION("REGEXMATCH(B163,""^L$"")"),FALSE)</f>
        <v>0</v>
      </c>
      <c r="E163" s="37" t="b">
        <f>IFERROR(__xludf.DUMMYFUNCTION("REGEXMATCH(B163,""^R$"")"),FALSE)</f>
        <v>0</v>
      </c>
      <c r="F163" s="37" t="b">
        <f>IFERROR(__xludf.DUMMYFUNCTION("REGEXMATCH(B163,""^M$"")"),FALSE)</f>
        <v>0</v>
      </c>
      <c r="G163" s="37" t="b">
        <f>IFERROR(__xludf.DUMMYFUNCTION("REGEXMATCH(B163,""^((L\+R)|(R\+L))$"")"),TRUE)</f>
        <v>1</v>
      </c>
      <c r="H163" s="37" t="b">
        <f>IFERROR(__xludf.DUMMYFUNCTION("REGEXMATCH(B163,""^((L\+M)|(M\+L))$"")"),FALSE)</f>
        <v>0</v>
      </c>
      <c r="I163" s="37" t="b">
        <f>IFERROR(__xludf.DUMMYFUNCTION("REGEXMATCH(B163,""^((R\+M)|(M\+R))$"")"),FALSE)</f>
        <v>0</v>
      </c>
      <c r="J163" s="37" t="b">
        <f>IFERROR(__xludf.DUMMYFUNCTION("REGEXMATCH(B163,""^L\+R\+M$"")"),FALSE)</f>
        <v>0</v>
      </c>
    </row>
    <row r="164" ht="18.75" customHeight="1">
      <c r="A164" s="8" t="str">
        <f>Paper_Textual_Conflict!O164</f>
        <v>R</v>
      </c>
      <c r="B164" s="8" t="str">
        <f>IFERROR(__xludf.DUMMYFUNCTION("SUBSTITUTE(REGEXEXTRACT(A164,""^[^(]*""),"" "","""")"),"R")</f>
        <v>R</v>
      </c>
      <c r="C164" s="8"/>
      <c r="D164" s="37" t="b">
        <f>IFERROR(__xludf.DUMMYFUNCTION("REGEXMATCH(B164,""^L$"")"),FALSE)</f>
        <v>0</v>
      </c>
      <c r="E164" s="37" t="b">
        <f>IFERROR(__xludf.DUMMYFUNCTION("REGEXMATCH(B164,""^R$"")"),TRUE)</f>
        <v>1</v>
      </c>
      <c r="F164" s="37" t="b">
        <f>IFERROR(__xludf.DUMMYFUNCTION("REGEXMATCH(B164,""^M$"")"),FALSE)</f>
        <v>0</v>
      </c>
      <c r="G164" s="37" t="b">
        <f>IFERROR(__xludf.DUMMYFUNCTION("REGEXMATCH(B164,""^((L\+R)|(R\+L))$"")"),FALSE)</f>
        <v>0</v>
      </c>
      <c r="H164" s="37" t="b">
        <f>IFERROR(__xludf.DUMMYFUNCTION("REGEXMATCH(B164,""^((L\+M)|(M\+L))$"")"),FALSE)</f>
        <v>0</v>
      </c>
      <c r="I164" s="37" t="b">
        <f>IFERROR(__xludf.DUMMYFUNCTION("REGEXMATCH(B164,""^((R\+M)|(M\+R))$"")"),FALSE)</f>
        <v>0</v>
      </c>
      <c r="J164" s="37" t="b">
        <f>IFERROR(__xludf.DUMMYFUNCTION("REGEXMATCH(B164,""^L\+R\+M$"")"),FALSE)</f>
        <v>0</v>
      </c>
    </row>
    <row r="165" ht="18.75" customHeight="1">
      <c r="A165" s="8" t="str">
        <f>Paper_Textual_Conflict!O165</f>
        <v>R</v>
      </c>
      <c r="B165" s="8" t="str">
        <f>IFERROR(__xludf.DUMMYFUNCTION("SUBSTITUTE(REGEXEXTRACT(A165,""^[^(]*""),"" "","""")"),"R")</f>
        <v>R</v>
      </c>
      <c r="C165" s="8"/>
      <c r="D165" s="37" t="b">
        <f>IFERROR(__xludf.DUMMYFUNCTION("REGEXMATCH(B165,""^L$"")"),FALSE)</f>
        <v>0</v>
      </c>
      <c r="E165" s="37" t="b">
        <f>IFERROR(__xludf.DUMMYFUNCTION("REGEXMATCH(B165,""^R$"")"),TRUE)</f>
        <v>1</v>
      </c>
      <c r="F165" s="37" t="b">
        <f>IFERROR(__xludf.DUMMYFUNCTION("REGEXMATCH(B165,""^M$"")"),FALSE)</f>
        <v>0</v>
      </c>
      <c r="G165" s="37" t="b">
        <f>IFERROR(__xludf.DUMMYFUNCTION("REGEXMATCH(B165,""^((L\+R)|(R\+L))$"")"),FALSE)</f>
        <v>0</v>
      </c>
      <c r="H165" s="37" t="b">
        <f>IFERROR(__xludf.DUMMYFUNCTION("REGEXMATCH(B165,""^((L\+M)|(M\+L))$"")"),FALSE)</f>
        <v>0</v>
      </c>
      <c r="I165" s="37" t="b">
        <f>IFERROR(__xludf.DUMMYFUNCTION("REGEXMATCH(B165,""^((R\+M)|(M\+R))$"")"),FALSE)</f>
        <v>0</v>
      </c>
      <c r="J165" s="37" t="b">
        <f>IFERROR(__xludf.DUMMYFUNCTION("REGEXMATCH(B165,""^L\+R\+M$"")"),FALSE)</f>
        <v>0</v>
      </c>
    </row>
    <row r="166" ht="18.75" customHeight="1">
      <c r="A166" s="8" t="str">
        <f>Paper_Textual_Conflict!O166</f>
        <v>L</v>
      </c>
      <c r="B166" s="8" t="str">
        <f>IFERROR(__xludf.DUMMYFUNCTION("SUBSTITUTE(REGEXEXTRACT(A166,""^[^(]*""),"" "","""")"),"L")</f>
        <v>L</v>
      </c>
      <c r="C166" s="8"/>
      <c r="D166" s="37" t="b">
        <f>IFERROR(__xludf.DUMMYFUNCTION("REGEXMATCH(B166,""^L$"")"),TRUE)</f>
        <v>1</v>
      </c>
      <c r="E166" s="37" t="b">
        <f>IFERROR(__xludf.DUMMYFUNCTION("REGEXMATCH(B166,""^R$"")"),FALSE)</f>
        <v>0</v>
      </c>
      <c r="F166" s="37" t="b">
        <f>IFERROR(__xludf.DUMMYFUNCTION("REGEXMATCH(B166,""^M$"")"),FALSE)</f>
        <v>0</v>
      </c>
      <c r="G166" s="37" t="b">
        <f>IFERROR(__xludf.DUMMYFUNCTION("REGEXMATCH(B166,""^((L\+R)|(R\+L))$"")"),FALSE)</f>
        <v>0</v>
      </c>
      <c r="H166" s="37" t="b">
        <f>IFERROR(__xludf.DUMMYFUNCTION("REGEXMATCH(B166,""^((L\+M)|(M\+L))$"")"),FALSE)</f>
        <v>0</v>
      </c>
      <c r="I166" s="37" t="b">
        <f>IFERROR(__xludf.DUMMYFUNCTION("REGEXMATCH(B166,""^((R\+M)|(M\+R))$"")"),FALSE)</f>
        <v>0</v>
      </c>
      <c r="J166" s="37" t="b">
        <f>IFERROR(__xludf.DUMMYFUNCTION("REGEXMATCH(B166,""^L\+R\+M$"")"),FALSE)</f>
        <v>0</v>
      </c>
    </row>
    <row r="167" ht="18.75" customHeight="1">
      <c r="A167" s="8" t="str">
        <f>Paper_Textual_Conflict!O167</f>
        <v>L</v>
      </c>
      <c r="B167" s="8" t="str">
        <f>IFERROR(__xludf.DUMMYFUNCTION("SUBSTITUTE(REGEXEXTRACT(A167,""^[^(]*""),"" "","""")"),"L")</f>
        <v>L</v>
      </c>
      <c r="C167" s="8"/>
      <c r="D167" s="37" t="b">
        <f>IFERROR(__xludf.DUMMYFUNCTION("REGEXMATCH(B167,""^L$"")"),TRUE)</f>
        <v>1</v>
      </c>
      <c r="E167" s="37" t="b">
        <f>IFERROR(__xludf.DUMMYFUNCTION("REGEXMATCH(B167,""^R$"")"),FALSE)</f>
        <v>0</v>
      </c>
      <c r="F167" s="37" t="b">
        <f>IFERROR(__xludf.DUMMYFUNCTION("REGEXMATCH(B167,""^M$"")"),FALSE)</f>
        <v>0</v>
      </c>
      <c r="G167" s="37" t="b">
        <f>IFERROR(__xludf.DUMMYFUNCTION("REGEXMATCH(B167,""^((L\+R)|(R\+L))$"")"),FALSE)</f>
        <v>0</v>
      </c>
      <c r="H167" s="37" t="b">
        <f>IFERROR(__xludf.DUMMYFUNCTION("REGEXMATCH(B167,""^((L\+M)|(M\+L))$"")"),FALSE)</f>
        <v>0</v>
      </c>
      <c r="I167" s="37" t="b">
        <f>IFERROR(__xludf.DUMMYFUNCTION("REGEXMATCH(B167,""^((R\+M)|(M\+R))$"")"),FALSE)</f>
        <v>0</v>
      </c>
      <c r="J167" s="37" t="b">
        <f>IFERROR(__xludf.DUMMYFUNCTION("REGEXMATCH(B167,""^L\+R\+M$"")"),FALSE)</f>
        <v>0</v>
      </c>
    </row>
    <row r="168" ht="18.75" customHeight="1">
      <c r="A168" s="8" t="str">
        <f>Paper_Textual_Conflict!O168</f>
        <v>L</v>
      </c>
      <c r="B168" s="8" t="str">
        <f>IFERROR(__xludf.DUMMYFUNCTION("SUBSTITUTE(REGEXEXTRACT(A168,""^[^(]*""),"" "","""")"),"L")</f>
        <v>L</v>
      </c>
      <c r="C168" s="8"/>
      <c r="D168" s="37" t="b">
        <f>IFERROR(__xludf.DUMMYFUNCTION("REGEXMATCH(B168,""^L$"")"),TRUE)</f>
        <v>1</v>
      </c>
      <c r="E168" s="37" t="b">
        <f>IFERROR(__xludf.DUMMYFUNCTION("REGEXMATCH(B168,""^R$"")"),FALSE)</f>
        <v>0</v>
      </c>
      <c r="F168" s="37" t="b">
        <f>IFERROR(__xludf.DUMMYFUNCTION("REGEXMATCH(B168,""^M$"")"),FALSE)</f>
        <v>0</v>
      </c>
      <c r="G168" s="37" t="b">
        <f>IFERROR(__xludf.DUMMYFUNCTION("REGEXMATCH(B168,""^((L\+R)|(R\+L))$"")"),FALSE)</f>
        <v>0</v>
      </c>
      <c r="H168" s="37" t="b">
        <f>IFERROR(__xludf.DUMMYFUNCTION("REGEXMATCH(B168,""^((L\+M)|(M\+L))$"")"),FALSE)</f>
        <v>0</v>
      </c>
      <c r="I168" s="37" t="b">
        <f>IFERROR(__xludf.DUMMYFUNCTION("REGEXMATCH(B168,""^((R\+M)|(M\+R))$"")"),FALSE)</f>
        <v>0</v>
      </c>
      <c r="J168" s="37" t="b">
        <f>IFERROR(__xludf.DUMMYFUNCTION("REGEXMATCH(B168,""^L\+R\+M$"")"),FALSE)</f>
        <v>0</v>
      </c>
    </row>
    <row r="169" ht="18.75" customHeight="1">
      <c r="A169" s="8" t="str">
        <f>Paper_Textual_Conflict!O169</f>
        <v>L+R</v>
      </c>
      <c r="B169" s="8" t="str">
        <f>IFERROR(__xludf.DUMMYFUNCTION("SUBSTITUTE(REGEXEXTRACT(A169,""^[^(]*""),"" "","""")"),"L+R")</f>
        <v>L+R</v>
      </c>
      <c r="C169" s="8"/>
      <c r="D169" s="37" t="b">
        <f>IFERROR(__xludf.DUMMYFUNCTION("REGEXMATCH(B169,""^L$"")"),FALSE)</f>
        <v>0</v>
      </c>
      <c r="E169" s="37" t="b">
        <f>IFERROR(__xludf.DUMMYFUNCTION("REGEXMATCH(B169,""^R$"")"),FALSE)</f>
        <v>0</v>
      </c>
      <c r="F169" s="37" t="b">
        <f>IFERROR(__xludf.DUMMYFUNCTION("REGEXMATCH(B169,""^M$"")"),FALSE)</f>
        <v>0</v>
      </c>
      <c r="G169" s="37" t="b">
        <f>IFERROR(__xludf.DUMMYFUNCTION("REGEXMATCH(B169,""^((L\+R)|(R\+L))$"")"),TRUE)</f>
        <v>1</v>
      </c>
      <c r="H169" s="37" t="b">
        <f>IFERROR(__xludf.DUMMYFUNCTION("REGEXMATCH(B169,""^((L\+M)|(M\+L))$"")"),FALSE)</f>
        <v>0</v>
      </c>
      <c r="I169" s="37" t="b">
        <f>IFERROR(__xludf.DUMMYFUNCTION("REGEXMATCH(B169,""^((R\+M)|(M\+R))$"")"),FALSE)</f>
        <v>0</v>
      </c>
      <c r="J169" s="37" t="b">
        <f>IFERROR(__xludf.DUMMYFUNCTION("REGEXMATCH(B169,""^L\+R\+M$"")"),FALSE)</f>
        <v>0</v>
      </c>
    </row>
    <row r="170" ht="18.75" customHeight="1">
      <c r="A170" s="8" t="str">
        <f>Paper_Textual_Conflict!O170</f>
        <v>R</v>
      </c>
      <c r="B170" s="8" t="str">
        <f>IFERROR(__xludf.DUMMYFUNCTION("SUBSTITUTE(REGEXEXTRACT(A170,""^[^(]*""),"" "","""")"),"R")</f>
        <v>R</v>
      </c>
      <c r="C170" s="8"/>
      <c r="D170" s="37" t="b">
        <f>IFERROR(__xludf.DUMMYFUNCTION("REGEXMATCH(B170,""^L$"")"),FALSE)</f>
        <v>0</v>
      </c>
      <c r="E170" s="37" t="b">
        <f>IFERROR(__xludf.DUMMYFUNCTION("REGEXMATCH(B170,""^R$"")"),TRUE)</f>
        <v>1</v>
      </c>
      <c r="F170" s="37" t="b">
        <f>IFERROR(__xludf.DUMMYFUNCTION("REGEXMATCH(B170,""^M$"")"),FALSE)</f>
        <v>0</v>
      </c>
      <c r="G170" s="37" t="b">
        <f>IFERROR(__xludf.DUMMYFUNCTION("REGEXMATCH(B170,""^((L\+R)|(R\+L))$"")"),FALSE)</f>
        <v>0</v>
      </c>
      <c r="H170" s="37" t="b">
        <f>IFERROR(__xludf.DUMMYFUNCTION("REGEXMATCH(B170,""^((L\+M)|(M\+L))$"")"),FALSE)</f>
        <v>0</v>
      </c>
      <c r="I170" s="37" t="b">
        <f>IFERROR(__xludf.DUMMYFUNCTION("REGEXMATCH(B170,""^((R\+M)|(M\+R))$"")"),FALSE)</f>
        <v>0</v>
      </c>
      <c r="J170" s="37" t="b">
        <f>IFERROR(__xludf.DUMMYFUNCTION("REGEXMATCH(B170,""^L\+R\+M$"")"),FALSE)</f>
        <v>0</v>
      </c>
    </row>
    <row r="171" ht="18.75" customHeight="1">
      <c r="A171" s="8" t="str">
        <f>Paper_Textual_Conflict!O171</f>
        <v>L+R+M</v>
      </c>
      <c r="B171" s="8" t="str">
        <f>IFERROR(__xludf.DUMMYFUNCTION("SUBSTITUTE(REGEXEXTRACT(A171,""^[^(]*""),"" "","""")"),"L+R+M")</f>
        <v>L+R+M</v>
      </c>
      <c r="C171" s="8"/>
      <c r="D171" s="37" t="b">
        <f>IFERROR(__xludf.DUMMYFUNCTION("REGEXMATCH(B171,""^L$"")"),FALSE)</f>
        <v>0</v>
      </c>
      <c r="E171" s="37" t="b">
        <f>IFERROR(__xludf.DUMMYFUNCTION("REGEXMATCH(B171,""^R$"")"),FALSE)</f>
        <v>0</v>
      </c>
      <c r="F171" s="37" t="b">
        <f>IFERROR(__xludf.DUMMYFUNCTION("REGEXMATCH(B171,""^M$"")"),FALSE)</f>
        <v>0</v>
      </c>
      <c r="G171" s="37" t="b">
        <f>IFERROR(__xludf.DUMMYFUNCTION("REGEXMATCH(B171,""^((L\+R)|(R\+L))$"")"),FALSE)</f>
        <v>0</v>
      </c>
      <c r="H171" s="37" t="b">
        <f>IFERROR(__xludf.DUMMYFUNCTION("REGEXMATCH(B171,""^((L\+M)|(M\+L))$"")"),FALSE)</f>
        <v>0</v>
      </c>
      <c r="I171" s="37" t="b">
        <f>IFERROR(__xludf.DUMMYFUNCTION("REGEXMATCH(B171,""^((R\+M)|(M\+R))$"")"),FALSE)</f>
        <v>0</v>
      </c>
      <c r="J171" s="37" t="b">
        <f>IFERROR(__xludf.DUMMYFUNCTION("REGEXMATCH(B171,""^L\+R\+M$"")"),TRUE)</f>
        <v>1</v>
      </c>
    </row>
    <row r="172" ht="18.75" customHeight="1">
      <c r="A172" s="8" t="str">
        <f>Paper_Textual_Conflict!O172</f>
        <v>L+R</v>
      </c>
      <c r="B172" s="8" t="str">
        <f>IFERROR(__xludf.DUMMYFUNCTION("SUBSTITUTE(REGEXEXTRACT(A172,""^[^(]*""),"" "","""")"),"L+R")</f>
        <v>L+R</v>
      </c>
      <c r="C172" s="8"/>
      <c r="D172" s="37" t="b">
        <f>IFERROR(__xludf.DUMMYFUNCTION("REGEXMATCH(B172,""^L$"")"),FALSE)</f>
        <v>0</v>
      </c>
      <c r="E172" s="37" t="b">
        <f>IFERROR(__xludf.DUMMYFUNCTION("REGEXMATCH(B172,""^R$"")"),FALSE)</f>
        <v>0</v>
      </c>
      <c r="F172" s="37" t="b">
        <f>IFERROR(__xludf.DUMMYFUNCTION("REGEXMATCH(B172,""^M$"")"),FALSE)</f>
        <v>0</v>
      </c>
      <c r="G172" s="37" t="b">
        <f>IFERROR(__xludf.DUMMYFUNCTION("REGEXMATCH(B172,""^((L\+R)|(R\+L))$"")"),TRUE)</f>
        <v>1</v>
      </c>
      <c r="H172" s="37" t="b">
        <f>IFERROR(__xludf.DUMMYFUNCTION("REGEXMATCH(B172,""^((L\+M)|(M\+L))$"")"),FALSE)</f>
        <v>0</v>
      </c>
      <c r="I172" s="37" t="b">
        <f>IFERROR(__xludf.DUMMYFUNCTION("REGEXMATCH(B172,""^((R\+M)|(M\+R))$"")"),FALSE)</f>
        <v>0</v>
      </c>
      <c r="J172" s="37" t="b">
        <f>IFERROR(__xludf.DUMMYFUNCTION("REGEXMATCH(B172,""^L\+R\+M$"")"),FALSE)</f>
        <v>0</v>
      </c>
    </row>
    <row r="173" ht="18.75" customHeight="1">
      <c r="A173" s="8" t="str">
        <f>Paper_Textual_Conflict!O173</f>
        <v>L+R+M</v>
      </c>
      <c r="B173" s="8" t="str">
        <f>IFERROR(__xludf.DUMMYFUNCTION("SUBSTITUTE(REGEXEXTRACT(A173,""^[^(]*""),"" "","""")"),"L+R+M")</f>
        <v>L+R+M</v>
      </c>
      <c r="C173" s="8"/>
      <c r="D173" s="37" t="b">
        <f>IFERROR(__xludf.DUMMYFUNCTION("REGEXMATCH(B173,""^L$"")"),FALSE)</f>
        <v>0</v>
      </c>
      <c r="E173" s="37" t="b">
        <f>IFERROR(__xludf.DUMMYFUNCTION("REGEXMATCH(B173,""^R$"")"),FALSE)</f>
        <v>0</v>
      </c>
      <c r="F173" s="37" t="b">
        <f>IFERROR(__xludf.DUMMYFUNCTION("REGEXMATCH(B173,""^M$"")"),FALSE)</f>
        <v>0</v>
      </c>
      <c r="G173" s="37" t="b">
        <f>IFERROR(__xludf.DUMMYFUNCTION("REGEXMATCH(B173,""^((L\+R)|(R\+L))$"")"),FALSE)</f>
        <v>0</v>
      </c>
      <c r="H173" s="37" t="b">
        <f>IFERROR(__xludf.DUMMYFUNCTION("REGEXMATCH(B173,""^((L\+M)|(M\+L))$"")"),FALSE)</f>
        <v>0</v>
      </c>
      <c r="I173" s="37" t="b">
        <f>IFERROR(__xludf.DUMMYFUNCTION("REGEXMATCH(B173,""^((R\+M)|(M\+R))$"")"),FALSE)</f>
        <v>0</v>
      </c>
      <c r="J173" s="37" t="b">
        <f>IFERROR(__xludf.DUMMYFUNCTION("REGEXMATCH(B173,""^L\+R\+M$"")"),TRUE)</f>
        <v>1</v>
      </c>
    </row>
    <row r="174" ht="18.75" customHeight="1">
      <c r="A174" s="8" t="str">
        <f>Paper_Textual_Conflict!O174</f>
        <v>L</v>
      </c>
      <c r="B174" s="8" t="str">
        <f>IFERROR(__xludf.DUMMYFUNCTION("SUBSTITUTE(REGEXEXTRACT(A174,""^[^(]*""),"" "","""")"),"L")</f>
        <v>L</v>
      </c>
      <c r="C174" s="8"/>
      <c r="D174" s="37" t="b">
        <f>IFERROR(__xludf.DUMMYFUNCTION("REGEXMATCH(B174,""^L$"")"),TRUE)</f>
        <v>1</v>
      </c>
      <c r="E174" s="37" t="b">
        <f>IFERROR(__xludf.DUMMYFUNCTION("REGEXMATCH(B174,""^R$"")"),FALSE)</f>
        <v>0</v>
      </c>
      <c r="F174" s="37" t="b">
        <f>IFERROR(__xludf.DUMMYFUNCTION("REGEXMATCH(B174,""^M$"")"),FALSE)</f>
        <v>0</v>
      </c>
      <c r="G174" s="37" t="b">
        <f>IFERROR(__xludf.DUMMYFUNCTION("REGEXMATCH(B174,""^((L\+R)|(R\+L))$"")"),FALSE)</f>
        <v>0</v>
      </c>
      <c r="H174" s="37" t="b">
        <f>IFERROR(__xludf.DUMMYFUNCTION("REGEXMATCH(B174,""^((L\+M)|(M\+L))$"")"),FALSE)</f>
        <v>0</v>
      </c>
      <c r="I174" s="37" t="b">
        <f>IFERROR(__xludf.DUMMYFUNCTION("REGEXMATCH(B174,""^((R\+M)|(M\+R))$"")"),FALSE)</f>
        <v>0</v>
      </c>
      <c r="J174" s="37" t="b">
        <f>IFERROR(__xludf.DUMMYFUNCTION("REGEXMATCH(B174,""^L\+R\+M$"")"),FALSE)</f>
        <v>0</v>
      </c>
    </row>
    <row r="175" ht="18.75" customHeight="1">
      <c r="A175" s="8" t="str">
        <f>Paper_Textual_Conflict!O175</f>
        <v>L</v>
      </c>
      <c r="B175" s="8" t="str">
        <f>IFERROR(__xludf.DUMMYFUNCTION("SUBSTITUTE(REGEXEXTRACT(A175,""^[^(]*""),"" "","""")"),"L")</f>
        <v>L</v>
      </c>
      <c r="C175" s="8"/>
      <c r="D175" s="37" t="b">
        <f>IFERROR(__xludf.DUMMYFUNCTION("REGEXMATCH(B175,""^L$"")"),TRUE)</f>
        <v>1</v>
      </c>
      <c r="E175" s="37" t="b">
        <f>IFERROR(__xludf.DUMMYFUNCTION("REGEXMATCH(B175,""^R$"")"),FALSE)</f>
        <v>0</v>
      </c>
      <c r="F175" s="37" t="b">
        <f>IFERROR(__xludf.DUMMYFUNCTION("REGEXMATCH(B175,""^M$"")"),FALSE)</f>
        <v>0</v>
      </c>
      <c r="G175" s="37" t="b">
        <f>IFERROR(__xludf.DUMMYFUNCTION("REGEXMATCH(B175,""^((L\+R)|(R\+L))$"")"),FALSE)</f>
        <v>0</v>
      </c>
      <c r="H175" s="37" t="b">
        <f>IFERROR(__xludf.DUMMYFUNCTION("REGEXMATCH(B175,""^((L\+M)|(M\+L))$"")"),FALSE)</f>
        <v>0</v>
      </c>
      <c r="I175" s="37" t="b">
        <f>IFERROR(__xludf.DUMMYFUNCTION("REGEXMATCH(B175,""^((R\+M)|(M\+R))$"")"),FALSE)</f>
        <v>0</v>
      </c>
      <c r="J175" s="37" t="b">
        <f>IFERROR(__xludf.DUMMYFUNCTION("REGEXMATCH(B175,""^L\+R\+M$"")"),FALSE)</f>
        <v>0</v>
      </c>
    </row>
    <row r="176" ht="18.75" customHeight="1">
      <c r="A176" s="8" t="str">
        <f>Paper_Textual_Conflict!O176</f>
        <v>L</v>
      </c>
      <c r="B176" s="8" t="str">
        <f>IFERROR(__xludf.DUMMYFUNCTION("SUBSTITUTE(REGEXEXTRACT(A176,""^[^(]*""),"" "","""")"),"L")</f>
        <v>L</v>
      </c>
      <c r="C176" s="8"/>
      <c r="D176" s="37" t="b">
        <f>IFERROR(__xludf.DUMMYFUNCTION("REGEXMATCH(B176,""^L$"")"),TRUE)</f>
        <v>1</v>
      </c>
      <c r="E176" s="37" t="b">
        <f>IFERROR(__xludf.DUMMYFUNCTION("REGEXMATCH(B176,""^R$"")"),FALSE)</f>
        <v>0</v>
      </c>
      <c r="F176" s="37" t="b">
        <f>IFERROR(__xludf.DUMMYFUNCTION("REGEXMATCH(B176,""^M$"")"),FALSE)</f>
        <v>0</v>
      </c>
      <c r="G176" s="37" t="b">
        <f>IFERROR(__xludf.DUMMYFUNCTION("REGEXMATCH(B176,""^((L\+R)|(R\+L))$"")"),FALSE)</f>
        <v>0</v>
      </c>
      <c r="H176" s="37" t="b">
        <f>IFERROR(__xludf.DUMMYFUNCTION("REGEXMATCH(B176,""^((L\+M)|(M\+L))$"")"),FALSE)</f>
        <v>0</v>
      </c>
      <c r="I176" s="37" t="b">
        <f>IFERROR(__xludf.DUMMYFUNCTION("REGEXMATCH(B176,""^((R\+M)|(M\+R))$"")"),FALSE)</f>
        <v>0</v>
      </c>
      <c r="J176" s="37" t="b">
        <f>IFERROR(__xludf.DUMMYFUNCTION("REGEXMATCH(B176,""^L\+R\+M$"")"),FALSE)</f>
        <v>0</v>
      </c>
    </row>
    <row r="177" ht="18.75" customHeight="1">
      <c r="A177" s="8" t="str">
        <f>Paper_Textual_Conflict!O177</f>
        <v>L+R</v>
      </c>
      <c r="B177" s="8" t="str">
        <f>IFERROR(__xludf.DUMMYFUNCTION("SUBSTITUTE(REGEXEXTRACT(A177,""^[^(]*""),"" "","""")"),"L+R")</f>
        <v>L+R</v>
      </c>
      <c r="C177" s="8"/>
      <c r="D177" s="37" t="b">
        <f>IFERROR(__xludf.DUMMYFUNCTION("REGEXMATCH(B177,""^L$"")"),FALSE)</f>
        <v>0</v>
      </c>
      <c r="E177" s="37" t="b">
        <f>IFERROR(__xludf.DUMMYFUNCTION("REGEXMATCH(B177,""^R$"")"),FALSE)</f>
        <v>0</v>
      </c>
      <c r="F177" s="37" t="b">
        <f>IFERROR(__xludf.DUMMYFUNCTION("REGEXMATCH(B177,""^M$"")"),FALSE)</f>
        <v>0</v>
      </c>
      <c r="G177" s="37" t="b">
        <f>IFERROR(__xludf.DUMMYFUNCTION("REGEXMATCH(B177,""^((L\+R)|(R\+L))$"")"),TRUE)</f>
        <v>1</v>
      </c>
      <c r="H177" s="37" t="b">
        <f>IFERROR(__xludf.DUMMYFUNCTION("REGEXMATCH(B177,""^((L\+M)|(M\+L))$"")"),FALSE)</f>
        <v>0</v>
      </c>
      <c r="I177" s="37" t="b">
        <f>IFERROR(__xludf.DUMMYFUNCTION("REGEXMATCH(B177,""^((R\+M)|(M\+R))$"")"),FALSE)</f>
        <v>0</v>
      </c>
      <c r="J177" s="37" t="b">
        <f>IFERROR(__xludf.DUMMYFUNCTION("REGEXMATCH(B177,""^L\+R\+M$"")"),FALSE)</f>
        <v>0</v>
      </c>
    </row>
    <row r="178" ht="18.75" customHeight="1">
      <c r="A178" s="8" t="str">
        <f>Paper_Textual_Conflict!O178</f>
        <v>L+R</v>
      </c>
      <c r="B178" s="8" t="str">
        <f>IFERROR(__xludf.DUMMYFUNCTION("SUBSTITUTE(REGEXEXTRACT(A178,""^[^(]*""),"" "","""")"),"L+R")</f>
        <v>L+R</v>
      </c>
      <c r="C178" s="8"/>
      <c r="D178" s="37" t="b">
        <f>IFERROR(__xludf.DUMMYFUNCTION("REGEXMATCH(B178,""^L$"")"),FALSE)</f>
        <v>0</v>
      </c>
      <c r="E178" s="37" t="b">
        <f>IFERROR(__xludf.DUMMYFUNCTION("REGEXMATCH(B178,""^R$"")"),FALSE)</f>
        <v>0</v>
      </c>
      <c r="F178" s="37" t="b">
        <f>IFERROR(__xludf.DUMMYFUNCTION("REGEXMATCH(B178,""^M$"")"),FALSE)</f>
        <v>0</v>
      </c>
      <c r="G178" s="37" t="b">
        <f>IFERROR(__xludf.DUMMYFUNCTION("REGEXMATCH(B178,""^((L\+R)|(R\+L))$"")"),TRUE)</f>
        <v>1</v>
      </c>
      <c r="H178" s="37" t="b">
        <f>IFERROR(__xludf.DUMMYFUNCTION("REGEXMATCH(B178,""^((L\+M)|(M\+L))$"")"),FALSE)</f>
        <v>0</v>
      </c>
      <c r="I178" s="37" t="b">
        <f>IFERROR(__xludf.DUMMYFUNCTION("REGEXMATCH(B178,""^((R\+M)|(M\+R))$"")"),FALSE)</f>
        <v>0</v>
      </c>
      <c r="J178" s="37" t="b">
        <f>IFERROR(__xludf.DUMMYFUNCTION("REGEXMATCH(B178,""^L\+R\+M$"")"),FALSE)</f>
        <v>0</v>
      </c>
    </row>
    <row r="179" ht="18.75" customHeight="1">
      <c r="A179" s="8" t="str">
        <f>Paper_Textual_Conflict!O179</f>
        <v>R</v>
      </c>
      <c r="B179" s="8" t="str">
        <f>IFERROR(__xludf.DUMMYFUNCTION("SUBSTITUTE(REGEXEXTRACT(A179,""^[^(]*""),"" "","""")"),"R")</f>
        <v>R</v>
      </c>
      <c r="C179" s="8"/>
      <c r="D179" s="37" t="b">
        <f>IFERROR(__xludf.DUMMYFUNCTION("REGEXMATCH(B179,""^L$"")"),FALSE)</f>
        <v>0</v>
      </c>
      <c r="E179" s="37" t="b">
        <f>IFERROR(__xludf.DUMMYFUNCTION("REGEXMATCH(B179,""^R$"")"),TRUE)</f>
        <v>1</v>
      </c>
      <c r="F179" s="37" t="b">
        <f>IFERROR(__xludf.DUMMYFUNCTION("REGEXMATCH(B179,""^M$"")"),FALSE)</f>
        <v>0</v>
      </c>
      <c r="G179" s="37" t="b">
        <f>IFERROR(__xludf.DUMMYFUNCTION("REGEXMATCH(B179,""^((L\+R)|(R\+L))$"")"),FALSE)</f>
        <v>0</v>
      </c>
      <c r="H179" s="37" t="b">
        <f>IFERROR(__xludf.DUMMYFUNCTION("REGEXMATCH(B179,""^((L\+M)|(M\+L))$"")"),FALSE)</f>
        <v>0</v>
      </c>
      <c r="I179" s="37" t="b">
        <f>IFERROR(__xludf.DUMMYFUNCTION("REGEXMATCH(B179,""^((R\+M)|(M\+R))$"")"),FALSE)</f>
        <v>0</v>
      </c>
      <c r="J179" s="37" t="b">
        <f>IFERROR(__xludf.DUMMYFUNCTION("REGEXMATCH(B179,""^L\+R\+M$"")"),FALSE)</f>
        <v>0</v>
      </c>
    </row>
    <row r="180" ht="18.75" customHeight="1">
      <c r="A180" s="8" t="str">
        <f>Paper_Textual_Conflict!O180</f>
        <v>L</v>
      </c>
      <c r="B180" s="8" t="str">
        <f>IFERROR(__xludf.DUMMYFUNCTION("SUBSTITUTE(REGEXEXTRACT(A180,""^[^(]*""),"" "","""")"),"L")</f>
        <v>L</v>
      </c>
      <c r="C180" s="8"/>
      <c r="D180" s="37" t="b">
        <f>IFERROR(__xludf.DUMMYFUNCTION("REGEXMATCH(B180,""^L$"")"),TRUE)</f>
        <v>1</v>
      </c>
      <c r="E180" s="37" t="b">
        <f>IFERROR(__xludf.DUMMYFUNCTION("REGEXMATCH(B180,""^R$"")"),FALSE)</f>
        <v>0</v>
      </c>
      <c r="F180" s="37" t="b">
        <f>IFERROR(__xludf.DUMMYFUNCTION("REGEXMATCH(B180,""^M$"")"),FALSE)</f>
        <v>0</v>
      </c>
      <c r="G180" s="37" t="b">
        <f>IFERROR(__xludf.DUMMYFUNCTION("REGEXMATCH(B180,""^((L\+R)|(R\+L))$"")"),FALSE)</f>
        <v>0</v>
      </c>
      <c r="H180" s="37" t="b">
        <f>IFERROR(__xludf.DUMMYFUNCTION("REGEXMATCH(B180,""^((L\+M)|(M\+L))$"")"),FALSE)</f>
        <v>0</v>
      </c>
      <c r="I180" s="37" t="b">
        <f>IFERROR(__xludf.DUMMYFUNCTION("REGEXMATCH(B180,""^((R\+M)|(M\+R))$"")"),FALSE)</f>
        <v>0</v>
      </c>
      <c r="J180" s="37" t="b">
        <f>IFERROR(__xludf.DUMMYFUNCTION("REGEXMATCH(B180,""^L\+R\+M$"")"),FALSE)</f>
        <v>0</v>
      </c>
    </row>
    <row r="181" ht="18.75" customHeight="1">
      <c r="A181" s="8" t="str">
        <f>Paper_Textual_Conflict!O181</f>
        <v>R</v>
      </c>
      <c r="B181" s="8" t="str">
        <f>IFERROR(__xludf.DUMMYFUNCTION("SUBSTITUTE(REGEXEXTRACT(A181,""^[^(]*""),"" "","""")"),"R")</f>
        <v>R</v>
      </c>
      <c r="C181" s="8"/>
      <c r="D181" s="37" t="b">
        <f>IFERROR(__xludf.DUMMYFUNCTION("REGEXMATCH(B181,""^L$"")"),FALSE)</f>
        <v>0</v>
      </c>
      <c r="E181" s="37" t="b">
        <f>IFERROR(__xludf.DUMMYFUNCTION("REGEXMATCH(B181,""^R$"")"),TRUE)</f>
        <v>1</v>
      </c>
      <c r="F181" s="37" t="b">
        <f>IFERROR(__xludf.DUMMYFUNCTION("REGEXMATCH(B181,""^M$"")"),FALSE)</f>
        <v>0</v>
      </c>
      <c r="G181" s="37" t="b">
        <f>IFERROR(__xludf.DUMMYFUNCTION("REGEXMATCH(B181,""^((L\+R)|(R\+L))$"")"),FALSE)</f>
        <v>0</v>
      </c>
      <c r="H181" s="37" t="b">
        <f>IFERROR(__xludf.DUMMYFUNCTION("REGEXMATCH(B181,""^((L\+M)|(M\+L))$"")"),FALSE)</f>
        <v>0</v>
      </c>
      <c r="I181" s="37" t="b">
        <f>IFERROR(__xludf.DUMMYFUNCTION("REGEXMATCH(B181,""^((R\+M)|(M\+R))$"")"),FALSE)</f>
        <v>0</v>
      </c>
      <c r="J181" s="37" t="b">
        <f>IFERROR(__xludf.DUMMYFUNCTION("REGEXMATCH(B181,""^L\+R\+M$"")"),FALSE)</f>
        <v>0</v>
      </c>
    </row>
    <row r="182" ht="18.75" customHeight="1">
      <c r="A182" s="8"/>
      <c r="B182" s="6"/>
      <c r="C182" s="6"/>
    </row>
    <row r="183" ht="18.75" customHeight="1">
      <c r="A183" s="58"/>
    </row>
    <row r="184" ht="18.75" customHeight="1">
      <c r="A184" s="8"/>
      <c r="B184" s="6"/>
      <c r="C184" s="6"/>
      <c r="AL184" s="37">
        <f>sum(U183:AL183)</f>
        <v>0</v>
      </c>
    </row>
    <row r="185" ht="18.75" customHeight="1">
      <c r="A185" s="8"/>
      <c r="B185" s="6"/>
      <c r="C185" s="6"/>
      <c r="D185" s="33" t="s">
        <v>2946</v>
      </c>
      <c r="E185" s="33" t="s">
        <v>2946</v>
      </c>
      <c r="F185" s="33" t="s">
        <v>2946</v>
      </c>
      <c r="G185" s="33" t="s">
        <v>2946</v>
      </c>
      <c r="H185" s="33" t="s">
        <v>2946</v>
      </c>
      <c r="I185" s="33" t="s">
        <v>2946</v>
      </c>
      <c r="J185" s="33" t="s">
        <v>2946</v>
      </c>
    </row>
    <row r="186" ht="18.75" customHeight="1">
      <c r="A186" s="8"/>
      <c r="B186" s="6"/>
      <c r="C186" s="6"/>
      <c r="D186" s="37">
        <f>IFERROR(__xludf.DUMMYFUNCTION("iferror(filter(row(Paper_Textual_Conflict!O2:O181),Paper_Textual_Conflict!H2:H181=TRUE,D2:D181=TRUE),)"),2.0)</f>
        <v>2</v>
      </c>
      <c r="E186" s="37">
        <f>IFERROR(__xludf.DUMMYFUNCTION("iferror(filter(row(Paper_Textual_Conflict!O2:O181),Paper_Textual_Conflict!H2:H181=TRUE,E2:E181=TRUE),)"),8.0)</f>
        <v>8</v>
      </c>
      <c r="F186" s="37">
        <f>IFERROR(__xludf.DUMMYFUNCTION("iferror(filter(row(Paper_Textual_Conflict!O2:O181),Paper_Textual_Conflict!H2:H181=TRUE,F2:F181=TRUE),)"),69.0)</f>
        <v>69</v>
      </c>
      <c r="G186" s="37">
        <f>IFERROR(__xludf.DUMMYFUNCTION("iferror(filter(row(Paper_Textual_Conflict!O2:O181),Paper_Textual_Conflict!H2:H181=TRUE,G2:G181=TRUE),)"),12.0)</f>
        <v>12</v>
      </c>
      <c r="H186" s="37">
        <f>IFERROR(__xludf.DUMMYFUNCTION("iferror(filter(row(Paper_Textual_Conflict!O2:O181),Paper_Textual_Conflict!H2:H181=TRUE,H2:H181=TRUE),)"),55.0)</f>
        <v>55</v>
      </c>
      <c r="I186" s="37">
        <f>IFERROR(__xludf.DUMMYFUNCTION("iferror(filter(row(Paper_Textual_Conflict!O2:O181),Paper_Textual_Conflict!H2:H181=TRUE,I2:I181=TRUE),)"),54.0)</f>
        <v>54</v>
      </c>
      <c r="J186" s="37">
        <f>IFERROR(__xludf.DUMMYFUNCTION("iferror(filter(row(Paper_Textual_Conflict!O2:O181),Paper_Textual_Conflict!H2:H181=TRUE,J2:J181=TRUE),)"),11.0)</f>
        <v>11</v>
      </c>
    </row>
    <row r="187" ht="18.75" customHeight="1">
      <c r="A187" s="8"/>
      <c r="B187" s="9"/>
      <c r="C187" s="9"/>
      <c r="D187" s="37">
        <f>IFERROR(__xludf.DUMMYFUNCTION("""COMPUTED_VALUE"""),5.0)</f>
        <v>5</v>
      </c>
      <c r="E187" s="37">
        <f>IFERROR(__xludf.DUMMYFUNCTION("""COMPUTED_VALUE"""),20.0)</f>
        <v>20</v>
      </c>
      <c r="F187" s="37">
        <f>IFERROR(__xludf.DUMMYFUNCTION("""COMPUTED_VALUE"""),86.0)</f>
        <v>86</v>
      </c>
      <c r="G187" s="37">
        <f>IFERROR(__xludf.DUMMYFUNCTION("""COMPUTED_VALUE"""),28.0)</f>
        <v>28</v>
      </c>
      <c r="H187" s="37">
        <f>IFERROR(__xludf.DUMMYFUNCTION("""COMPUTED_VALUE"""),118.0)</f>
        <v>118</v>
      </c>
      <c r="I187" s="37">
        <f>IFERROR(__xludf.DUMMYFUNCTION("""COMPUTED_VALUE"""),71.0)</f>
        <v>71</v>
      </c>
      <c r="J187" s="37">
        <f>IFERROR(__xludf.DUMMYFUNCTION("""COMPUTED_VALUE"""),25.0)</f>
        <v>25</v>
      </c>
    </row>
    <row r="188" ht="18.75" customHeight="1">
      <c r="A188" s="8"/>
      <c r="B188" s="6"/>
      <c r="C188" s="6"/>
      <c r="D188" s="37">
        <f>IFERROR(__xludf.DUMMYFUNCTION("""COMPUTED_VALUE"""),9.0)</f>
        <v>9</v>
      </c>
      <c r="E188" s="37">
        <f>IFERROR(__xludf.DUMMYFUNCTION("""COMPUTED_VALUE"""),22.0)</f>
        <v>22</v>
      </c>
      <c r="F188" s="37">
        <f>IFERROR(__xludf.DUMMYFUNCTION("""COMPUTED_VALUE"""),119.0)</f>
        <v>119</v>
      </c>
      <c r="G188" s="37">
        <f>IFERROR(__xludf.DUMMYFUNCTION("""COMPUTED_VALUE"""),30.0)</f>
        <v>30</v>
      </c>
      <c r="I188" s="37">
        <f>IFERROR(__xludf.DUMMYFUNCTION("""COMPUTED_VALUE"""),84.0)</f>
        <v>84</v>
      </c>
      <c r="J188" s="37">
        <f>IFERROR(__xludf.DUMMYFUNCTION("""COMPUTED_VALUE"""),33.0)</f>
        <v>33</v>
      </c>
    </row>
    <row r="189" ht="18.75" customHeight="1">
      <c r="A189" s="8"/>
      <c r="B189" s="6"/>
      <c r="C189" s="6"/>
      <c r="D189" s="37">
        <f>IFERROR(__xludf.DUMMYFUNCTION("""COMPUTED_VALUE"""),10.0)</f>
        <v>10</v>
      </c>
      <c r="E189" s="37">
        <f>IFERROR(__xludf.DUMMYFUNCTION("""COMPUTED_VALUE"""),24.0)</f>
        <v>24</v>
      </c>
      <c r="G189" s="37">
        <f>IFERROR(__xludf.DUMMYFUNCTION("""COMPUTED_VALUE"""),34.0)</f>
        <v>34</v>
      </c>
      <c r="I189" s="37">
        <f>IFERROR(__xludf.DUMMYFUNCTION("""COMPUTED_VALUE"""),109.0)</f>
        <v>109</v>
      </c>
      <c r="J189" s="37">
        <f>IFERROR(__xludf.DUMMYFUNCTION("""COMPUTED_VALUE"""),35.0)</f>
        <v>35</v>
      </c>
    </row>
    <row r="190" ht="18.75" customHeight="1">
      <c r="A190" s="8"/>
      <c r="B190" s="6"/>
      <c r="C190" s="6"/>
      <c r="D190" s="37">
        <f>IFERROR(__xludf.DUMMYFUNCTION("""COMPUTED_VALUE"""),13.0)</f>
        <v>13</v>
      </c>
      <c r="E190" s="37">
        <f>IFERROR(__xludf.DUMMYFUNCTION("""COMPUTED_VALUE"""),29.0)</f>
        <v>29</v>
      </c>
      <c r="G190" s="37">
        <f>IFERROR(__xludf.DUMMYFUNCTION("""COMPUTED_VALUE"""),39.0)</f>
        <v>39</v>
      </c>
      <c r="I190" s="37">
        <f>IFERROR(__xludf.DUMMYFUNCTION("""COMPUTED_VALUE"""),150.0)</f>
        <v>150</v>
      </c>
      <c r="J190" s="37">
        <f>IFERROR(__xludf.DUMMYFUNCTION("""COMPUTED_VALUE"""),49.0)</f>
        <v>49</v>
      </c>
    </row>
    <row r="191" ht="18.75" customHeight="1">
      <c r="A191" s="8"/>
      <c r="B191" s="6"/>
      <c r="C191" s="6"/>
      <c r="D191" s="37">
        <f>IFERROR(__xludf.DUMMYFUNCTION("""COMPUTED_VALUE"""),15.0)</f>
        <v>15</v>
      </c>
      <c r="E191" s="37">
        <f>IFERROR(__xludf.DUMMYFUNCTION("""COMPUTED_VALUE"""),31.0)</f>
        <v>31</v>
      </c>
      <c r="G191" s="37">
        <f>IFERROR(__xludf.DUMMYFUNCTION("""COMPUTED_VALUE"""),46.0)</f>
        <v>46</v>
      </c>
      <c r="J191" s="37">
        <f>IFERROR(__xludf.DUMMYFUNCTION("""COMPUTED_VALUE"""),68.0)</f>
        <v>68</v>
      </c>
    </row>
    <row r="192" ht="18.75" customHeight="1">
      <c r="A192" s="8"/>
      <c r="B192" s="6"/>
      <c r="C192" s="6"/>
      <c r="D192" s="37">
        <f>IFERROR(__xludf.DUMMYFUNCTION("""COMPUTED_VALUE"""),18.0)</f>
        <v>18</v>
      </c>
      <c r="E192" s="37">
        <f>IFERROR(__xludf.DUMMYFUNCTION("""COMPUTED_VALUE"""),41.0)</f>
        <v>41</v>
      </c>
      <c r="G192" s="37">
        <f>IFERROR(__xludf.DUMMYFUNCTION("""COMPUTED_VALUE"""),82.0)</f>
        <v>82</v>
      </c>
      <c r="J192" s="37">
        <f>IFERROR(__xludf.DUMMYFUNCTION("""COMPUTED_VALUE"""),74.0)</f>
        <v>74</v>
      </c>
    </row>
    <row r="193" ht="18.75" customHeight="1">
      <c r="A193" s="8"/>
      <c r="B193" s="6"/>
      <c r="C193" s="6"/>
      <c r="D193" s="37">
        <f>IFERROR(__xludf.DUMMYFUNCTION("""COMPUTED_VALUE"""),23.0)</f>
        <v>23</v>
      </c>
      <c r="E193" s="37">
        <f>IFERROR(__xludf.DUMMYFUNCTION("""COMPUTED_VALUE"""),43.0)</f>
        <v>43</v>
      </c>
      <c r="G193" s="37">
        <f>IFERROR(__xludf.DUMMYFUNCTION("""COMPUTED_VALUE"""),85.0)</f>
        <v>85</v>
      </c>
      <c r="J193" s="37">
        <f>IFERROR(__xludf.DUMMYFUNCTION("""COMPUTED_VALUE"""),113.0)</f>
        <v>113</v>
      </c>
    </row>
    <row r="194" ht="18.75" customHeight="1">
      <c r="A194" s="8"/>
      <c r="B194" s="6"/>
      <c r="C194" s="6"/>
      <c r="D194" s="37">
        <f>IFERROR(__xludf.DUMMYFUNCTION("""COMPUTED_VALUE"""),26.0)</f>
        <v>26</v>
      </c>
      <c r="E194" s="37">
        <f>IFERROR(__xludf.DUMMYFUNCTION("""COMPUTED_VALUE"""),45.0)</f>
        <v>45</v>
      </c>
      <c r="G194" s="37">
        <f>IFERROR(__xludf.DUMMYFUNCTION("""COMPUTED_VALUE"""),111.0)</f>
        <v>111</v>
      </c>
      <c r="J194" s="37">
        <f>IFERROR(__xludf.DUMMYFUNCTION("""COMPUTED_VALUE"""),120.0)</f>
        <v>120</v>
      </c>
    </row>
    <row r="195" ht="18.75" customHeight="1">
      <c r="A195" s="8"/>
      <c r="B195" s="6"/>
      <c r="C195" s="6"/>
      <c r="D195" s="37">
        <f>IFERROR(__xludf.DUMMYFUNCTION("""COMPUTED_VALUE"""),27.0)</f>
        <v>27</v>
      </c>
      <c r="E195" s="37">
        <f>IFERROR(__xludf.DUMMYFUNCTION("""COMPUTED_VALUE"""),60.0)</f>
        <v>60</v>
      </c>
      <c r="G195" s="37">
        <f>IFERROR(__xludf.DUMMYFUNCTION("""COMPUTED_VALUE"""),138.0)</f>
        <v>138</v>
      </c>
      <c r="J195" s="37">
        <f>IFERROR(__xludf.DUMMYFUNCTION("""COMPUTED_VALUE"""),121.0)</f>
        <v>121</v>
      </c>
    </row>
    <row r="196" ht="18.75" customHeight="1">
      <c r="A196" s="8"/>
      <c r="B196" s="6"/>
      <c r="C196" s="6"/>
      <c r="D196" s="37">
        <f>IFERROR(__xludf.DUMMYFUNCTION("""COMPUTED_VALUE"""),32.0)</f>
        <v>32</v>
      </c>
      <c r="E196" s="37">
        <f>IFERROR(__xludf.DUMMYFUNCTION("""COMPUTED_VALUE"""),64.0)</f>
        <v>64</v>
      </c>
      <c r="G196" s="37">
        <f>IFERROR(__xludf.DUMMYFUNCTION("""COMPUTED_VALUE"""),151.0)</f>
        <v>151</v>
      </c>
      <c r="J196" s="37">
        <f>IFERROR(__xludf.DUMMYFUNCTION("""COMPUTED_VALUE"""),124.0)</f>
        <v>124</v>
      </c>
    </row>
    <row r="197">
      <c r="A197" s="8"/>
      <c r="B197" s="6"/>
      <c r="C197" s="6"/>
      <c r="D197" s="37">
        <f>IFERROR(__xludf.DUMMYFUNCTION("""COMPUTED_VALUE"""),36.0)</f>
        <v>36</v>
      </c>
      <c r="E197" s="37">
        <f>IFERROR(__xludf.DUMMYFUNCTION("""COMPUTED_VALUE"""),66.0)</f>
        <v>66</v>
      </c>
      <c r="G197" s="37">
        <f>IFERROR(__xludf.DUMMYFUNCTION("""COMPUTED_VALUE"""),152.0)</f>
        <v>152</v>
      </c>
      <c r="J197" s="37">
        <f>IFERROR(__xludf.DUMMYFUNCTION("""COMPUTED_VALUE"""),147.0)</f>
        <v>147</v>
      </c>
    </row>
    <row r="198">
      <c r="A198" s="8"/>
      <c r="B198" s="6"/>
      <c r="C198" s="6"/>
      <c r="D198" s="37">
        <f>IFERROR(__xludf.DUMMYFUNCTION("""COMPUTED_VALUE"""),37.0)</f>
        <v>37</v>
      </c>
      <c r="E198" s="37">
        <f>IFERROR(__xludf.DUMMYFUNCTION("""COMPUTED_VALUE"""),70.0)</f>
        <v>70</v>
      </c>
      <c r="G198" s="37">
        <f>IFERROR(__xludf.DUMMYFUNCTION("""COMPUTED_VALUE"""),169.0)</f>
        <v>169</v>
      </c>
      <c r="J198" s="37">
        <f>IFERROR(__xludf.DUMMYFUNCTION("""COMPUTED_VALUE"""),153.0)</f>
        <v>153</v>
      </c>
    </row>
    <row r="199">
      <c r="A199" s="8"/>
      <c r="B199" s="6"/>
      <c r="C199" s="6"/>
      <c r="D199" s="37">
        <f>IFERROR(__xludf.DUMMYFUNCTION("""COMPUTED_VALUE"""),44.0)</f>
        <v>44</v>
      </c>
      <c r="E199" s="37">
        <f>IFERROR(__xludf.DUMMYFUNCTION("""COMPUTED_VALUE"""),72.0)</f>
        <v>72</v>
      </c>
      <c r="G199" s="37">
        <f>IFERROR(__xludf.DUMMYFUNCTION("""COMPUTED_VALUE"""),172.0)</f>
        <v>172</v>
      </c>
      <c r="J199" s="37">
        <f>IFERROR(__xludf.DUMMYFUNCTION("""COMPUTED_VALUE"""),173.0)</f>
        <v>173</v>
      </c>
    </row>
    <row r="200">
      <c r="A200" s="8"/>
      <c r="B200" s="6"/>
      <c r="C200" s="6"/>
      <c r="D200" s="37">
        <f>IFERROR(__xludf.DUMMYFUNCTION("""COMPUTED_VALUE"""),48.0)</f>
        <v>48</v>
      </c>
      <c r="E200" s="37">
        <f>IFERROR(__xludf.DUMMYFUNCTION("""COMPUTED_VALUE"""),81.0)</f>
        <v>81</v>
      </c>
      <c r="G200" s="37">
        <f>IFERROR(__xludf.DUMMYFUNCTION("""COMPUTED_VALUE"""),177.0)</f>
        <v>177</v>
      </c>
    </row>
    <row r="201">
      <c r="A201" s="8"/>
      <c r="B201" s="6"/>
      <c r="C201" s="6"/>
      <c r="D201" s="37">
        <f>IFERROR(__xludf.DUMMYFUNCTION("""COMPUTED_VALUE"""),50.0)</f>
        <v>50</v>
      </c>
      <c r="E201" s="37">
        <f>IFERROR(__xludf.DUMMYFUNCTION("""COMPUTED_VALUE"""),90.0)</f>
        <v>90</v>
      </c>
    </row>
    <row r="202">
      <c r="A202" s="8"/>
      <c r="B202" s="6"/>
      <c r="C202" s="6"/>
      <c r="D202" s="37">
        <f>IFERROR(__xludf.DUMMYFUNCTION("""COMPUTED_VALUE"""),51.0)</f>
        <v>51</v>
      </c>
      <c r="E202" s="37">
        <f>IFERROR(__xludf.DUMMYFUNCTION("""COMPUTED_VALUE"""),93.0)</f>
        <v>93</v>
      </c>
    </row>
    <row r="203">
      <c r="A203" s="8"/>
      <c r="B203" s="6"/>
      <c r="C203" s="6"/>
      <c r="D203" s="37">
        <f>IFERROR(__xludf.DUMMYFUNCTION("""COMPUTED_VALUE"""),52.0)</f>
        <v>52</v>
      </c>
      <c r="E203" s="37">
        <f>IFERROR(__xludf.DUMMYFUNCTION("""COMPUTED_VALUE"""),97.0)</f>
        <v>97</v>
      </c>
    </row>
    <row r="204">
      <c r="A204" s="8"/>
      <c r="B204" s="6"/>
      <c r="C204" s="6"/>
      <c r="D204" s="37">
        <f>IFERROR(__xludf.DUMMYFUNCTION("""COMPUTED_VALUE"""),53.0)</f>
        <v>53</v>
      </c>
      <c r="E204" s="37">
        <f>IFERROR(__xludf.DUMMYFUNCTION("""COMPUTED_VALUE"""),98.0)</f>
        <v>98</v>
      </c>
    </row>
    <row r="205">
      <c r="A205" s="8"/>
      <c r="B205" s="6"/>
      <c r="C205" s="6"/>
      <c r="D205" s="37">
        <f>IFERROR(__xludf.DUMMYFUNCTION("""COMPUTED_VALUE"""),58.0)</f>
        <v>58</v>
      </c>
      <c r="E205" s="37">
        <f>IFERROR(__xludf.DUMMYFUNCTION("""COMPUTED_VALUE"""),99.0)</f>
        <v>99</v>
      </c>
    </row>
    <row r="206">
      <c r="A206" s="8"/>
      <c r="B206" s="6"/>
      <c r="C206" s="6"/>
      <c r="D206" s="37">
        <f>IFERROR(__xludf.DUMMYFUNCTION("""COMPUTED_VALUE"""),59.0)</f>
        <v>59</v>
      </c>
      <c r="E206" s="37">
        <f>IFERROR(__xludf.DUMMYFUNCTION("""COMPUTED_VALUE"""),100.0)</f>
        <v>100</v>
      </c>
    </row>
    <row r="207">
      <c r="A207" s="8"/>
      <c r="B207" s="6"/>
      <c r="C207" s="6"/>
      <c r="D207" s="37">
        <f>IFERROR(__xludf.DUMMYFUNCTION("""COMPUTED_VALUE"""),62.0)</f>
        <v>62</v>
      </c>
      <c r="E207" s="37">
        <f>IFERROR(__xludf.DUMMYFUNCTION("""COMPUTED_VALUE"""),104.0)</f>
        <v>104</v>
      </c>
    </row>
    <row r="208">
      <c r="A208" s="8"/>
      <c r="B208" s="6"/>
      <c r="C208" s="6"/>
      <c r="D208" s="37">
        <f>IFERROR(__xludf.DUMMYFUNCTION("""COMPUTED_VALUE"""),63.0)</f>
        <v>63</v>
      </c>
      <c r="E208" s="37">
        <f>IFERROR(__xludf.DUMMYFUNCTION("""COMPUTED_VALUE"""),107.0)</f>
        <v>107</v>
      </c>
    </row>
    <row r="209">
      <c r="A209" s="8"/>
      <c r="B209" s="6"/>
      <c r="C209" s="6"/>
      <c r="D209" s="37">
        <f>IFERROR(__xludf.DUMMYFUNCTION("""COMPUTED_VALUE"""),65.0)</f>
        <v>65</v>
      </c>
      <c r="E209" s="37">
        <f>IFERROR(__xludf.DUMMYFUNCTION("""COMPUTED_VALUE"""),115.0)</f>
        <v>115</v>
      </c>
    </row>
    <row r="210">
      <c r="A210" s="8"/>
      <c r="B210" s="6"/>
      <c r="C210" s="6"/>
      <c r="D210" s="37">
        <f>IFERROR(__xludf.DUMMYFUNCTION("""COMPUTED_VALUE"""),67.0)</f>
        <v>67</v>
      </c>
      <c r="E210" s="37">
        <f>IFERROR(__xludf.DUMMYFUNCTION("""COMPUTED_VALUE"""),117.0)</f>
        <v>117</v>
      </c>
    </row>
    <row r="211">
      <c r="A211" s="8"/>
      <c r="B211" s="6"/>
      <c r="C211" s="6"/>
      <c r="D211" s="37">
        <f>IFERROR(__xludf.DUMMYFUNCTION("""COMPUTED_VALUE"""),73.0)</f>
        <v>73</v>
      </c>
      <c r="E211" s="37">
        <f>IFERROR(__xludf.DUMMYFUNCTION("""COMPUTED_VALUE"""),123.0)</f>
        <v>123</v>
      </c>
    </row>
    <row r="212">
      <c r="A212" s="8"/>
      <c r="B212" s="6"/>
      <c r="C212" s="6"/>
      <c r="D212" s="37">
        <f>IFERROR(__xludf.DUMMYFUNCTION("""COMPUTED_VALUE"""),75.0)</f>
        <v>75</v>
      </c>
      <c r="E212" s="37">
        <f>IFERROR(__xludf.DUMMYFUNCTION("""COMPUTED_VALUE"""),131.0)</f>
        <v>131</v>
      </c>
    </row>
    <row r="213">
      <c r="A213" s="8"/>
      <c r="B213" s="6"/>
      <c r="C213" s="6"/>
      <c r="D213" s="37">
        <f>IFERROR(__xludf.DUMMYFUNCTION("""COMPUTED_VALUE"""),76.0)</f>
        <v>76</v>
      </c>
      <c r="E213" s="37">
        <f>IFERROR(__xludf.DUMMYFUNCTION("""COMPUTED_VALUE"""),134.0)</f>
        <v>134</v>
      </c>
    </row>
    <row r="214">
      <c r="A214" s="8"/>
      <c r="B214" s="6"/>
      <c r="C214" s="6"/>
      <c r="D214" s="37">
        <f>IFERROR(__xludf.DUMMYFUNCTION("""COMPUTED_VALUE"""),78.0)</f>
        <v>78</v>
      </c>
      <c r="E214" s="37">
        <f>IFERROR(__xludf.DUMMYFUNCTION("""COMPUTED_VALUE"""),136.0)</f>
        <v>136</v>
      </c>
    </row>
    <row r="215">
      <c r="A215" s="8"/>
      <c r="B215" s="6"/>
      <c r="C215" s="6"/>
      <c r="D215" s="37">
        <f>IFERROR(__xludf.DUMMYFUNCTION("""COMPUTED_VALUE"""),79.0)</f>
        <v>79</v>
      </c>
      <c r="E215" s="37">
        <f>IFERROR(__xludf.DUMMYFUNCTION("""COMPUTED_VALUE"""),140.0)</f>
        <v>140</v>
      </c>
    </row>
    <row r="216">
      <c r="A216" s="8"/>
      <c r="B216" s="6"/>
      <c r="C216" s="6"/>
      <c r="D216" s="37">
        <f>IFERROR(__xludf.DUMMYFUNCTION("""COMPUTED_VALUE"""),83.0)</f>
        <v>83</v>
      </c>
      <c r="E216" s="37">
        <f>IFERROR(__xludf.DUMMYFUNCTION("""COMPUTED_VALUE"""),159.0)</f>
        <v>159</v>
      </c>
    </row>
    <row r="217">
      <c r="A217" s="8"/>
      <c r="B217" s="6"/>
      <c r="C217" s="6"/>
      <c r="D217" s="37">
        <f>IFERROR(__xludf.DUMMYFUNCTION("""COMPUTED_VALUE"""),91.0)</f>
        <v>91</v>
      </c>
      <c r="E217" s="37">
        <f>IFERROR(__xludf.DUMMYFUNCTION("""COMPUTED_VALUE"""),161.0)</f>
        <v>161</v>
      </c>
    </row>
    <row r="218">
      <c r="A218" s="8"/>
      <c r="B218" s="6"/>
      <c r="C218" s="6"/>
      <c r="D218" s="37">
        <f>IFERROR(__xludf.DUMMYFUNCTION("""COMPUTED_VALUE"""),94.0)</f>
        <v>94</v>
      </c>
      <c r="E218" s="37">
        <f>IFERROR(__xludf.DUMMYFUNCTION("""COMPUTED_VALUE"""),164.0)</f>
        <v>164</v>
      </c>
    </row>
    <row r="219">
      <c r="A219" s="8"/>
      <c r="B219" s="6"/>
      <c r="C219" s="6"/>
      <c r="D219" s="37">
        <f>IFERROR(__xludf.DUMMYFUNCTION("""COMPUTED_VALUE"""),96.0)</f>
        <v>96</v>
      </c>
      <c r="E219" s="37">
        <f>IFERROR(__xludf.DUMMYFUNCTION("""COMPUTED_VALUE"""),165.0)</f>
        <v>165</v>
      </c>
    </row>
    <row r="220">
      <c r="A220" s="8"/>
      <c r="B220" s="6"/>
      <c r="C220" s="6"/>
      <c r="D220" s="37">
        <f>IFERROR(__xludf.DUMMYFUNCTION("""COMPUTED_VALUE"""),101.0)</f>
        <v>101</v>
      </c>
      <c r="E220" s="37">
        <f>IFERROR(__xludf.DUMMYFUNCTION("""COMPUTED_VALUE"""),179.0)</f>
        <v>179</v>
      </c>
    </row>
    <row r="221">
      <c r="A221" s="8"/>
      <c r="B221" s="6"/>
      <c r="C221" s="6"/>
      <c r="D221" s="37">
        <f>IFERROR(__xludf.DUMMYFUNCTION("""COMPUTED_VALUE"""),102.0)</f>
        <v>102</v>
      </c>
      <c r="E221" s="37">
        <f>IFERROR(__xludf.DUMMYFUNCTION("""COMPUTED_VALUE"""),181.0)</f>
        <v>181</v>
      </c>
    </row>
    <row r="222">
      <c r="A222" s="8"/>
      <c r="B222" s="6"/>
      <c r="C222" s="6"/>
      <c r="D222" s="37">
        <f>IFERROR(__xludf.DUMMYFUNCTION("""COMPUTED_VALUE"""),105.0)</f>
        <v>105</v>
      </c>
    </row>
    <row r="223">
      <c r="A223" s="8"/>
      <c r="B223" s="6"/>
      <c r="C223" s="6"/>
      <c r="D223" s="37">
        <f>IFERROR(__xludf.DUMMYFUNCTION("""COMPUTED_VALUE"""),106.0)</f>
        <v>106</v>
      </c>
    </row>
    <row r="224">
      <c r="A224" s="8"/>
      <c r="B224" s="6"/>
      <c r="C224" s="6"/>
      <c r="D224" s="37">
        <f>IFERROR(__xludf.DUMMYFUNCTION("""COMPUTED_VALUE"""),108.0)</f>
        <v>108</v>
      </c>
    </row>
    <row r="225">
      <c r="A225" s="8"/>
      <c r="B225" s="6"/>
      <c r="C225" s="6"/>
      <c r="D225" s="37">
        <f>IFERROR(__xludf.DUMMYFUNCTION("""COMPUTED_VALUE"""),114.0)</f>
        <v>114</v>
      </c>
    </row>
    <row r="226">
      <c r="A226" s="8"/>
      <c r="B226" s="6"/>
      <c r="C226" s="6"/>
      <c r="D226" s="37">
        <f>IFERROR(__xludf.DUMMYFUNCTION("""COMPUTED_VALUE"""),122.0)</f>
        <v>122</v>
      </c>
    </row>
    <row r="227">
      <c r="A227" s="8"/>
      <c r="B227" s="6"/>
      <c r="C227" s="6"/>
      <c r="D227" s="37">
        <f>IFERROR(__xludf.DUMMYFUNCTION("""COMPUTED_VALUE"""),129.0)</f>
        <v>129</v>
      </c>
    </row>
    <row r="228">
      <c r="A228" s="8"/>
      <c r="B228" s="6"/>
      <c r="C228" s="6"/>
      <c r="D228" s="37">
        <f>IFERROR(__xludf.DUMMYFUNCTION("""COMPUTED_VALUE"""),133.0)</f>
        <v>133</v>
      </c>
    </row>
    <row r="229">
      <c r="A229" s="8"/>
      <c r="B229" s="6"/>
      <c r="C229" s="6"/>
      <c r="D229" s="37">
        <f>IFERROR(__xludf.DUMMYFUNCTION("""COMPUTED_VALUE"""),135.0)</f>
        <v>135</v>
      </c>
    </row>
    <row r="230">
      <c r="A230" s="8"/>
      <c r="B230" s="6"/>
      <c r="C230" s="6"/>
      <c r="D230" s="37">
        <f>IFERROR(__xludf.DUMMYFUNCTION("""COMPUTED_VALUE"""),137.0)</f>
        <v>137</v>
      </c>
    </row>
    <row r="231">
      <c r="A231" s="8"/>
      <c r="B231" s="6"/>
      <c r="C231" s="6"/>
      <c r="D231" s="37">
        <f>IFERROR(__xludf.DUMMYFUNCTION("""COMPUTED_VALUE"""),139.0)</f>
        <v>139</v>
      </c>
    </row>
    <row r="232">
      <c r="A232" s="8"/>
      <c r="B232" s="6"/>
      <c r="C232" s="6"/>
      <c r="D232" s="37">
        <f>IFERROR(__xludf.DUMMYFUNCTION("""COMPUTED_VALUE"""),142.0)</f>
        <v>142</v>
      </c>
    </row>
    <row r="233">
      <c r="A233" s="8"/>
      <c r="B233" s="6"/>
      <c r="C233" s="6"/>
      <c r="D233" s="37">
        <f>IFERROR(__xludf.DUMMYFUNCTION("""COMPUTED_VALUE"""),143.0)</f>
        <v>143</v>
      </c>
    </row>
    <row r="234">
      <c r="A234" s="8"/>
      <c r="B234" s="6"/>
      <c r="C234" s="6"/>
      <c r="D234" s="37">
        <f>IFERROR(__xludf.DUMMYFUNCTION("""COMPUTED_VALUE"""),145.0)</f>
        <v>145</v>
      </c>
    </row>
    <row r="235">
      <c r="A235" s="8"/>
      <c r="B235" s="6"/>
      <c r="C235" s="6"/>
      <c r="D235" s="37">
        <f>IFERROR(__xludf.DUMMYFUNCTION("""COMPUTED_VALUE"""),146.0)</f>
        <v>146</v>
      </c>
    </row>
    <row r="236">
      <c r="A236" s="8"/>
      <c r="B236" s="6"/>
      <c r="C236" s="6"/>
      <c r="D236" s="37">
        <f>IFERROR(__xludf.DUMMYFUNCTION("""COMPUTED_VALUE"""),154.0)</f>
        <v>154</v>
      </c>
    </row>
    <row r="237">
      <c r="A237" s="8"/>
      <c r="B237" s="6"/>
      <c r="C237" s="6"/>
      <c r="D237" s="37">
        <f>IFERROR(__xludf.DUMMYFUNCTION("""COMPUTED_VALUE"""),156.0)</f>
        <v>156</v>
      </c>
    </row>
    <row r="238">
      <c r="A238" s="8"/>
      <c r="B238" s="6"/>
      <c r="C238" s="6"/>
      <c r="D238" s="37">
        <f>IFERROR(__xludf.DUMMYFUNCTION("""COMPUTED_VALUE"""),157.0)</f>
        <v>157</v>
      </c>
    </row>
    <row r="239">
      <c r="A239" s="8"/>
      <c r="B239" s="6"/>
      <c r="C239" s="6"/>
      <c r="D239" s="37">
        <f>IFERROR(__xludf.DUMMYFUNCTION("""COMPUTED_VALUE"""),160.0)</f>
        <v>160</v>
      </c>
    </row>
    <row r="240">
      <c r="A240" s="8"/>
      <c r="B240" s="6"/>
      <c r="C240" s="6"/>
      <c r="D240" s="37">
        <f>IFERROR(__xludf.DUMMYFUNCTION("""COMPUTED_VALUE"""),166.0)</f>
        <v>166</v>
      </c>
    </row>
    <row r="241">
      <c r="A241" s="8"/>
      <c r="B241" s="6"/>
      <c r="C241" s="6"/>
      <c r="D241" s="37">
        <f>IFERROR(__xludf.DUMMYFUNCTION("""COMPUTED_VALUE"""),167.0)</f>
        <v>167</v>
      </c>
    </row>
    <row r="242">
      <c r="A242" s="8"/>
      <c r="B242" s="6"/>
      <c r="C242" s="6"/>
      <c r="D242" s="37">
        <f>IFERROR(__xludf.DUMMYFUNCTION("""COMPUTED_VALUE"""),168.0)</f>
        <v>168</v>
      </c>
    </row>
    <row r="243">
      <c r="A243" s="8"/>
      <c r="B243" s="6"/>
      <c r="C243" s="6"/>
      <c r="D243" s="37">
        <f>IFERROR(__xludf.DUMMYFUNCTION("""COMPUTED_VALUE"""),174.0)</f>
        <v>174</v>
      </c>
    </row>
    <row r="244">
      <c r="A244" s="8"/>
      <c r="B244" s="6"/>
      <c r="C244" s="6"/>
      <c r="D244" s="37">
        <f>IFERROR(__xludf.DUMMYFUNCTION("""COMPUTED_VALUE"""),175.0)</f>
        <v>175</v>
      </c>
    </row>
    <row r="245">
      <c r="A245" s="8"/>
      <c r="B245" s="6"/>
      <c r="C245" s="6"/>
      <c r="D245" s="37">
        <f>IFERROR(__xludf.DUMMYFUNCTION("""COMPUTED_VALUE"""),176.0)</f>
        <v>176</v>
      </c>
    </row>
    <row r="246">
      <c r="A246" s="8"/>
      <c r="B246" s="6"/>
      <c r="C246" s="6"/>
      <c r="D246" s="37">
        <f>IFERROR(__xludf.DUMMYFUNCTION("""COMPUTED_VALUE"""),180.0)</f>
        <v>180</v>
      </c>
    </row>
    <row r="247">
      <c r="A247" s="8"/>
      <c r="B247" s="6"/>
      <c r="C247" s="6"/>
    </row>
    <row r="248">
      <c r="A248" s="8"/>
      <c r="B248" s="6"/>
      <c r="C248" s="6"/>
    </row>
    <row r="249">
      <c r="A249" s="8"/>
      <c r="B249" s="6"/>
      <c r="C249" s="6"/>
    </row>
    <row r="250">
      <c r="A250" s="8"/>
      <c r="B250" s="6"/>
      <c r="C250" s="6"/>
    </row>
    <row r="251">
      <c r="A251" s="8"/>
      <c r="B251" s="6"/>
      <c r="C251" s="6"/>
    </row>
    <row r="252">
      <c r="A252" s="8"/>
      <c r="B252" s="6"/>
      <c r="C252" s="6"/>
    </row>
    <row r="253">
      <c r="A253" s="24"/>
      <c r="B253" s="6"/>
      <c r="C253" s="6"/>
    </row>
    <row r="254">
      <c r="A254" s="24"/>
      <c r="B254" s="6"/>
      <c r="C254" s="6"/>
    </row>
    <row r="255">
      <c r="A255" s="24"/>
      <c r="B255" s="6"/>
      <c r="C255" s="6"/>
    </row>
    <row r="256">
      <c r="A256" s="24"/>
      <c r="B256" s="6"/>
      <c r="C256" s="6"/>
    </row>
    <row r="257">
      <c r="A257" s="8"/>
      <c r="B257" s="6"/>
      <c r="C257" s="6"/>
    </row>
    <row r="258">
      <c r="A258" s="8"/>
      <c r="B258" s="6"/>
      <c r="C258" s="6"/>
    </row>
    <row r="259">
      <c r="A259" s="8"/>
      <c r="B259" s="6"/>
      <c r="C259" s="6"/>
    </row>
    <row r="260">
      <c r="A260" s="8"/>
      <c r="B260" s="6"/>
      <c r="C260" s="6"/>
    </row>
    <row r="261">
      <c r="A261" s="8"/>
      <c r="B261" s="6"/>
      <c r="C261" s="6"/>
    </row>
    <row r="262">
      <c r="A262" s="8"/>
      <c r="B262" s="6"/>
      <c r="C262" s="6"/>
    </row>
    <row r="263">
      <c r="A263" s="8"/>
      <c r="B263" s="6"/>
      <c r="C263" s="6"/>
    </row>
    <row r="264">
      <c r="A264" s="8"/>
      <c r="B264" s="6"/>
      <c r="C264" s="6"/>
    </row>
    <row r="265">
      <c r="A265" s="24"/>
      <c r="B265" s="6"/>
      <c r="C265" s="6"/>
    </row>
    <row r="266">
      <c r="A266" s="8"/>
      <c r="B266" s="6"/>
      <c r="C266" s="6"/>
    </row>
    <row r="267">
      <c r="A267" s="8"/>
      <c r="B267" s="6"/>
      <c r="C267" s="6"/>
    </row>
    <row r="268">
      <c r="A268" s="24"/>
      <c r="B268" s="6"/>
      <c r="C268" s="6"/>
    </row>
    <row r="269">
      <c r="A269" s="8"/>
      <c r="B269" s="6"/>
      <c r="C269" s="6"/>
    </row>
    <row r="270">
      <c r="A270" s="8"/>
      <c r="B270" s="6"/>
      <c r="C270" s="6"/>
    </row>
    <row r="271">
      <c r="A271" s="8"/>
      <c r="B271" s="6"/>
      <c r="C271" s="6"/>
    </row>
    <row r="272">
      <c r="A272" s="8"/>
      <c r="B272" s="6"/>
      <c r="C272" s="6"/>
    </row>
    <row r="273">
      <c r="A273" s="24"/>
      <c r="B273" s="6"/>
      <c r="C273" s="6"/>
    </row>
    <row r="274">
      <c r="A274" s="8"/>
      <c r="B274" s="6"/>
      <c r="C274" s="6"/>
    </row>
    <row r="275">
      <c r="A275" s="24"/>
      <c r="B275" s="6"/>
      <c r="C275" s="6"/>
    </row>
    <row r="276">
      <c r="A276" s="8"/>
      <c r="B276" s="6"/>
      <c r="C276" s="6"/>
    </row>
    <row r="277">
      <c r="A277" s="8"/>
      <c r="B277" s="6"/>
      <c r="C277" s="6"/>
    </row>
    <row r="278">
      <c r="A278" s="24"/>
      <c r="B278" s="6"/>
      <c r="C278" s="6"/>
    </row>
    <row r="279">
      <c r="A279" s="24"/>
      <c r="B279" s="6"/>
      <c r="C279" s="6"/>
    </row>
    <row r="280">
      <c r="A280" s="24"/>
      <c r="B280" s="6"/>
      <c r="C280" s="6"/>
    </row>
    <row r="281">
      <c r="A281" s="24"/>
      <c r="B281" s="6"/>
      <c r="C281" s="6"/>
    </row>
    <row r="282">
      <c r="A282" s="8"/>
      <c r="B282" s="6"/>
      <c r="C282" s="6"/>
    </row>
    <row r="283">
      <c r="A283" s="8"/>
      <c r="B283" s="6"/>
      <c r="C283" s="6"/>
    </row>
    <row r="284">
      <c r="A284" s="8"/>
      <c r="B284" s="6"/>
      <c r="C284" s="6"/>
    </row>
    <row r="285">
      <c r="A285" s="24"/>
      <c r="B285" s="6"/>
      <c r="C285" s="6"/>
    </row>
    <row r="286">
      <c r="A286" s="8"/>
      <c r="B286" s="6"/>
      <c r="C286" s="6"/>
    </row>
    <row r="287">
      <c r="A287" s="24"/>
      <c r="B287" s="6"/>
      <c r="C287" s="6"/>
    </row>
    <row r="288">
      <c r="A288" s="8"/>
      <c r="B288" s="6"/>
      <c r="C288" s="6"/>
    </row>
    <row r="289">
      <c r="A289" s="24"/>
      <c r="B289" s="6"/>
      <c r="C289" s="6"/>
    </row>
    <row r="290">
      <c r="A290" s="8"/>
      <c r="B290" s="6"/>
      <c r="C290" s="6"/>
    </row>
    <row r="291">
      <c r="A291" s="8"/>
      <c r="B291" s="6"/>
      <c r="C291" s="6"/>
    </row>
    <row r="292">
      <c r="A292" s="8"/>
      <c r="B292" s="6"/>
      <c r="C292" s="6"/>
    </row>
    <row r="293">
      <c r="A293" s="8"/>
      <c r="B293" s="6"/>
      <c r="C293" s="6"/>
    </row>
    <row r="294">
      <c r="A294" s="8"/>
      <c r="B294" s="6"/>
      <c r="C294" s="6"/>
    </row>
    <row r="295">
      <c r="A295" s="8"/>
      <c r="B295" s="6"/>
      <c r="C295" s="6"/>
    </row>
    <row r="296">
      <c r="A296" s="8"/>
      <c r="B296" s="6"/>
      <c r="C296" s="6"/>
    </row>
    <row r="297">
      <c r="A297" s="8"/>
      <c r="B297" s="6"/>
      <c r="C297" s="6"/>
    </row>
    <row r="298">
      <c r="A298" s="8"/>
      <c r="B298" s="6"/>
      <c r="C298" s="6"/>
    </row>
    <row r="299">
      <c r="A299" s="24"/>
      <c r="B299" s="6"/>
      <c r="C299" s="6"/>
    </row>
    <row r="300">
      <c r="A300" s="8"/>
      <c r="B300" s="6"/>
      <c r="C300" s="6"/>
    </row>
    <row r="301">
      <c r="A301" s="8"/>
      <c r="B301" s="6"/>
      <c r="C301" s="6"/>
    </row>
    <row r="302">
      <c r="A302" s="8"/>
      <c r="B302" s="6"/>
      <c r="C302" s="6"/>
    </row>
    <row r="303">
      <c r="A303" s="24"/>
      <c r="B303" s="6"/>
      <c r="C303" s="6"/>
    </row>
    <row r="304">
      <c r="A304" s="8"/>
      <c r="B304" s="6"/>
      <c r="C304" s="6"/>
    </row>
    <row r="305">
      <c r="A305" s="8"/>
      <c r="B305" s="6"/>
      <c r="C305" s="6"/>
    </row>
    <row r="306">
      <c r="A306" s="8"/>
      <c r="B306" s="6"/>
      <c r="C306" s="6"/>
    </row>
    <row r="307">
      <c r="A307" s="8"/>
      <c r="B307" s="6"/>
      <c r="C307" s="6"/>
    </row>
    <row r="308">
      <c r="A308" s="24"/>
      <c r="B308" s="6"/>
      <c r="C308" s="6"/>
    </row>
    <row r="309">
      <c r="A309" s="8"/>
      <c r="B309" s="6"/>
      <c r="C309" s="6"/>
    </row>
    <row r="310">
      <c r="A310" s="8"/>
      <c r="B310" s="6"/>
      <c r="C310" s="6"/>
    </row>
    <row r="311">
      <c r="A311" s="24"/>
      <c r="B311" s="6"/>
      <c r="C311" s="6"/>
    </row>
    <row r="312">
      <c r="A312" s="24"/>
      <c r="B312" s="6"/>
      <c r="C312" s="6"/>
    </row>
    <row r="313">
      <c r="A313" s="24"/>
      <c r="B313" s="6"/>
      <c r="C313" s="6"/>
    </row>
    <row r="314">
      <c r="A314" s="24"/>
      <c r="B314" s="6"/>
      <c r="C314" s="6"/>
    </row>
    <row r="315">
      <c r="A315" s="8"/>
      <c r="B315" s="6"/>
      <c r="C315" s="6"/>
    </row>
    <row r="316">
      <c r="A316" s="24"/>
      <c r="B316" s="6"/>
      <c r="C316" s="6"/>
    </row>
    <row r="317">
      <c r="A317" s="8"/>
      <c r="B317" s="6"/>
      <c r="C317" s="6"/>
    </row>
    <row r="318">
      <c r="A318" s="8"/>
      <c r="B318" s="6"/>
      <c r="C318" s="6"/>
    </row>
    <row r="319">
      <c r="A319" s="8"/>
      <c r="B319" s="6"/>
      <c r="C319" s="6"/>
    </row>
    <row r="320">
      <c r="A320" s="8"/>
      <c r="B320" s="6"/>
      <c r="C320" s="6"/>
    </row>
    <row r="321">
      <c r="A321" s="8"/>
      <c r="B321" s="6"/>
      <c r="C321" s="6"/>
    </row>
    <row r="322">
      <c r="A322" s="24"/>
      <c r="B322" s="6"/>
      <c r="C322" s="6"/>
    </row>
    <row r="323">
      <c r="A323" s="8"/>
      <c r="B323" s="6"/>
      <c r="C323" s="6"/>
    </row>
    <row r="324">
      <c r="A324" s="8"/>
      <c r="B324" s="6"/>
      <c r="C324" s="6"/>
    </row>
    <row r="325">
      <c r="A325" s="8"/>
      <c r="B325" s="6"/>
      <c r="C325" s="6"/>
    </row>
    <row r="326">
      <c r="A326" s="24"/>
      <c r="B326" s="6"/>
      <c r="C326" s="6"/>
    </row>
    <row r="327">
      <c r="A327" s="8"/>
      <c r="B327" s="6"/>
      <c r="C327" s="6"/>
    </row>
    <row r="328">
      <c r="A328" s="24"/>
      <c r="B328" s="6"/>
      <c r="C328" s="6"/>
    </row>
    <row r="329">
      <c r="A329" s="24"/>
      <c r="B329" s="6"/>
      <c r="C329" s="6"/>
    </row>
    <row r="330">
      <c r="A330" s="24"/>
      <c r="B330" s="6"/>
      <c r="C330" s="6"/>
    </row>
    <row r="331">
      <c r="A331" s="8"/>
      <c r="B331" s="6"/>
      <c r="C331" s="6"/>
    </row>
    <row r="332">
      <c r="A332" s="8"/>
      <c r="B332" s="6"/>
      <c r="C332" s="6"/>
    </row>
    <row r="333">
      <c r="A333" s="24"/>
      <c r="B333" s="6"/>
      <c r="C333" s="6"/>
    </row>
    <row r="334">
      <c r="A334" s="8"/>
      <c r="B334" s="6"/>
      <c r="C334" s="6"/>
    </row>
    <row r="335">
      <c r="A335" s="24"/>
      <c r="B335" s="6"/>
      <c r="C335" s="6"/>
    </row>
    <row r="336">
      <c r="A336" s="24"/>
      <c r="B336" s="6"/>
      <c r="C336" s="6"/>
    </row>
    <row r="337">
      <c r="A337" s="8"/>
      <c r="B337" s="6"/>
      <c r="C337" s="6"/>
    </row>
    <row r="338">
      <c r="A338" s="24"/>
      <c r="B338" s="6"/>
      <c r="C338" s="6"/>
    </row>
    <row r="339">
      <c r="A339" s="8"/>
      <c r="B339" s="6"/>
      <c r="C339" s="6"/>
    </row>
    <row r="340">
      <c r="A340" s="24"/>
      <c r="B340" s="6"/>
      <c r="C340" s="6"/>
    </row>
    <row r="341">
      <c r="A341" s="8"/>
      <c r="B341" s="6"/>
      <c r="C341" s="6"/>
    </row>
    <row r="342">
      <c r="A342" s="8"/>
      <c r="B342" s="6"/>
      <c r="C342" s="6"/>
    </row>
    <row r="343">
      <c r="A343" s="24"/>
      <c r="B343" s="6"/>
      <c r="C343" s="6"/>
    </row>
    <row r="344">
      <c r="A344" s="24"/>
      <c r="B344" s="6"/>
      <c r="C344" s="6"/>
    </row>
    <row r="345">
      <c r="A345" s="24"/>
      <c r="B345" s="6"/>
      <c r="C345" s="6"/>
    </row>
    <row r="346">
      <c r="A346" s="8"/>
      <c r="B346" s="6"/>
      <c r="C346" s="6"/>
    </row>
    <row r="347">
      <c r="A347" s="24"/>
      <c r="B347" s="6"/>
      <c r="C347" s="6"/>
    </row>
    <row r="348">
      <c r="A348" s="8"/>
      <c r="B348" s="6"/>
      <c r="C348" s="6"/>
    </row>
    <row r="349">
      <c r="A349" s="8"/>
      <c r="B349" s="6"/>
      <c r="C349" s="6"/>
    </row>
    <row r="350">
      <c r="A350" s="24"/>
      <c r="B350" s="6"/>
      <c r="C350" s="6"/>
    </row>
    <row r="351">
      <c r="A351" s="8"/>
      <c r="B351" s="6"/>
      <c r="C351" s="6"/>
    </row>
    <row r="352">
      <c r="A352" s="24"/>
      <c r="B352" s="6"/>
      <c r="C352" s="6"/>
    </row>
    <row r="353">
      <c r="A353" s="24"/>
      <c r="B353" s="6"/>
      <c r="C353" s="6"/>
    </row>
    <row r="354">
      <c r="A354" s="8"/>
      <c r="B354" s="6"/>
      <c r="C354" s="6"/>
    </row>
    <row r="355">
      <c r="A355" s="24"/>
      <c r="B355" s="6"/>
      <c r="C355" s="6"/>
    </row>
    <row r="356">
      <c r="A356" s="8"/>
      <c r="B356" s="6"/>
      <c r="C356" s="6"/>
    </row>
    <row r="357">
      <c r="A357" s="8"/>
      <c r="B357" s="6"/>
      <c r="C357" s="6"/>
    </row>
    <row r="358">
      <c r="A358" s="24"/>
      <c r="B358" s="6"/>
      <c r="C358" s="6"/>
    </row>
    <row r="359">
      <c r="A359" s="24"/>
      <c r="B359" s="6"/>
      <c r="C359" s="6"/>
    </row>
    <row r="360">
      <c r="A360" s="24"/>
      <c r="B360" s="6"/>
      <c r="C360" s="6"/>
    </row>
    <row r="361">
      <c r="A361" s="8"/>
      <c r="B361" s="6"/>
      <c r="C361" s="6"/>
    </row>
    <row r="362">
      <c r="A362" s="8"/>
      <c r="B362" s="6"/>
      <c r="C362" s="6"/>
    </row>
    <row r="363">
      <c r="A363" s="8"/>
      <c r="B363" s="6"/>
      <c r="C363" s="6"/>
    </row>
    <row r="364">
      <c r="A364" s="8"/>
      <c r="B364" s="6"/>
      <c r="C364" s="6"/>
    </row>
    <row r="365">
      <c r="A365" s="24"/>
      <c r="B365" s="6"/>
      <c r="C365" s="6"/>
    </row>
    <row r="366">
      <c r="A366" s="8"/>
      <c r="B366" s="6"/>
      <c r="C366" s="6"/>
    </row>
    <row r="367">
      <c r="A367" s="8"/>
      <c r="B367" s="6"/>
      <c r="C367" s="6"/>
    </row>
    <row r="368">
      <c r="A368" s="24"/>
      <c r="B368" s="6"/>
      <c r="C368" s="6"/>
    </row>
    <row r="369">
      <c r="A369" s="24"/>
      <c r="B369" s="6"/>
      <c r="C369" s="6"/>
    </row>
    <row r="370">
      <c r="A370" s="8"/>
      <c r="B370" s="6"/>
      <c r="C370" s="6"/>
    </row>
    <row r="371">
      <c r="A371" s="8"/>
      <c r="B371" s="6"/>
      <c r="C371" s="6"/>
    </row>
    <row r="372">
      <c r="A372" s="8"/>
      <c r="B372" s="6"/>
      <c r="C372" s="6"/>
    </row>
    <row r="373">
      <c r="A373" s="24"/>
      <c r="B373" s="6"/>
      <c r="C373" s="6"/>
    </row>
    <row r="374">
      <c r="A374" s="8"/>
      <c r="B374" s="6"/>
      <c r="C374" s="6"/>
    </row>
    <row r="375">
      <c r="A375" s="24"/>
      <c r="B375" s="6"/>
      <c r="C375" s="6"/>
    </row>
    <row r="376">
      <c r="A376" s="24"/>
      <c r="B376" s="6"/>
      <c r="C376" s="6"/>
    </row>
    <row r="377">
      <c r="A377" s="8"/>
      <c r="B377" s="6"/>
      <c r="C377" s="6"/>
    </row>
    <row r="378">
      <c r="A378" s="24"/>
      <c r="B378" s="6"/>
      <c r="C378" s="6"/>
    </row>
    <row r="379">
      <c r="A379" s="24"/>
      <c r="B379" s="6"/>
      <c r="C379" s="6"/>
    </row>
    <row r="380">
      <c r="A380" s="8"/>
      <c r="B380" s="6"/>
      <c r="C380" s="6"/>
    </row>
    <row r="381">
      <c r="A381" s="8"/>
      <c r="B381" s="6"/>
      <c r="C381" s="6"/>
    </row>
    <row r="382">
      <c r="A382" s="8"/>
      <c r="B382" s="6"/>
      <c r="C382" s="6"/>
    </row>
    <row r="383">
      <c r="A383" s="8"/>
      <c r="B383" s="6"/>
      <c r="C383" s="6"/>
    </row>
    <row r="384">
      <c r="A384" s="8"/>
      <c r="B384" s="6"/>
      <c r="C384" s="6"/>
    </row>
    <row r="385">
      <c r="A385" s="8"/>
      <c r="B385" s="6"/>
      <c r="C385" s="6"/>
    </row>
    <row r="386">
      <c r="A386" s="8"/>
      <c r="B386" s="6"/>
      <c r="C386" s="6"/>
    </row>
    <row r="387">
      <c r="A387" s="8"/>
      <c r="B387" s="6"/>
      <c r="C387" s="6"/>
    </row>
    <row r="388">
      <c r="A388" s="8"/>
      <c r="B388" s="6"/>
      <c r="C388" s="6"/>
    </row>
    <row r="389">
      <c r="A389" s="8"/>
      <c r="B389" s="6"/>
      <c r="C389" s="6"/>
    </row>
    <row r="390">
      <c r="A390" s="8"/>
      <c r="B390" s="6"/>
      <c r="C390" s="6"/>
    </row>
    <row r="391">
      <c r="A391" s="8"/>
      <c r="B391" s="6"/>
      <c r="C391" s="6"/>
    </row>
    <row r="392">
      <c r="A392" s="8"/>
      <c r="B392" s="6"/>
      <c r="C392" s="6"/>
    </row>
    <row r="393">
      <c r="A393" s="24"/>
      <c r="B393" s="6"/>
      <c r="C393" s="6"/>
    </row>
    <row r="394">
      <c r="A394" s="8"/>
      <c r="B394" s="6"/>
      <c r="C394" s="6"/>
    </row>
    <row r="395">
      <c r="A395" s="24"/>
      <c r="B395" s="6"/>
      <c r="C395" s="6"/>
    </row>
    <row r="396">
      <c r="A396" s="8"/>
      <c r="B396" s="6"/>
      <c r="C396" s="6"/>
    </row>
    <row r="397">
      <c r="A397" s="8"/>
      <c r="B397" s="6"/>
      <c r="C397" s="6"/>
    </row>
    <row r="398">
      <c r="A398" s="24"/>
      <c r="B398" s="6"/>
      <c r="C398" s="6"/>
    </row>
    <row r="399">
      <c r="A399" s="8"/>
      <c r="B399" s="6"/>
      <c r="C399" s="6"/>
    </row>
    <row r="400">
      <c r="A400" s="24"/>
      <c r="B400" s="6"/>
      <c r="C400" s="6"/>
    </row>
    <row r="401">
      <c r="A401" s="24"/>
      <c r="B401" s="6"/>
      <c r="C401" s="6"/>
    </row>
    <row r="402">
      <c r="A402" s="24"/>
      <c r="B402" s="6"/>
      <c r="C402" s="6"/>
    </row>
    <row r="403">
      <c r="A403" s="24"/>
      <c r="B403" s="6"/>
      <c r="C403" s="6"/>
    </row>
    <row r="404">
      <c r="A404" s="24"/>
      <c r="B404" s="6"/>
      <c r="C404" s="6"/>
    </row>
    <row r="405">
      <c r="A405" s="24"/>
      <c r="B405" s="6"/>
      <c r="C405" s="6"/>
    </row>
    <row r="406">
      <c r="A406" s="24"/>
      <c r="B406" s="6"/>
      <c r="C406" s="6"/>
    </row>
    <row r="407">
      <c r="A407" s="24"/>
      <c r="B407" s="6"/>
      <c r="C407" s="6"/>
    </row>
    <row r="408">
      <c r="A408" s="8"/>
      <c r="B408" s="6"/>
      <c r="C408" s="6"/>
    </row>
    <row r="409">
      <c r="A409" s="24"/>
      <c r="B409" s="6"/>
      <c r="C409" s="6"/>
    </row>
    <row r="410">
      <c r="A410" s="8"/>
      <c r="B410" s="6"/>
      <c r="C410" s="6"/>
    </row>
    <row r="411">
      <c r="A411" s="24"/>
      <c r="B411" s="6"/>
      <c r="C411" s="6"/>
    </row>
    <row r="412">
      <c r="A412" s="24"/>
      <c r="B412" s="6"/>
      <c r="C412" s="6"/>
    </row>
    <row r="413">
      <c r="A413" s="24"/>
      <c r="B413" s="6"/>
      <c r="C413" s="6"/>
    </row>
    <row r="414">
      <c r="A414" s="24"/>
      <c r="B414" s="6"/>
      <c r="C414" s="6"/>
    </row>
    <row r="415">
      <c r="A415" s="8"/>
      <c r="B415" s="6"/>
      <c r="C415" s="6"/>
    </row>
    <row r="416">
      <c r="A416" s="8"/>
      <c r="B416" s="6"/>
      <c r="C416" s="6"/>
    </row>
    <row r="417">
      <c r="A417" s="8"/>
      <c r="B417" s="6"/>
      <c r="C417" s="6"/>
    </row>
    <row r="418">
      <c r="A418" s="8"/>
      <c r="B418" s="6"/>
      <c r="C418" s="6"/>
    </row>
    <row r="419">
      <c r="A419" s="8"/>
      <c r="B419" s="6"/>
      <c r="C419" s="6"/>
    </row>
    <row r="420">
      <c r="A420" s="24"/>
      <c r="B420" s="6"/>
      <c r="C420" s="6"/>
    </row>
    <row r="421">
      <c r="A421" s="24"/>
      <c r="B421" s="6"/>
      <c r="C421" s="6"/>
    </row>
    <row r="422">
      <c r="A422" s="8"/>
      <c r="B422" s="6"/>
      <c r="C422" s="6"/>
    </row>
    <row r="423">
      <c r="A423" s="24"/>
      <c r="B423" s="6"/>
      <c r="C423" s="6"/>
    </row>
    <row r="424">
      <c r="A424" s="24"/>
      <c r="B424" s="6"/>
      <c r="C424" s="6"/>
    </row>
    <row r="425">
      <c r="A425" s="8"/>
      <c r="B425" s="6"/>
      <c r="C425" s="6"/>
    </row>
    <row r="426">
      <c r="A426" s="8"/>
      <c r="B426" s="6"/>
      <c r="C426" s="6"/>
    </row>
    <row r="427">
      <c r="A427" s="24"/>
      <c r="B427" s="6"/>
      <c r="C427" s="6"/>
    </row>
    <row r="428">
      <c r="A428" s="24"/>
      <c r="B428" s="6"/>
      <c r="C428" s="6"/>
    </row>
    <row r="429">
      <c r="A429" s="8"/>
      <c r="B429" s="6"/>
      <c r="C429" s="6"/>
    </row>
    <row r="430">
      <c r="A430" s="24"/>
      <c r="B430" s="6"/>
      <c r="C430" s="6"/>
    </row>
    <row r="431">
      <c r="A431" s="24"/>
      <c r="B431" s="6"/>
      <c r="C431" s="6"/>
    </row>
    <row r="432">
      <c r="A432" s="8"/>
      <c r="B432" s="6"/>
      <c r="C432" s="6"/>
    </row>
    <row r="433">
      <c r="A433" s="8"/>
      <c r="B433" s="6"/>
      <c r="C433" s="6"/>
    </row>
    <row r="434">
      <c r="A434" s="8"/>
      <c r="B434" s="6"/>
      <c r="C434" s="6"/>
    </row>
    <row r="435">
      <c r="A435" s="8"/>
      <c r="B435" s="6"/>
      <c r="C435" s="6"/>
    </row>
    <row r="436">
      <c r="A436" s="24"/>
      <c r="B436" s="6"/>
      <c r="C436" s="6"/>
    </row>
    <row r="437">
      <c r="A437" s="8"/>
      <c r="B437" s="6"/>
      <c r="C437" s="6"/>
    </row>
    <row r="438">
      <c r="A438" s="8"/>
      <c r="B438" s="6"/>
      <c r="C438" s="6"/>
    </row>
    <row r="439">
      <c r="A439" s="8"/>
      <c r="B439" s="6"/>
      <c r="C439" s="6"/>
    </row>
    <row r="440">
      <c r="A440" s="24"/>
      <c r="B440" s="6"/>
      <c r="C440" s="6"/>
    </row>
    <row r="441">
      <c r="A441" s="8"/>
      <c r="B441" s="6"/>
      <c r="C441" s="6"/>
    </row>
    <row r="442">
      <c r="A442" s="8"/>
      <c r="B442" s="6"/>
      <c r="C442" s="6"/>
    </row>
    <row r="443">
      <c r="A443" s="8"/>
      <c r="B443" s="6"/>
      <c r="C443" s="6"/>
    </row>
    <row r="444">
      <c r="A444" s="8"/>
      <c r="B444" s="6"/>
      <c r="C444" s="6"/>
    </row>
    <row r="445">
      <c r="A445" s="8"/>
      <c r="B445" s="6"/>
      <c r="C445" s="6"/>
    </row>
    <row r="446">
      <c r="A446" s="8"/>
      <c r="B446" s="6"/>
      <c r="C446" s="6"/>
    </row>
    <row r="447">
      <c r="A447" s="8"/>
      <c r="B447" s="6"/>
      <c r="C447" s="6"/>
    </row>
    <row r="448">
      <c r="A448" s="8"/>
      <c r="B448" s="6"/>
      <c r="C448" s="6"/>
    </row>
    <row r="449">
      <c r="A449" s="8"/>
      <c r="B449" s="6"/>
      <c r="C449" s="6"/>
    </row>
    <row r="450">
      <c r="A450" s="8"/>
      <c r="B450" s="6"/>
      <c r="C450" s="6"/>
    </row>
    <row r="451">
      <c r="A451" s="8"/>
      <c r="B451" s="6"/>
      <c r="C451" s="6"/>
    </row>
    <row r="452">
      <c r="A452" s="8"/>
      <c r="B452" s="6"/>
      <c r="C452" s="6"/>
    </row>
    <row r="453">
      <c r="A453" s="8"/>
      <c r="B453" s="6"/>
      <c r="C453" s="6"/>
    </row>
    <row r="454">
      <c r="A454" s="8"/>
      <c r="B454" s="6"/>
      <c r="C454" s="6"/>
    </row>
    <row r="455">
      <c r="A455" s="8"/>
      <c r="B455" s="6"/>
      <c r="C455" s="6"/>
    </row>
    <row r="456">
      <c r="A456" s="8"/>
      <c r="B456" s="6"/>
      <c r="C456" s="6"/>
    </row>
    <row r="457">
      <c r="A457" s="8"/>
      <c r="B457" s="6"/>
      <c r="C457" s="6"/>
    </row>
    <row r="458">
      <c r="A458" s="8"/>
      <c r="B458" s="6"/>
      <c r="C458" s="6"/>
    </row>
    <row r="459">
      <c r="A459" s="8"/>
      <c r="B459" s="6"/>
      <c r="C459" s="6"/>
    </row>
    <row r="460">
      <c r="A460" s="8"/>
      <c r="B460" s="6"/>
      <c r="C460" s="6"/>
    </row>
    <row r="461">
      <c r="A461" s="8"/>
      <c r="B461" s="6"/>
      <c r="C461" s="6"/>
    </row>
    <row r="462">
      <c r="A462" s="8"/>
      <c r="B462" s="6"/>
      <c r="C462" s="6"/>
    </row>
    <row r="463">
      <c r="A463" s="8"/>
      <c r="B463" s="6"/>
      <c r="C463" s="6"/>
    </row>
    <row r="464">
      <c r="A464" s="8"/>
      <c r="B464" s="6"/>
      <c r="C464" s="6"/>
    </row>
    <row r="465">
      <c r="A465" s="8"/>
      <c r="B465" s="6"/>
      <c r="C465" s="6"/>
    </row>
    <row r="466">
      <c r="A466" s="8"/>
      <c r="B466" s="6"/>
      <c r="C466" s="6"/>
    </row>
    <row r="467">
      <c r="A467" s="8"/>
      <c r="B467" s="6"/>
      <c r="C467" s="6"/>
    </row>
    <row r="468">
      <c r="A468" s="8"/>
      <c r="B468" s="6"/>
      <c r="C468" s="6"/>
    </row>
    <row r="469">
      <c r="A469" s="8"/>
      <c r="B469" s="6"/>
      <c r="C469" s="6"/>
    </row>
    <row r="470">
      <c r="A470" s="8"/>
      <c r="B470" s="6"/>
      <c r="C470" s="6"/>
    </row>
    <row r="471">
      <c r="A471" s="8"/>
      <c r="B471" s="6"/>
      <c r="C471" s="6"/>
    </row>
    <row r="472">
      <c r="A472" s="8"/>
      <c r="B472" s="6"/>
      <c r="C472" s="6"/>
    </row>
    <row r="473">
      <c r="A473" s="8"/>
      <c r="B473" s="6"/>
      <c r="C473" s="6"/>
    </row>
    <row r="474">
      <c r="A474" s="8"/>
      <c r="B474" s="6"/>
      <c r="C474" s="6"/>
    </row>
    <row r="475">
      <c r="A475" s="8"/>
      <c r="B475" s="6"/>
      <c r="C475" s="6"/>
    </row>
    <row r="476">
      <c r="A476" s="8"/>
      <c r="B476" s="6"/>
      <c r="C476" s="6"/>
    </row>
    <row r="477">
      <c r="A477" s="8"/>
      <c r="B477" s="6"/>
      <c r="C477" s="6"/>
    </row>
    <row r="478">
      <c r="A478" s="8"/>
      <c r="B478" s="6"/>
      <c r="C478" s="6"/>
    </row>
    <row r="479">
      <c r="A479" s="8"/>
      <c r="B479" s="6"/>
      <c r="C479" s="6"/>
    </row>
    <row r="480">
      <c r="A480" s="8"/>
      <c r="B480" s="6"/>
      <c r="C480" s="6"/>
    </row>
    <row r="481">
      <c r="A481" s="8"/>
      <c r="B481" s="6"/>
      <c r="C481" s="6"/>
    </row>
    <row r="482">
      <c r="A482" s="8"/>
      <c r="B482" s="6"/>
      <c r="C482" s="6"/>
    </row>
    <row r="483">
      <c r="A483" s="8"/>
      <c r="B483" s="6"/>
      <c r="C483" s="6"/>
    </row>
    <row r="484">
      <c r="A484" s="8"/>
      <c r="B484" s="6"/>
      <c r="C484" s="6"/>
    </row>
    <row r="485">
      <c r="A485" s="8"/>
      <c r="B485" s="6"/>
      <c r="C485" s="6"/>
    </row>
    <row r="486">
      <c r="A486" s="8"/>
      <c r="B486" s="6"/>
      <c r="C486" s="6"/>
    </row>
    <row r="487">
      <c r="A487" s="8"/>
      <c r="B487" s="6"/>
      <c r="C487" s="6"/>
    </row>
    <row r="488">
      <c r="A488" s="8"/>
      <c r="B488" s="6"/>
      <c r="C488" s="6"/>
    </row>
    <row r="489">
      <c r="A489" s="8"/>
      <c r="B489" s="6"/>
      <c r="C489" s="6"/>
    </row>
    <row r="490">
      <c r="A490" s="8"/>
      <c r="B490" s="6"/>
      <c r="C490" s="6"/>
    </row>
    <row r="491">
      <c r="A491" s="8"/>
      <c r="B491" s="6"/>
      <c r="C491" s="6"/>
    </row>
    <row r="492">
      <c r="A492" s="8"/>
      <c r="B492" s="6"/>
      <c r="C492" s="6"/>
    </row>
    <row r="493">
      <c r="A493" s="8"/>
      <c r="B493" s="6"/>
      <c r="C493" s="6"/>
    </row>
    <row r="494">
      <c r="A494" s="8"/>
      <c r="B494" s="6"/>
      <c r="C494" s="6"/>
    </row>
    <row r="495">
      <c r="A495" s="8"/>
      <c r="B495" s="6"/>
      <c r="C495" s="6"/>
    </row>
    <row r="496">
      <c r="A496" s="8"/>
      <c r="B496" s="6"/>
      <c r="C496" s="6"/>
    </row>
    <row r="497">
      <c r="A497" s="8"/>
      <c r="B497" s="6"/>
      <c r="C497" s="6"/>
    </row>
    <row r="498">
      <c r="A498" s="8"/>
      <c r="B498" s="6"/>
      <c r="C498" s="6"/>
    </row>
    <row r="499">
      <c r="A499" s="8"/>
      <c r="B499" s="6"/>
      <c r="C499" s="6"/>
    </row>
    <row r="500">
      <c r="A500" s="8"/>
      <c r="B500" s="6"/>
      <c r="C500" s="6"/>
    </row>
    <row r="501">
      <c r="A501" s="8"/>
      <c r="B501" s="6"/>
      <c r="C501" s="6"/>
    </row>
    <row r="502">
      <c r="A502" s="8"/>
      <c r="B502" s="6"/>
      <c r="C502" s="6"/>
    </row>
    <row r="503">
      <c r="A503" s="8"/>
      <c r="B503" s="6"/>
      <c r="C503" s="6"/>
    </row>
    <row r="504">
      <c r="A504" s="8"/>
      <c r="B504" s="6"/>
      <c r="C504" s="6"/>
    </row>
    <row r="505">
      <c r="A505" s="8"/>
      <c r="B505" s="6"/>
      <c r="C505" s="6"/>
    </row>
    <row r="506">
      <c r="A506" s="8"/>
      <c r="B506" s="6"/>
      <c r="C506" s="6"/>
    </row>
    <row r="507">
      <c r="A507" s="8"/>
      <c r="B507" s="6"/>
      <c r="C507" s="6"/>
    </row>
    <row r="508">
      <c r="A508" s="8"/>
      <c r="B508" s="6"/>
      <c r="C508" s="6"/>
    </row>
    <row r="509">
      <c r="A509" s="8"/>
      <c r="B509" s="6"/>
      <c r="C509" s="6"/>
    </row>
    <row r="510">
      <c r="A510" s="8"/>
      <c r="B510" s="6"/>
      <c r="C510" s="6"/>
    </row>
    <row r="511">
      <c r="A511" s="8"/>
      <c r="B511" s="6"/>
      <c r="C511" s="6"/>
    </row>
    <row r="512">
      <c r="A512" s="8"/>
      <c r="B512" s="6"/>
      <c r="C512" s="6"/>
    </row>
    <row r="513">
      <c r="A513" s="8"/>
      <c r="B513" s="6"/>
      <c r="C513" s="6"/>
    </row>
    <row r="514">
      <c r="A514" s="8"/>
      <c r="B514" s="6"/>
      <c r="C514" s="6"/>
    </row>
    <row r="515">
      <c r="A515" s="8"/>
      <c r="B515" s="6"/>
      <c r="C515" s="6"/>
    </row>
    <row r="516">
      <c r="A516" s="8"/>
      <c r="B516" s="6"/>
      <c r="C516" s="6"/>
    </row>
    <row r="517">
      <c r="A517" s="8"/>
      <c r="B517" s="6"/>
      <c r="C517" s="6"/>
    </row>
    <row r="518">
      <c r="A518" s="8"/>
      <c r="B518" s="6"/>
      <c r="C518" s="6"/>
    </row>
    <row r="519">
      <c r="A519" s="8"/>
      <c r="B519" s="6"/>
      <c r="C519" s="6"/>
    </row>
    <row r="520">
      <c r="A520" s="8"/>
      <c r="B520" s="6"/>
      <c r="C520" s="6"/>
    </row>
    <row r="521">
      <c r="A521" s="8"/>
      <c r="B521" s="6"/>
      <c r="C521" s="6"/>
    </row>
    <row r="522">
      <c r="A522" s="8"/>
      <c r="B522" s="6"/>
      <c r="C522" s="6"/>
    </row>
    <row r="523">
      <c r="A523" s="8"/>
      <c r="B523" s="6"/>
      <c r="C523" s="6"/>
    </row>
    <row r="524">
      <c r="A524" s="8"/>
      <c r="B524" s="6"/>
      <c r="C524" s="6"/>
    </row>
    <row r="525">
      <c r="A525" s="8"/>
      <c r="B525" s="6"/>
      <c r="C525" s="6"/>
    </row>
    <row r="526">
      <c r="A526" s="8"/>
      <c r="B526" s="6"/>
      <c r="C526" s="6"/>
    </row>
    <row r="527">
      <c r="A527" s="8"/>
      <c r="B527" s="6"/>
      <c r="C527" s="6"/>
    </row>
    <row r="528">
      <c r="A528" s="8"/>
      <c r="B528" s="6"/>
      <c r="C528" s="6"/>
    </row>
    <row r="529">
      <c r="A529" s="8"/>
      <c r="B529" s="6"/>
      <c r="C529" s="6"/>
    </row>
    <row r="530">
      <c r="A530" s="8"/>
      <c r="B530" s="6"/>
      <c r="C530" s="6"/>
    </row>
    <row r="531">
      <c r="A531" s="8"/>
      <c r="B531" s="6"/>
      <c r="C531" s="6"/>
    </row>
    <row r="532">
      <c r="A532" s="8"/>
      <c r="B532" s="6"/>
      <c r="C532" s="6"/>
    </row>
    <row r="533">
      <c r="A533" s="8"/>
      <c r="B533" s="6"/>
      <c r="C533" s="6"/>
    </row>
    <row r="534">
      <c r="A534" s="8"/>
      <c r="B534" s="6"/>
      <c r="C534" s="6"/>
    </row>
    <row r="535">
      <c r="A535" s="8"/>
      <c r="B535" s="6"/>
      <c r="C535" s="6"/>
    </row>
    <row r="536">
      <c r="A536" s="8"/>
      <c r="B536" s="6"/>
      <c r="C536" s="6"/>
    </row>
    <row r="537">
      <c r="A537" s="8"/>
      <c r="B537" s="6"/>
      <c r="C537" s="6"/>
    </row>
    <row r="538">
      <c r="A538" s="8"/>
      <c r="B538" s="6"/>
      <c r="C538" s="6"/>
    </row>
    <row r="539">
      <c r="A539" s="8"/>
      <c r="B539" s="6"/>
      <c r="C539" s="6"/>
    </row>
    <row r="540">
      <c r="A540" s="8"/>
      <c r="B540" s="6"/>
      <c r="C540" s="6"/>
    </row>
    <row r="541">
      <c r="A541" s="8"/>
      <c r="B541" s="6"/>
      <c r="C541" s="6"/>
    </row>
    <row r="542">
      <c r="A542" s="8"/>
      <c r="B542" s="6"/>
      <c r="C542" s="6"/>
    </row>
    <row r="543">
      <c r="A543" s="8"/>
      <c r="B543" s="6"/>
      <c r="C543" s="6"/>
    </row>
    <row r="544">
      <c r="A544" s="8"/>
      <c r="B544" s="6"/>
      <c r="C544" s="6"/>
    </row>
    <row r="545">
      <c r="A545" s="8"/>
      <c r="B545" s="6"/>
      <c r="C545" s="6"/>
    </row>
    <row r="546">
      <c r="A546" s="8"/>
      <c r="B546" s="6"/>
      <c r="C546" s="6"/>
    </row>
    <row r="547">
      <c r="A547" s="8"/>
      <c r="B547" s="6"/>
      <c r="C547" s="6"/>
    </row>
    <row r="548">
      <c r="A548" s="8"/>
      <c r="B548" s="6"/>
      <c r="C548" s="6"/>
    </row>
    <row r="549">
      <c r="A549" s="8"/>
      <c r="B549" s="6"/>
      <c r="C549" s="6"/>
    </row>
    <row r="550">
      <c r="A550" s="8"/>
      <c r="B550" s="6"/>
      <c r="C550" s="6"/>
    </row>
    <row r="551">
      <c r="A551" s="8"/>
      <c r="B551" s="6"/>
      <c r="C551" s="6"/>
    </row>
    <row r="552">
      <c r="A552" s="8"/>
      <c r="B552" s="6"/>
      <c r="C552" s="6"/>
    </row>
    <row r="553">
      <c r="A553" s="8"/>
      <c r="B553" s="6"/>
      <c r="C553" s="6"/>
    </row>
    <row r="554">
      <c r="A554" s="8"/>
      <c r="B554" s="6"/>
      <c r="C554" s="6"/>
    </row>
    <row r="555">
      <c r="A555" s="8"/>
      <c r="B555" s="6"/>
      <c r="C555" s="6"/>
    </row>
    <row r="556">
      <c r="A556" s="8"/>
      <c r="B556" s="6"/>
      <c r="C556" s="6"/>
    </row>
    <row r="557">
      <c r="A557" s="8"/>
      <c r="B557" s="6"/>
      <c r="C557" s="6"/>
    </row>
    <row r="558">
      <c r="A558" s="8"/>
      <c r="B558" s="6"/>
      <c r="C558" s="6"/>
    </row>
    <row r="559">
      <c r="A559" s="8"/>
      <c r="B559" s="6"/>
      <c r="C559" s="6"/>
    </row>
    <row r="560">
      <c r="A560" s="8"/>
      <c r="B560" s="6"/>
      <c r="C560" s="6"/>
    </row>
    <row r="561">
      <c r="A561" s="8"/>
      <c r="B561" s="6"/>
      <c r="C561" s="6"/>
    </row>
    <row r="562">
      <c r="A562" s="8"/>
      <c r="B562" s="6"/>
      <c r="C562" s="6"/>
    </row>
    <row r="563">
      <c r="A563" s="8"/>
      <c r="B563" s="6"/>
      <c r="C563" s="6"/>
    </row>
    <row r="564">
      <c r="A564" s="8"/>
      <c r="B564" s="6"/>
      <c r="C564" s="6"/>
    </row>
    <row r="565">
      <c r="A565" s="8"/>
      <c r="B565" s="6"/>
      <c r="C565" s="6"/>
    </row>
    <row r="566">
      <c r="A566" s="8"/>
      <c r="B566" s="6"/>
      <c r="C566" s="6"/>
    </row>
    <row r="567">
      <c r="A567" s="8"/>
      <c r="B567" s="6"/>
      <c r="C567" s="6"/>
    </row>
    <row r="568">
      <c r="A568" s="8"/>
      <c r="B568" s="6"/>
      <c r="C568" s="6"/>
    </row>
    <row r="569">
      <c r="A569" s="8"/>
      <c r="B569" s="6"/>
      <c r="C569" s="6"/>
    </row>
    <row r="570">
      <c r="A570" s="8"/>
      <c r="B570" s="6"/>
      <c r="C570" s="6"/>
    </row>
    <row r="571">
      <c r="A571" s="8"/>
      <c r="B571" s="6"/>
      <c r="C571" s="6"/>
    </row>
    <row r="572">
      <c r="A572" s="8"/>
      <c r="B572" s="6"/>
      <c r="C572" s="6"/>
    </row>
    <row r="573">
      <c r="A573" s="8"/>
      <c r="B573" s="6"/>
      <c r="C573" s="6"/>
    </row>
    <row r="574">
      <c r="A574" s="8"/>
      <c r="B574" s="6"/>
      <c r="C574" s="6"/>
    </row>
    <row r="575">
      <c r="A575" s="8"/>
      <c r="B575" s="6"/>
      <c r="C575" s="6"/>
    </row>
    <row r="576">
      <c r="A576" s="8"/>
      <c r="B576" s="6"/>
      <c r="C576" s="6"/>
    </row>
    <row r="577">
      <c r="A577" s="8"/>
      <c r="B577" s="6"/>
      <c r="C577" s="6"/>
    </row>
    <row r="578">
      <c r="A578" s="8"/>
      <c r="B578" s="6"/>
      <c r="C578" s="6"/>
    </row>
    <row r="579">
      <c r="A579" s="8"/>
      <c r="B579" s="6"/>
      <c r="C579" s="6"/>
    </row>
    <row r="580">
      <c r="A580" s="8"/>
      <c r="B580" s="6"/>
      <c r="C580" s="6"/>
    </row>
    <row r="581">
      <c r="A581" s="8"/>
      <c r="B581" s="6"/>
      <c r="C581" s="6"/>
    </row>
    <row r="582">
      <c r="A582" s="8"/>
      <c r="B582" s="6"/>
      <c r="C582" s="6"/>
    </row>
    <row r="583">
      <c r="A583" s="8"/>
      <c r="B583" s="6"/>
      <c r="C583" s="6"/>
    </row>
    <row r="584">
      <c r="A584" s="8"/>
      <c r="B584" s="6"/>
      <c r="C584" s="6"/>
    </row>
    <row r="585">
      <c r="A585" s="8"/>
      <c r="B585" s="6"/>
      <c r="C585" s="6"/>
    </row>
    <row r="586">
      <c r="A586" s="8"/>
      <c r="B586" s="6"/>
      <c r="C586" s="6"/>
    </row>
    <row r="587">
      <c r="A587" s="8"/>
      <c r="B587" s="6"/>
      <c r="C587" s="6"/>
    </row>
    <row r="588">
      <c r="A588" s="8"/>
      <c r="B588" s="6"/>
      <c r="C588" s="6"/>
    </row>
    <row r="589">
      <c r="A589" s="8"/>
      <c r="B589" s="6"/>
      <c r="C589" s="6"/>
    </row>
    <row r="590">
      <c r="A590" s="8"/>
      <c r="B590" s="6"/>
      <c r="C590" s="6"/>
    </row>
    <row r="591">
      <c r="A591" s="8"/>
      <c r="B591" s="6"/>
      <c r="C591" s="6"/>
    </row>
    <row r="592">
      <c r="A592" s="8"/>
      <c r="B592" s="6"/>
      <c r="C592" s="6"/>
    </row>
    <row r="593">
      <c r="A593" s="8"/>
      <c r="B593" s="6"/>
      <c r="C593" s="6"/>
    </row>
    <row r="594">
      <c r="A594" s="8"/>
      <c r="B594" s="6"/>
      <c r="C594" s="6"/>
    </row>
    <row r="595">
      <c r="A595" s="8"/>
      <c r="B595" s="6"/>
      <c r="C595" s="6"/>
    </row>
    <row r="596">
      <c r="A596" s="8"/>
      <c r="B596" s="6"/>
      <c r="C596" s="6"/>
    </row>
    <row r="597">
      <c r="A597" s="8"/>
      <c r="B597" s="6"/>
      <c r="C597" s="6"/>
    </row>
    <row r="598">
      <c r="A598" s="8"/>
      <c r="B598" s="6"/>
      <c r="C598" s="6"/>
    </row>
    <row r="599">
      <c r="A599" s="8"/>
      <c r="B599" s="6"/>
      <c r="C599" s="6"/>
    </row>
    <row r="600">
      <c r="A600" s="8"/>
      <c r="B600" s="6"/>
      <c r="C600" s="6"/>
    </row>
    <row r="601">
      <c r="A601" s="8"/>
      <c r="B601" s="6"/>
      <c r="C601" s="6"/>
    </row>
    <row r="602">
      <c r="A602" s="8"/>
      <c r="B602" s="6"/>
      <c r="C602" s="6"/>
    </row>
    <row r="603">
      <c r="A603" s="8"/>
      <c r="B603" s="6"/>
      <c r="C603" s="6"/>
    </row>
    <row r="604">
      <c r="A604" s="8"/>
      <c r="B604" s="6"/>
      <c r="C604" s="6"/>
    </row>
    <row r="605">
      <c r="A605" s="8"/>
      <c r="B605" s="6"/>
      <c r="C605" s="6"/>
    </row>
    <row r="606">
      <c r="A606" s="8"/>
      <c r="B606" s="6"/>
      <c r="C606" s="6"/>
    </row>
    <row r="607">
      <c r="A607" s="8"/>
      <c r="B607" s="6"/>
      <c r="C607" s="6"/>
    </row>
    <row r="608">
      <c r="A608" s="8"/>
      <c r="B608" s="6"/>
      <c r="C608" s="6"/>
    </row>
    <row r="609">
      <c r="A609" s="8"/>
      <c r="B609" s="6"/>
      <c r="C609" s="6"/>
    </row>
    <row r="610">
      <c r="A610" s="8"/>
      <c r="B610" s="6"/>
      <c r="C610" s="6"/>
    </row>
    <row r="611">
      <c r="A611" s="8"/>
      <c r="B611" s="6"/>
      <c r="C611" s="6"/>
    </row>
    <row r="612">
      <c r="A612" s="8"/>
      <c r="B612" s="6"/>
      <c r="C612" s="6"/>
    </row>
    <row r="613">
      <c r="A613" s="8"/>
      <c r="B613" s="6"/>
      <c r="C613" s="6"/>
    </row>
    <row r="614">
      <c r="A614" s="8"/>
      <c r="B614" s="6"/>
      <c r="C614" s="6"/>
    </row>
    <row r="615">
      <c r="A615" s="8"/>
      <c r="B615" s="6"/>
      <c r="C615" s="6"/>
    </row>
    <row r="616">
      <c r="A616" s="8"/>
      <c r="B616" s="6"/>
      <c r="C616" s="6"/>
    </row>
    <row r="617">
      <c r="A617" s="8"/>
      <c r="B617" s="6"/>
      <c r="C617" s="6"/>
    </row>
    <row r="618">
      <c r="A618" s="8"/>
      <c r="B618" s="6"/>
      <c r="C618" s="6"/>
    </row>
    <row r="619">
      <c r="A619" s="8"/>
      <c r="B619" s="6"/>
      <c r="C619" s="6"/>
    </row>
    <row r="620">
      <c r="A620" s="8"/>
      <c r="B620" s="6"/>
      <c r="C620" s="6"/>
    </row>
    <row r="621">
      <c r="A621" s="8"/>
      <c r="B621" s="6"/>
      <c r="C621" s="6"/>
    </row>
    <row r="622">
      <c r="A622" s="8"/>
      <c r="B622" s="6"/>
      <c r="C622" s="6"/>
    </row>
    <row r="623">
      <c r="A623" s="8"/>
      <c r="B623" s="6"/>
      <c r="C623" s="6"/>
    </row>
    <row r="624">
      <c r="A624" s="8"/>
      <c r="B624" s="6"/>
      <c r="C624" s="6"/>
    </row>
    <row r="625">
      <c r="A625" s="8"/>
      <c r="B625" s="6"/>
      <c r="C625" s="6"/>
    </row>
    <row r="626">
      <c r="A626" s="8"/>
      <c r="B626" s="6"/>
      <c r="C626" s="6"/>
    </row>
    <row r="627">
      <c r="A627" s="8"/>
      <c r="B627" s="6"/>
      <c r="C627" s="6"/>
    </row>
    <row r="628">
      <c r="A628" s="8"/>
      <c r="B628" s="6"/>
      <c r="C628" s="6"/>
    </row>
    <row r="629">
      <c r="A629" s="8"/>
      <c r="B629" s="6"/>
      <c r="C629" s="6"/>
    </row>
    <row r="630">
      <c r="A630" s="8"/>
      <c r="B630" s="6"/>
      <c r="C630" s="6"/>
    </row>
    <row r="631">
      <c r="A631" s="8"/>
      <c r="B631" s="6"/>
      <c r="C631" s="6"/>
    </row>
    <row r="632">
      <c r="A632" s="8"/>
      <c r="B632" s="6"/>
      <c r="C632" s="6"/>
    </row>
    <row r="633">
      <c r="A633" s="8"/>
      <c r="B633" s="6"/>
      <c r="C633" s="6"/>
    </row>
    <row r="634">
      <c r="A634" s="8"/>
      <c r="B634" s="6"/>
      <c r="C634" s="6"/>
    </row>
    <row r="635">
      <c r="A635" s="8"/>
      <c r="B635" s="6"/>
      <c r="C635" s="6"/>
    </row>
    <row r="636">
      <c r="A636" s="8"/>
      <c r="B636" s="6"/>
      <c r="C636" s="6"/>
    </row>
    <row r="637">
      <c r="A637" s="8"/>
      <c r="B637" s="6"/>
      <c r="C637" s="6"/>
    </row>
    <row r="638">
      <c r="A638" s="8"/>
      <c r="B638" s="6"/>
      <c r="C638" s="6"/>
    </row>
    <row r="639">
      <c r="A639" s="8"/>
      <c r="B639" s="6"/>
      <c r="C639" s="6"/>
    </row>
    <row r="640">
      <c r="A640" s="8"/>
      <c r="B640" s="6"/>
      <c r="C640" s="6"/>
    </row>
    <row r="641">
      <c r="A641" s="8"/>
      <c r="B641" s="6"/>
      <c r="C641" s="6"/>
    </row>
    <row r="642">
      <c r="A642" s="8"/>
      <c r="B642" s="6"/>
      <c r="C642" s="6"/>
    </row>
    <row r="643">
      <c r="A643" s="8"/>
      <c r="B643" s="6"/>
      <c r="C643" s="6"/>
    </row>
    <row r="644">
      <c r="A644" s="8"/>
      <c r="B644" s="6"/>
      <c r="C644" s="6"/>
    </row>
    <row r="645">
      <c r="A645" s="8"/>
      <c r="B645" s="6"/>
      <c r="C645" s="6"/>
    </row>
    <row r="646">
      <c r="A646" s="8"/>
      <c r="B646" s="6"/>
      <c r="C646" s="6"/>
    </row>
    <row r="647">
      <c r="A647" s="8"/>
      <c r="B647" s="6"/>
      <c r="C647" s="6"/>
    </row>
    <row r="648">
      <c r="A648" s="8"/>
      <c r="B648" s="6"/>
      <c r="C648" s="6"/>
    </row>
    <row r="649">
      <c r="A649" s="8"/>
      <c r="B649" s="6"/>
      <c r="C649" s="6"/>
    </row>
    <row r="650">
      <c r="A650" s="8"/>
      <c r="B650" s="6"/>
      <c r="C650" s="6"/>
    </row>
    <row r="651">
      <c r="A651" s="8"/>
      <c r="B651" s="6"/>
      <c r="C651" s="6"/>
    </row>
    <row r="652">
      <c r="A652" s="8"/>
      <c r="B652" s="6"/>
      <c r="C652" s="6"/>
    </row>
    <row r="653">
      <c r="A653" s="8"/>
      <c r="B653" s="6"/>
      <c r="C653" s="6"/>
    </row>
    <row r="654">
      <c r="A654" s="8"/>
      <c r="B654" s="6"/>
      <c r="C654" s="6"/>
    </row>
    <row r="655">
      <c r="A655" s="8"/>
      <c r="B655" s="6"/>
      <c r="C655" s="6"/>
    </row>
    <row r="656">
      <c r="A656" s="8"/>
      <c r="B656" s="6"/>
      <c r="C656" s="6"/>
    </row>
    <row r="657">
      <c r="A657" s="8"/>
      <c r="B657" s="6"/>
      <c r="C657" s="6"/>
    </row>
    <row r="658">
      <c r="A658" s="8"/>
      <c r="B658" s="6"/>
      <c r="C658" s="6"/>
    </row>
    <row r="659">
      <c r="A659" s="8"/>
      <c r="B659" s="6"/>
      <c r="C659" s="6"/>
    </row>
    <row r="660">
      <c r="A660" s="8"/>
      <c r="B660" s="6"/>
      <c r="C660" s="6"/>
    </row>
    <row r="661">
      <c r="A661" s="8"/>
      <c r="B661" s="6"/>
      <c r="C661" s="6"/>
    </row>
    <row r="662">
      <c r="A662" s="8"/>
      <c r="B662" s="6"/>
      <c r="C662" s="6"/>
    </row>
    <row r="663">
      <c r="A663" s="8"/>
      <c r="B663" s="6"/>
      <c r="C663" s="6"/>
    </row>
    <row r="664">
      <c r="A664" s="8"/>
      <c r="B664" s="6"/>
      <c r="C664" s="6"/>
    </row>
    <row r="665">
      <c r="A665" s="8"/>
      <c r="B665" s="6"/>
      <c r="C665" s="6"/>
    </row>
    <row r="666">
      <c r="A666" s="8"/>
      <c r="B666" s="6"/>
      <c r="C666" s="6"/>
    </row>
    <row r="667">
      <c r="A667" s="8"/>
      <c r="B667" s="6"/>
      <c r="C667" s="6"/>
    </row>
    <row r="668">
      <c r="A668" s="8"/>
      <c r="B668" s="6"/>
      <c r="C668" s="6"/>
    </row>
    <row r="669">
      <c r="A669" s="8"/>
      <c r="B669" s="6"/>
      <c r="C669" s="6"/>
    </row>
    <row r="670">
      <c r="A670" s="8"/>
      <c r="B670" s="6"/>
      <c r="C670" s="6"/>
    </row>
    <row r="671">
      <c r="A671" s="8"/>
      <c r="B671" s="6"/>
      <c r="C671" s="6"/>
    </row>
    <row r="672">
      <c r="A672" s="8"/>
      <c r="B672" s="6"/>
      <c r="C672" s="6"/>
    </row>
    <row r="673">
      <c r="A673" s="8"/>
      <c r="B673" s="6"/>
      <c r="C673" s="6"/>
    </row>
    <row r="674">
      <c r="A674" s="8"/>
      <c r="B674" s="6"/>
      <c r="C674" s="6"/>
    </row>
    <row r="675">
      <c r="A675" s="8"/>
      <c r="B675" s="6"/>
      <c r="C675" s="6"/>
    </row>
    <row r="676">
      <c r="A676" s="8"/>
      <c r="B676" s="6"/>
      <c r="C676" s="6"/>
    </row>
    <row r="677">
      <c r="A677" s="8"/>
      <c r="B677" s="6"/>
      <c r="C677" s="6"/>
    </row>
    <row r="678">
      <c r="A678" s="8"/>
      <c r="B678" s="6"/>
      <c r="C678" s="6"/>
    </row>
    <row r="679">
      <c r="A679" s="8"/>
      <c r="B679" s="6"/>
      <c r="C679" s="6"/>
    </row>
    <row r="680">
      <c r="A680" s="8"/>
      <c r="B680" s="6"/>
      <c r="C680" s="6"/>
    </row>
    <row r="681">
      <c r="A681" s="8"/>
      <c r="B681" s="6"/>
      <c r="C681" s="6"/>
    </row>
    <row r="682">
      <c r="A682" s="8"/>
      <c r="B682" s="6"/>
      <c r="C682" s="6"/>
    </row>
    <row r="683">
      <c r="A683" s="8"/>
      <c r="B683" s="6"/>
      <c r="C683" s="6"/>
    </row>
    <row r="684">
      <c r="A684" s="8"/>
      <c r="B684" s="6"/>
      <c r="C684" s="6"/>
    </row>
    <row r="685">
      <c r="A685" s="8"/>
      <c r="B685" s="6"/>
      <c r="C685" s="6"/>
    </row>
    <row r="686">
      <c r="A686" s="8"/>
      <c r="B686" s="6"/>
      <c r="C686" s="6"/>
    </row>
    <row r="687">
      <c r="A687" s="8"/>
      <c r="B687" s="6"/>
      <c r="C687" s="6"/>
    </row>
    <row r="688">
      <c r="A688" s="8"/>
      <c r="B688" s="6"/>
      <c r="C688" s="6"/>
    </row>
    <row r="689">
      <c r="A689" s="8"/>
      <c r="B689" s="6"/>
      <c r="C689" s="6"/>
    </row>
    <row r="690">
      <c r="A690" s="8"/>
      <c r="B690" s="6"/>
      <c r="C690" s="6"/>
    </row>
    <row r="691">
      <c r="A691" s="8"/>
      <c r="B691" s="6"/>
      <c r="C691" s="6"/>
    </row>
    <row r="692">
      <c r="A692" s="8"/>
      <c r="B692" s="6"/>
      <c r="C692" s="6"/>
    </row>
    <row r="693">
      <c r="A693" s="8"/>
      <c r="B693" s="6"/>
      <c r="C693" s="6"/>
    </row>
    <row r="694">
      <c r="A694" s="8"/>
      <c r="B694" s="6"/>
      <c r="C694" s="6"/>
    </row>
    <row r="695">
      <c r="A695" s="8"/>
      <c r="B695" s="6"/>
      <c r="C695" s="6"/>
    </row>
    <row r="696">
      <c r="A696" s="8"/>
      <c r="B696" s="6"/>
      <c r="C696" s="6"/>
    </row>
    <row r="697">
      <c r="A697" s="8"/>
      <c r="B697" s="6"/>
      <c r="C697" s="6"/>
    </row>
    <row r="698">
      <c r="A698" s="8"/>
      <c r="B698" s="6"/>
      <c r="C698" s="6"/>
    </row>
    <row r="699">
      <c r="A699" s="8"/>
      <c r="B699" s="6"/>
      <c r="C699" s="6"/>
    </row>
    <row r="700">
      <c r="A700" s="8"/>
      <c r="B700" s="6"/>
      <c r="C700" s="6"/>
    </row>
    <row r="701">
      <c r="A701" s="8"/>
      <c r="B701" s="6"/>
      <c r="C701" s="6"/>
    </row>
    <row r="702">
      <c r="A702" s="8"/>
      <c r="B702" s="6"/>
      <c r="C702" s="6"/>
    </row>
    <row r="703">
      <c r="A703" s="8"/>
      <c r="B703" s="6"/>
      <c r="C703" s="6"/>
    </row>
    <row r="704">
      <c r="A704" s="8"/>
      <c r="B704" s="6"/>
      <c r="C704" s="6"/>
    </row>
    <row r="705">
      <c r="A705" s="8"/>
      <c r="B705" s="6"/>
      <c r="C705" s="6"/>
    </row>
    <row r="706">
      <c r="A706" s="8"/>
      <c r="B706" s="6"/>
      <c r="C706" s="6"/>
    </row>
    <row r="707">
      <c r="A707" s="8"/>
      <c r="B707" s="6"/>
      <c r="C707" s="6"/>
    </row>
    <row r="708">
      <c r="A708" s="8"/>
      <c r="B708" s="6"/>
      <c r="C708" s="6"/>
    </row>
    <row r="709">
      <c r="A709" s="8"/>
      <c r="B709" s="6"/>
      <c r="C709" s="6"/>
    </row>
    <row r="710">
      <c r="A710" s="8"/>
      <c r="B710" s="6"/>
      <c r="C710" s="6"/>
    </row>
    <row r="711">
      <c r="A711" s="8"/>
      <c r="B711" s="6"/>
      <c r="C711" s="6"/>
    </row>
    <row r="712">
      <c r="A712" s="8"/>
      <c r="B712" s="6"/>
      <c r="C712" s="6"/>
    </row>
    <row r="713">
      <c r="A713" s="8"/>
      <c r="B713" s="6"/>
      <c r="C713" s="6"/>
    </row>
    <row r="714">
      <c r="A714" s="8"/>
      <c r="B714" s="6"/>
      <c r="C714" s="6"/>
    </row>
    <row r="715">
      <c r="A715" s="8"/>
      <c r="B715" s="6"/>
      <c r="C715" s="6"/>
    </row>
    <row r="716">
      <c r="A716" s="8"/>
      <c r="B716" s="6"/>
      <c r="C716" s="6"/>
    </row>
    <row r="717">
      <c r="A717" s="8"/>
      <c r="B717" s="6"/>
      <c r="C717" s="6"/>
    </row>
    <row r="718">
      <c r="A718" s="8"/>
      <c r="B718" s="6"/>
      <c r="C718" s="6"/>
    </row>
    <row r="719">
      <c r="A719" s="8"/>
      <c r="B719" s="6"/>
      <c r="C719" s="6"/>
    </row>
    <row r="720">
      <c r="A720" s="8"/>
      <c r="B720" s="6"/>
      <c r="C720" s="6"/>
    </row>
    <row r="721">
      <c r="A721" s="8"/>
      <c r="B721" s="6"/>
      <c r="C721" s="6"/>
    </row>
    <row r="722">
      <c r="A722" s="8"/>
      <c r="B722" s="6"/>
      <c r="C722" s="6"/>
    </row>
    <row r="723">
      <c r="A723" s="8"/>
      <c r="B723" s="6"/>
      <c r="C723" s="6"/>
    </row>
    <row r="724">
      <c r="A724" s="8"/>
      <c r="B724" s="6"/>
      <c r="C724" s="6"/>
    </row>
    <row r="725">
      <c r="A725" s="8"/>
      <c r="B725" s="6"/>
      <c r="C725" s="6"/>
    </row>
    <row r="726">
      <c r="A726" s="8"/>
      <c r="B726" s="6"/>
      <c r="C726" s="6"/>
    </row>
    <row r="727">
      <c r="A727" s="8"/>
      <c r="B727" s="6"/>
      <c r="C727" s="6"/>
    </row>
    <row r="728">
      <c r="A728" s="8"/>
      <c r="B728" s="6"/>
      <c r="C728" s="6"/>
    </row>
    <row r="729">
      <c r="A729" s="8"/>
      <c r="B729" s="6"/>
      <c r="C729" s="6"/>
    </row>
    <row r="730">
      <c r="A730" s="8"/>
      <c r="B730" s="6"/>
      <c r="C730" s="6"/>
    </row>
    <row r="731">
      <c r="A731" s="8"/>
      <c r="B731" s="6"/>
      <c r="C731" s="6"/>
    </row>
    <row r="732">
      <c r="A732" s="8"/>
      <c r="B732" s="6"/>
      <c r="C732" s="6"/>
    </row>
    <row r="733">
      <c r="A733" s="8"/>
      <c r="B733" s="6"/>
      <c r="C733" s="6"/>
    </row>
    <row r="734">
      <c r="A734" s="8"/>
      <c r="B734" s="6"/>
      <c r="C734" s="6"/>
    </row>
    <row r="735">
      <c r="A735" s="8"/>
      <c r="B735" s="6"/>
      <c r="C735" s="6"/>
    </row>
    <row r="736">
      <c r="A736" s="8"/>
      <c r="B736" s="6"/>
      <c r="C736" s="6"/>
    </row>
    <row r="737">
      <c r="A737" s="8"/>
      <c r="B737" s="6"/>
      <c r="C737" s="6"/>
    </row>
    <row r="738">
      <c r="A738" s="8"/>
      <c r="B738" s="6"/>
      <c r="C738" s="6"/>
    </row>
    <row r="739">
      <c r="A739" s="8"/>
      <c r="B739" s="6"/>
      <c r="C739" s="6"/>
    </row>
    <row r="740">
      <c r="A740" s="8"/>
      <c r="B740" s="6"/>
      <c r="C740" s="6"/>
    </row>
    <row r="741">
      <c r="A741" s="8"/>
      <c r="B741" s="6"/>
      <c r="C741" s="6"/>
    </row>
    <row r="742">
      <c r="A742" s="8"/>
      <c r="B742" s="6"/>
      <c r="C742" s="6"/>
    </row>
    <row r="743">
      <c r="A743" s="8"/>
      <c r="B743" s="6"/>
      <c r="C743" s="6"/>
    </row>
    <row r="744">
      <c r="A744" s="8"/>
      <c r="B744" s="6"/>
      <c r="C744" s="6"/>
    </row>
    <row r="745">
      <c r="A745" s="8"/>
      <c r="B745" s="6"/>
      <c r="C745" s="6"/>
    </row>
    <row r="746">
      <c r="A746" s="8"/>
      <c r="B746" s="6"/>
      <c r="C746" s="6"/>
    </row>
    <row r="747">
      <c r="A747" s="8"/>
      <c r="B747" s="6"/>
      <c r="C747" s="6"/>
    </row>
    <row r="748">
      <c r="A748" s="8"/>
      <c r="B748" s="6"/>
      <c r="C748" s="6"/>
    </row>
    <row r="749">
      <c r="A749" s="8"/>
      <c r="B749" s="6"/>
      <c r="C749" s="6"/>
    </row>
    <row r="750">
      <c r="A750" s="8"/>
      <c r="B750" s="6"/>
      <c r="C750" s="6"/>
    </row>
    <row r="751">
      <c r="A751" s="8"/>
      <c r="B751" s="6"/>
      <c r="C751" s="6"/>
    </row>
    <row r="752">
      <c r="A752" s="8"/>
      <c r="B752" s="6"/>
      <c r="C752" s="6"/>
    </row>
    <row r="753">
      <c r="A753" s="8"/>
      <c r="B753" s="6"/>
      <c r="C753" s="6"/>
    </row>
    <row r="754">
      <c r="A754" s="8"/>
      <c r="B754" s="6"/>
      <c r="C754" s="6"/>
    </row>
    <row r="755">
      <c r="A755" s="8"/>
      <c r="B755" s="6"/>
      <c r="C755" s="6"/>
    </row>
    <row r="756">
      <c r="A756" s="8"/>
      <c r="B756" s="6"/>
      <c r="C756" s="6"/>
    </row>
    <row r="757">
      <c r="A757" s="8"/>
      <c r="B757" s="6"/>
      <c r="C757" s="6"/>
    </row>
    <row r="758">
      <c r="A758" s="8"/>
      <c r="B758" s="6"/>
      <c r="C758" s="6"/>
    </row>
    <row r="759">
      <c r="A759" s="8"/>
      <c r="B759" s="6"/>
      <c r="C759" s="6"/>
    </row>
    <row r="760">
      <c r="A760" s="8"/>
      <c r="B760" s="6"/>
      <c r="C760" s="6"/>
    </row>
    <row r="761">
      <c r="A761" s="8"/>
      <c r="B761" s="6"/>
      <c r="C761" s="6"/>
    </row>
    <row r="762">
      <c r="A762" s="8"/>
      <c r="B762" s="6"/>
      <c r="C762" s="6"/>
    </row>
    <row r="763">
      <c r="A763" s="8"/>
      <c r="B763" s="6"/>
      <c r="C763" s="6"/>
    </row>
    <row r="764">
      <c r="A764" s="8"/>
      <c r="B764" s="6"/>
      <c r="C764" s="6"/>
    </row>
    <row r="765">
      <c r="A765" s="8"/>
      <c r="B765" s="6"/>
      <c r="C765" s="6"/>
    </row>
    <row r="766">
      <c r="A766" s="8"/>
      <c r="B766" s="6"/>
      <c r="C766" s="6"/>
    </row>
    <row r="767">
      <c r="A767" s="8"/>
      <c r="B767" s="6"/>
      <c r="C767" s="6"/>
    </row>
    <row r="768">
      <c r="A768" s="8"/>
      <c r="B768" s="6"/>
      <c r="C768" s="6"/>
    </row>
    <row r="769">
      <c r="A769" s="8"/>
      <c r="B769" s="6"/>
      <c r="C769" s="6"/>
    </row>
    <row r="770">
      <c r="A770" s="8"/>
      <c r="B770" s="6"/>
      <c r="C770" s="6"/>
    </row>
    <row r="771">
      <c r="A771" s="8"/>
      <c r="B771" s="6"/>
      <c r="C771" s="6"/>
    </row>
    <row r="772">
      <c r="A772" s="8"/>
      <c r="B772" s="6"/>
      <c r="C772" s="6"/>
    </row>
    <row r="773">
      <c r="A773" s="8"/>
      <c r="B773" s="6"/>
      <c r="C773" s="6"/>
    </row>
    <row r="774">
      <c r="A774" s="8"/>
      <c r="B774" s="6"/>
      <c r="C774" s="6"/>
    </row>
    <row r="775">
      <c r="A775" s="8"/>
      <c r="B775" s="6"/>
      <c r="C775" s="6"/>
    </row>
    <row r="776">
      <c r="A776" s="8"/>
      <c r="B776" s="6"/>
      <c r="C776" s="6"/>
    </row>
    <row r="777">
      <c r="A777" s="8"/>
      <c r="B777" s="6"/>
      <c r="C777" s="6"/>
    </row>
    <row r="778">
      <c r="A778" s="8"/>
      <c r="B778" s="6"/>
      <c r="C778" s="6"/>
    </row>
    <row r="779">
      <c r="A779" s="8"/>
      <c r="B779" s="6"/>
      <c r="C779" s="6"/>
    </row>
    <row r="780">
      <c r="A780" s="8"/>
      <c r="B780" s="6"/>
      <c r="C780" s="6"/>
    </row>
    <row r="781">
      <c r="A781" s="8"/>
      <c r="B781" s="6"/>
      <c r="C781" s="6"/>
    </row>
    <row r="782">
      <c r="A782" s="8"/>
      <c r="B782" s="6"/>
      <c r="C782" s="6"/>
    </row>
    <row r="783">
      <c r="A783" s="8"/>
      <c r="B783" s="6"/>
      <c r="C783" s="6"/>
    </row>
    <row r="784">
      <c r="A784" s="8"/>
      <c r="B784" s="6"/>
      <c r="C784" s="6"/>
    </row>
    <row r="785">
      <c r="A785" s="8"/>
      <c r="B785" s="6"/>
      <c r="C785" s="6"/>
    </row>
    <row r="786">
      <c r="A786" s="8"/>
      <c r="B786" s="6"/>
      <c r="C786" s="6"/>
    </row>
    <row r="787">
      <c r="A787" s="8"/>
      <c r="B787" s="6"/>
      <c r="C787" s="6"/>
    </row>
    <row r="788">
      <c r="A788" s="8"/>
      <c r="B788" s="6"/>
      <c r="C788" s="6"/>
    </row>
    <row r="789">
      <c r="A789" s="8"/>
      <c r="B789" s="6"/>
      <c r="C789" s="6"/>
    </row>
    <row r="790">
      <c r="A790" s="8"/>
      <c r="B790" s="6"/>
      <c r="C790" s="6"/>
    </row>
    <row r="791">
      <c r="A791" s="8"/>
      <c r="B791" s="6"/>
      <c r="C791" s="6"/>
    </row>
    <row r="792">
      <c r="A792" s="8"/>
      <c r="B792" s="6"/>
      <c r="C792" s="6"/>
    </row>
    <row r="793">
      <c r="A793" s="8"/>
      <c r="B793" s="6"/>
      <c r="C793" s="6"/>
    </row>
    <row r="794">
      <c r="A794" s="8"/>
      <c r="B794" s="6"/>
      <c r="C794" s="6"/>
    </row>
    <row r="795">
      <c r="A795" s="8"/>
      <c r="B795" s="6"/>
      <c r="C795" s="6"/>
    </row>
    <row r="796">
      <c r="A796" s="8"/>
      <c r="B796" s="6"/>
      <c r="C796" s="6"/>
    </row>
    <row r="797">
      <c r="A797" s="8"/>
      <c r="B797" s="6"/>
      <c r="C797" s="6"/>
    </row>
    <row r="798">
      <c r="A798" s="8"/>
      <c r="B798" s="6"/>
      <c r="C798" s="6"/>
    </row>
    <row r="799">
      <c r="A799" s="8"/>
      <c r="B799" s="6"/>
      <c r="C799" s="6"/>
    </row>
    <row r="800">
      <c r="A800" s="8"/>
      <c r="B800" s="6"/>
      <c r="C800" s="6"/>
    </row>
    <row r="801">
      <c r="A801" s="8"/>
      <c r="B801" s="6"/>
      <c r="C801" s="6"/>
    </row>
    <row r="802">
      <c r="A802" s="8"/>
      <c r="B802" s="6"/>
      <c r="C802" s="6"/>
    </row>
    <row r="803">
      <c r="A803" s="8"/>
      <c r="B803" s="6"/>
      <c r="C803" s="6"/>
    </row>
    <row r="804">
      <c r="A804" s="8"/>
      <c r="B804" s="6"/>
      <c r="C804" s="6"/>
    </row>
    <row r="805">
      <c r="A805" s="8"/>
      <c r="B805" s="6"/>
      <c r="C805" s="6"/>
    </row>
    <row r="806">
      <c r="A806" s="8"/>
      <c r="B806" s="6"/>
      <c r="C806" s="6"/>
    </row>
    <row r="807">
      <c r="A807" s="8"/>
      <c r="B807" s="6"/>
      <c r="C807" s="6"/>
    </row>
    <row r="808">
      <c r="A808" s="8"/>
      <c r="B808" s="6"/>
      <c r="C808" s="6"/>
    </row>
    <row r="809">
      <c r="A809" s="8"/>
      <c r="B809" s="6"/>
      <c r="C809" s="6"/>
    </row>
    <row r="810">
      <c r="A810" s="8"/>
      <c r="B810" s="6"/>
      <c r="C810" s="6"/>
    </row>
    <row r="811">
      <c r="A811" s="8"/>
      <c r="B811" s="6"/>
      <c r="C811" s="6"/>
    </row>
    <row r="812">
      <c r="A812" s="8"/>
      <c r="B812" s="6"/>
      <c r="C812" s="6"/>
    </row>
    <row r="813">
      <c r="A813" s="8"/>
      <c r="B813" s="6"/>
      <c r="C813" s="6"/>
    </row>
    <row r="814">
      <c r="A814" s="8"/>
      <c r="B814" s="6"/>
      <c r="C814" s="6"/>
    </row>
    <row r="815">
      <c r="A815" s="8"/>
      <c r="B815" s="6"/>
      <c r="C815" s="6"/>
    </row>
    <row r="816">
      <c r="A816" s="8"/>
      <c r="B816" s="6"/>
      <c r="C816" s="6"/>
    </row>
    <row r="817">
      <c r="A817" s="8"/>
      <c r="B817" s="6"/>
      <c r="C817" s="6"/>
    </row>
    <row r="818">
      <c r="A818" s="8"/>
      <c r="B818" s="6"/>
      <c r="C818" s="6"/>
    </row>
    <row r="819">
      <c r="A819" s="8"/>
      <c r="B819" s="6"/>
      <c r="C819" s="6"/>
    </row>
    <row r="820">
      <c r="A820" s="8"/>
      <c r="B820" s="6"/>
      <c r="C820" s="6"/>
    </row>
    <row r="821">
      <c r="A821" s="8"/>
      <c r="B821" s="6"/>
      <c r="C821" s="6"/>
    </row>
    <row r="822">
      <c r="A822" s="8"/>
      <c r="B822" s="6"/>
      <c r="C822" s="6"/>
    </row>
    <row r="823">
      <c r="A823" s="8"/>
      <c r="B823" s="6"/>
      <c r="C823" s="6"/>
    </row>
    <row r="824">
      <c r="A824" s="8"/>
      <c r="B824" s="6"/>
      <c r="C824" s="6"/>
    </row>
    <row r="825">
      <c r="A825" s="8"/>
      <c r="B825" s="6"/>
      <c r="C825" s="6"/>
    </row>
    <row r="826">
      <c r="A826" s="8"/>
      <c r="B826" s="6"/>
      <c r="C826" s="6"/>
    </row>
    <row r="827">
      <c r="A827" s="8"/>
      <c r="B827" s="6"/>
      <c r="C827" s="6"/>
    </row>
    <row r="828">
      <c r="A828" s="8"/>
      <c r="B828" s="6"/>
      <c r="C828" s="6"/>
    </row>
    <row r="829">
      <c r="A829" s="8"/>
      <c r="B829" s="6"/>
      <c r="C829" s="6"/>
    </row>
    <row r="830">
      <c r="A830" s="8"/>
      <c r="B830" s="6"/>
      <c r="C830" s="6"/>
    </row>
    <row r="831">
      <c r="A831" s="8"/>
      <c r="B831" s="6"/>
      <c r="C831" s="6"/>
    </row>
    <row r="832">
      <c r="A832" s="8"/>
      <c r="B832" s="6"/>
      <c r="C832" s="6"/>
    </row>
    <row r="833">
      <c r="A833" s="8"/>
      <c r="B833" s="6"/>
      <c r="C833" s="6"/>
    </row>
    <row r="834">
      <c r="A834" s="8"/>
      <c r="B834" s="6"/>
      <c r="C834" s="6"/>
    </row>
    <row r="835">
      <c r="A835" s="8"/>
      <c r="B835" s="6"/>
      <c r="C835" s="6"/>
    </row>
    <row r="836">
      <c r="A836" s="8"/>
      <c r="B836" s="6"/>
      <c r="C836" s="6"/>
    </row>
    <row r="837">
      <c r="A837" s="8"/>
      <c r="B837" s="6"/>
      <c r="C837" s="6"/>
    </row>
    <row r="838">
      <c r="A838" s="8"/>
      <c r="B838" s="6"/>
      <c r="C838" s="6"/>
    </row>
    <row r="839">
      <c r="A839" s="8"/>
      <c r="B839" s="6"/>
      <c r="C839" s="6"/>
    </row>
    <row r="840">
      <c r="A840" s="8"/>
      <c r="B840" s="6"/>
      <c r="C840" s="6"/>
    </row>
    <row r="841">
      <c r="A841" s="8"/>
      <c r="B841" s="6"/>
      <c r="C841" s="6"/>
    </row>
    <row r="842">
      <c r="A842" s="8"/>
      <c r="B842" s="6"/>
      <c r="C842" s="6"/>
    </row>
    <row r="843">
      <c r="A843" s="8"/>
      <c r="B843" s="6"/>
      <c r="C843" s="6"/>
    </row>
    <row r="844">
      <c r="A844" s="8"/>
      <c r="B844" s="6"/>
      <c r="C844" s="6"/>
    </row>
    <row r="845">
      <c r="A845" s="8"/>
      <c r="B845" s="6"/>
      <c r="C845" s="6"/>
    </row>
    <row r="846">
      <c r="A846" s="8"/>
      <c r="B846" s="6"/>
      <c r="C846" s="6"/>
    </row>
    <row r="847">
      <c r="A847" s="8"/>
      <c r="B847" s="6"/>
      <c r="C847" s="6"/>
    </row>
    <row r="848">
      <c r="A848" s="8"/>
      <c r="B848" s="6"/>
      <c r="C848" s="6"/>
    </row>
    <row r="849">
      <c r="A849" s="8"/>
      <c r="B849" s="6"/>
      <c r="C849" s="6"/>
    </row>
    <row r="850">
      <c r="A850" s="8"/>
      <c r="B850" s="6"/>
      <c r="C850" s="6"/>
    </row>
    <row r="851">
      <c r="A851" s="8"/>
      <c r="B851" s="6"/>
      <c r="C851" s="6"/>
    </row>
    <row r="852">
      <c r="A852" s="8"/>
      <c r="B852" s="6"/>
      <c r="C852" s="6"/>
    </row>
    <row r="853">
      <c r="A853" s="8"/>
      <c r="B853" s="6"/>
      <c r="C853" s="6"/>
    </row>
    <row r="854">
      <c r="A854" s="8"/>
      <c r="B854" s="6"/>
      <c r="C854" s="6"/>
    </row>
    <row r="855">
      <c r="A855" s="8"/>
      <c r="B855" s="6"/>
      <c r="C855" s="6"/>
    </row>
    <row r="856">
      <c r="A856" s="8"/>
      <c r="B856" s="6"/>
      <c r="C856" s="6"/>
    </row>
    <row r="857">
      <c r="A857" s="8"/>
      <c r="B857" s="6"/>
      <c r="C857" s="6"/>
    </row>
    <row r="858">
      <c r="A858" s="8"/>
      <c r="B858" s="6"/>
      <c r="C858" s="6"/>
    </row>
    <row r="859">
      <c r="A859" s="8"/>
      <c r="B859" s="6"/>
      <c r="C859" s="6"/>
    </row>
    <row r="860">
      <c r="A860" s="8"/>
      <c r="B860" s="6"/>
      <c r="C860" s="6"/>
    </row>
    <row r="861">
      <c r="A861" s="8"/>
      <c r="B861" s="6"/>
      <c r="C861" s="6"/>
    </row>
    <row r="862">
      <c r="A862" s="8"/>
      <c r="B862" s="6"/>
      <c r="C862" s="6"/>
    </row>
    <row r="863">
      <c r="A863" s="8"/>
      <c r="B863" s="6"/>
      <c r="C863" s="6"/>
    </row>
    <row r="864">
      <c r="A864" s="8"/>
      <c r="B864" s="6"/>
      <c r="C864" s="6"/>
    </row>
    <row r="865">
      <c r="A865" s="8"/>
      <c r="B865" s="6"/>
      <c r="C865" s="6"/>
    </row>
    <row r="866">
      <c r="A866" s="8"/>
      <c r="B866" s="6"/>
      <c r="C866" s="6"/>
    </row>
    <row r="867">
      <c r="A867" s="8"/>
      <c r="B867" s="6"/>
      <c r="C867" s="6"/>
    </row>
    <row r="868">
      <c r="A868" s="8"/>
      <c r="B868" s="6"/>
      <c r="C868" s="6"/>
    </row>
    <row r="869">
      <c r="A869" s="8"/>
      <c r="B869" s="6"/>
      <c r="C869" s="6"/>
    </row>
    <row r="870">
      <c r="A870" s="8"/>
      <c r="B870" s="6"/>
      <c r="C870" s="6"/>
    </row>
    <row r="871">
      <c r="A871" s="8"/>
      <c r="B871" s="6"/>
      <c r="C871" s="6"/>
    </row>
    <row r="872">
      <c r="A872" s="8"/>
      <c r="B872" s="6"/>
      <c r="C872" s="6"/>
    </row>
    <row r="873">
      <c r="A873" s="8"/>
      <c r="B873" s="6"/>
      <c r="C873" s="6"/>
    </row>
    <row r="874">
      <c r="A874" s="8"/>
      <c r="B874" s="6"/>
      <c r="C874" s="6"/>
    </row>
    <row r="875">
      <c r="A875" s="8"/>
      <c r="B875" s="6"/>
      <c r="C875" s="6"/>
    </row>
    <row r="876">
      <c r="A876" s="8"/>
      <c r="B876" s="6"/>
      <c r="C876" s="6"/>
    </row>
    <row r="877">
      <c r="A877" s="8"/>
      <c r="B877" s="6"/>
      <c r="C877" s="6"/>
    </row>
    <row r="878">
      <c r="A878" s="8"/>
      <c r="B878" s="6"/>
      <c r="C878" s="6"/>
    </row>
    <row r="879">
      <c r="A879" s="8"/>
      <c r="B879" s="6"/>
      <c r="C879" s="6"/>
    </row>
    <row r="880">
      <c r="A880" s="8"/>
      <c r="B880" s="6"/>
      <c r="C880" s="6"/>
    </row>
    <row r="881">
      <c r="A881" s="8"/>
      <c r="B881" s="6"/>
      <c r="C881" s="6"/>
    </row>
    <row r="882">
      <c r="A882" s="8"/>
      <c r="B882" s="6"/>
      <c r="C882" s="6"/>
    </row>
    <row r="883">
      <c r="A883" s="8"/>
      <c r="B883" s="6"/>
      <c r="C883" s="6"/>
    </row>
    <row r="884">
      <c r="A884" s="8"/>
      <c r="B884" s="6"/>
      <c r="C884" s="6"/>
    </row>
    <row r="885">
      <c r="A885" s="8"/>
      <c r="B885" s="6"/>
      <c r="C885" s="6"/>
    </row>
    <row r="886">
      <c r="A886" s="8"/>
      <c r="B886" s="6"/>
      <c r="C886" s="6"/>
    </row>
    <row r="887">
      <c r="A887" s="8"/>
      <c r="B887" s="6"/>
      <c r="C887" s="6"/>
    </row>
    <row r="888">
      <c r="A888" s="8"/>
      <c r="B888" s="6"/>
      <c r="C888" s="6"/>
    </row>
    <row r="889">
      <c r="A889" s="8"/>
      <c r="B889" s="6"/>
      <c r="C889" s="6"/>
    </row>
    <row r="890">
      <c r="A890" s="8"/>
      <c r="B890" s="6"/>
      <c r="C890" s="6"/>
    </row>
    <row r="891">
      <c r="A891" s="8"/>
      <c r="B891" s="6"/>
      <c r="C891" s="6"/>
    </row>
    <row r="892">
      <c r="A892" s="8"/>
      <c r="B892" s="6"/>
      <c r="C892" s="6"/>
    </row>
    <row r="893">
      <c r="A893" s="8"/>
      <c r="B893" s="6"/>
      <c r="C893" s="6"/>
    </row>
    <row r="894">
      <c r="A894" s="8"/>
      <c r="B894" s="6"/>
      <c r="C894" s="6"/>
    </row>
    <row r="895">
      <c r="A895" s="8"/>
      <c r="B895" s="6"/>
      <c r="C895" s="6"/>
    </row>
    <row r="896">
      <c r="A896" s="8"/>
      <c r="B896" s="6"/>
      <c r="C896" s="6"/>
    </row>
    <row r="897">
      <c r="A897" s="8"/>
      <c r="B897" s="6"/>
      <c r="C897" s="6"/>
    </row>
    <row r="898">
      <c r="A898" s="8"/>
      <c r="B898" s="6"/>
      <c r="C898" s="6"/>
    </row>
    <row r="899">
      <c r="A899" s="8"/>
      <c r="B899" s="6"/>
      <c r="C899" s="6"/>
    </row>
    <row r="900">
      <c r="A900" s="8"/>
      <c r="B900" s="6"/>
      <c r="C900" s="6"/>
    </row>
    <row r="901">
      <c r="A901" s="8"/>
      <c r="B901" s="6"/>
      <c r="C901" s="6"/>
    </row>
    <row r="902">
      <c r="A902" s="8"/>
      <c r="B902" s="6"/>
      <c r="C902" s="6"/>
    </row>
    <row r="903">
      <c r="A903" s="8"/>
      <c r="B903" s="6"/>
      <c r="C903" s="6"/>
    </row>
    <row r="904">
      <c r="A904" s="8"/>
      <c r="B904" s="6"/>
      <c r="C904" s="6"/>
    </row>
    <row r="905">
      <c r="A905" s="8"/>
      <c r="B905" s="6"/>
      <c r="C905" s="6"/>
    </row>
    <row r="906">
      <c r="A906" s="8"/>
      <c r="B906" s="6"/>
      <c r="C906" s="6"/>
    </row>
    <row r="907">
      <c r="A907" s="8"/>
      <c r="B907" s="6"/>
      <c r="C907" s="6"/>
    </row>
    <row r="908">
      <c r="A908" s="8"/>
      <c r="B908" s="6"/>
      <c r="C908" s="6"/>
    </row>
    <row r="909">
      <c r="A909" s="8"/>
      <c r="B909" s="6"/>
      <c r="C909" s="6"/>
    </row>
    <row r="910">
      <c r="A910" s="8"/>
      <c r="B910" s="6"/>
      <c r="C910" s="6"/>
    </row>
    <row r="911">
      <c r="A911" s="8"/>
      <c r="B911" s="6"/>
      <c r="C911" s="6"/>
    </row>
    <row r="912">
      <c r="A912" s="8"/>
      <c r="B912" s="6"/>
      <c r="C912" s="6"/>
    </row>
    <row r="913">
      <c r="A913" s="8"/>
      <c r="B913" s="6"/>
      <c r="C913" s="6"/>
    </row>
    <row r="914">
      <c r="A914" s="8"/>
      <c r="B914" s="6"/>
      <c r="C914" s="6"/>
    </row>
    <row r="915">
      <c r="A915" s="8"/>
      <c r="B915" s="6"/>
      <c r="C915" s="6"/>
    </row>
    <row r="916">
      <c r="A916" s="8"/>
      <c r="B916" s="6"/>
      <c r="C916" s="6"/>
    </row>
    <row r="917">
      <c r="A917" s="8"/>
      <c r="B917" s="6"/>
      <c r="C917" s="6"/>
    </row>
    <row r="918">
      <c r="A918" s="8"/>
      <c r="B918" s="6"/>
      <c r="C918" s="6"/>
    </row>
    <row r="919">
      <c r="A919" s="8"/>
      <c r="B919" s="6"/>
      <c r="C919" s="6"/>
    </row>
    <row r="920">
      <c r="A920" s="8"/>
      <c r="B920" s="6"/>
      <c r="C920" s="6"/>
    </row>
    <row r="921">
      <c r="A921" s="8"/>
      <c r="B921" s="6"/>
      <c r="C921" s="6"/>
    </row>
    <row r="922">
      <c r="A922" s="8"/>
      <c r="B922" s="6"/>
      <c r="C922" s="6"/>
    </row>
    <row r="923">
      <c r="A923" s="8"/>
      <c r="B923" s="6"/>
      <c r="C923" s="6"/>
    </row>
    <row r="924">
      <c r="A924" s="8"/>
      <c r="B924" s="6"/>
      <c r="C924" s="6"/>
    </row>
    <row r="925">
      <c r="A925" s="8"/>
      <c r="B925" s="6"/>
      <c r="C925" s="6"/>
    </row>
    <row r="926">
      <c r="A926" s="8"/>
      <c r="B926" s="6"/>
      <c r="C926" s="6"/>
    </row>
    <row r="927">
      <c r="A927" s="8"/>
      <c r="B927" s="6"/>
      <c r="C927" s="6"/>
    </row>
    <row r="928">
      <c r="A928" s="8"/>
      <c r="B928" s="6"/>
      <c r="C928" s="6"/>
    </row>
    <row r="929">
      <c r="A929" s="8"/>
      <c r="B929" s="6"/>
      <c r="C929" s="6"/>
    </row>
    <row r="930">
      <c r="A930" s="8"/>
      <c r="B930" s="6"/>
      <c r="C930" s="6"/>
    </row>
    <row r="931">
      <c r="A931" s="8"/>
      <c r="B931" s="6"/>
      <c r="C931" s="6"/>
    </row>
    <row r="932">
      <c r="A932" s="8"/>
      <c r="B932" s="6"/>
      <c r="C932" s="6"/>
    </row>
    <row r="933">
      <c r="A933" s="8"/>
      <c r="B933" s="6"/>
      <c r="C933" s="6"/>
    </row>
    <row r="934">
      <c r="A934" s="8"/>
      <c r="B934" s="6"/>
      <c r="C934" s="6"/>
    </row>
    <row r="935">
      <c r="A935" s="8"/>
      <c r="B935" s="6"/>
      <c r="C935" s="6"/>
    </row>
    <row r="936">
      <c r="A936" s="8"/>
      <c r="B936" s="6"/>
      <c r="C936" s="6"/>
    </row>
    <row r="937">
      <c r="A937" s="8"/>
      <c r="B937" s="6"/>
      <c r="C937" s="6"/>
    </row>
    <row r="938">
      <c r="A938" s="8"/>
      <c r="B938" s="6"/>
      <c r="C938" s="6"/>
    </row>
    <row r="939">
      <c r="A939" s="8"/>
      <c r="B939" s="6"/>
      <c r="C939" s="6"/>
    </row>
    <row r="940">
      <c r="A940" s="8"/>
      <c r="B940" s="6"/>
      <c r="C940" s="6"/>
    </row>
    <row r="941">
      <c r="A941" s="8"/>
      <c r="B941" s="6"/>
      <c r="C941" s="6"/>
    </row>
    <row r="942">
      <c r="A942" s="8"/>
      <c r="B942" s="6"/>
      <c r="C942" s="6"/>
    </row>
    <row r="943">
      <c r="A943" s="8"/>
      <c r="B943" s="6"/>
      <c r="C943" s="6"/>
    </row>
    <row r="944">
      <c r="A944" s="8"/>
      <c r="B944" s="6"/>
      <c r="C944" s="6"/>
    </row>
    <row r="945">
      <c r="A945" s="8"/>
      <c r="B945" s="6"/>
      <c r="C945" s="6"/>
    </row>
    <row r="946">
      <c r="A946" s="8"/>
      <c r="B946" s="6"/>
      <c r="C946" s="6"/>
    </row>
    <row r="947">
      <c r="A947" s="8"/>
      <c r="B947" s="6"/>
      <c r="C947" s="6"/>
    </row>
    <row r="948">
      <c r="A948" s="8"/>
      <c r="B948" s="6"/>
      <c r="C948" s="6"/>
    </row>
    <row r="949">
      <c r="A949" s="8"/>
      <c r="B949" s="6"/>
      <c r="C949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6.25" customHeight="1">
      <c r="A1" s="79" t="str">
        <f>Paper_Textual_Conflict!M1</f>
        <v>Category
I: Insert
D: Delete
U: Update
U + U: means both versions update some code, but the edits do not overlap
U vs. U: means both versions update at least one same line </v>
      </c>
      <c r="B1" s="80" t="s">
        <v>2945</v>
      </c>
      <c r="C1" s="80" t="s">
        <v>2947</v>
      </c>
      <c r="D1" s="80" t="s">
        <v>2948</v>
      </c>
      <c r="E1" s="81" t="s">
        <v>8</v>
      </c>
      <c r="F1" s="81" t="s">
        <v>17</v>
      </c>
      <c r="G1" s="81" t="s">
        <v>2949</v>
      </c>
      <c r="H1" s="80" t="s">
        <v>2867</v>
      </c>
      <c r="I1" s="80" t="s">
        <v>2142</v>
      </c>
      <c r="J1" s="80" t="s">
        <v>2868</v>
      </c>
      <c r="K1" s="81" t="s">
        <v>2950</v>
      </c>
      <c r="L1" s="80" t="s">
        <v>2870</v>
      </c>
      <c r="M1" s="80" t="s">
        <v>2871</v>
      </c>
      <c r="N1" s="81" t="s">
        <v>2951</v>
      </c>
      <c r="O1" s="80" t="s">
        <v>1931</v>
      </c>
      <c r="P1" s="81" t="s">
        <v>2952</v>
      </c>
      <c r="Q1" s="80" t="s">
        <v>2872</v>
      </c>
      <c r="R1" s="80" t="s">
        <v>2873</v>
      </c>
      <c r="S1" s="80" t="s">
        <v>2874</v>
      </c>
      <c r="T1" s="81" t="s">
        <v>2875</v>
      </c>
      <c r="U1" s="80" t="s">
        <v>2876</v>
      </c>
      <c r="V1" s="80" t="s">
        <v>2953</v>
      </c>
      <c r="W1" s="80" t="s">
        <v>2877</v>
      </c>
      <c r="X1" s="81" t="s">
        <v>2954</v>
      </c>
      <c r="Y1" s="80" t="s">
        <v>2955</v>
      </c>
      <c r="Z1" s="81" t="s">
        <v>2878</v>
      </c>
      <c r="AA1" s="81" t="s">
        <v>2956</v>
      </c>
      <c r="AB1" s="80" t="s">
        <v>2957</v>
      </c>
      <c r="AC1" s="81" t="s">
        <v>2879</v>
      </c>
      <c r="AD1" s="80" t="s">
        <v>2319</v>
      </c>
      <c r="AE1" s="80" t="s">
        <v>2897</v>
      </c>
      <c r="AF1" s="80" t="s">
        <v>2898</v>
      </c>
      <c r="AG1" s="80" t="s">
        <v>2899</v>
      </c>
      <c r="AH1" s="80" t="s">
        <v>2900</v>
      </c>
      <c r="AI1" s="80" t="s">
        <v>891</v>
      </c>
      <c r="AJ1" s="80" t="s">
        <v>2909</v>
      </c>
      <c r="AK1" s="80" t="s">
        <v>2901</v>
      </c>
      <c r="AL1" s="80" t="s">
        <v>2902</v>
      </c>
      <c r="AM1" s="80" t="s">
        <v>2958</v>
      </c>
      <c r="AN1" s="80" t="s">
        <v>2959</v>
      </c>
      <c r="AO1" s="80" t="s">
        <v>2903</v>
      </c>
      <c r="AP1" s="80" t="s">
        <v>2960</v>
      </c>
      <c r="AQ1" s="80" t="s">
        <v>2904</v>
      </c>
      <c r="AR1" s="80" t="s">
        <v>2905</v>
      </c>
      <c r="AS1" s="80" t="s">
        <v>2906</v>
      </c>
      <c r="AT1" s="80" t="s">
        <v>2907</v>
      </c>
      <c r="AU1" s="81" t="s">
        <v>2908</v>
      </c>
      <c r="AV1" s="80" t="s">
        <v>2961</v>
      </c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</row>
    <row r="2" ht="26.25" customHeight="1">
      <c r="A2" s="79" t="str">
        <f>Paper_Textual_Conflict!M2</f>
        <v>U vs. U (version no) L &gt; R verseion</v>
      </c>
      <c r="B2" s="37" t="str">
        <f>IFERROR(__xludf.DUMMYFUNCTION("if(isblank(A2),,regexextract(REGEXEXTRACT(A2,""^.*""),""^[^(]*""))"),"U vs. U ")</f>
        <v>U vs. U </v>
      </c>
      <c r="C2" s="37" t="b">
        <f>IFERROR(__xludf.DUMMYFUNCTION("if(isblank(A2),,REGEXMATCH(B2,"".*\+.*"") )"),FALSE)</f>
        <v>0</v>
      </c>
      <c r="D2" s="37" t="b">
        <f>IFERROR(__xludf.DUMMYFUNCTION("if(isblank(A2),,REGEXMATCH(B2,"".*vs.*"") )"),TRUE)</f>
        <v>1</v>
      </c>
      <c r="E2" s="37" t="b">
        <f>Paper_Textual_Conflict!H2</f>
        <v>1</v>
      </c>
      <c r="F2" s="37" t="str">
        <f>Paper_Textual_Conflict!Q2</f>
        <v>Non-Java</v>
      </c>
      <c r="G2" s="33">
        <v>2.0</v>
      </c>
      <c r="H2" s="37" t="b">
        <f>IFERROR(__xludf.DUMMYFUNCTION("if(isblank(A2),,REGEXMATCH(B2,""^I *\+ I *$""))"),FALSE)</f>
        <v>0</v>
      </c>
      <c r="I2" s="37" t="b">
        <f>IFERROR(__xludf.DUMMYFUNCTION("if(isblank(A2),,REGEXMATCH(B2,""(^I *\+ D *$)|(^D *\+ I *$)""))"),FALSE)</f>
        <v>0</v>
      </c>
      <c r="J2" s="37" t="b">
        <f>IFERROR(__xludf.DUMMYFUNCTION("if(isblank(A2),,REGEXMATCH(B2,""(^I *\+ U *$)|(^U *\+ I *$)""))"),FALSE)</f>
        <v>0</v>
      </c>
      <c r="K2" s="37" t="b">
        <f>IFERROR(__xludf.DUMMYFUNCTION("if(isblank(A2),,REGEXMATCH(B2,""(^I *\+ N *$)|(^N *\+ I *$)"") )"),FALSE)</f>
        <v>0</v>
      </c>
      <c r="L2" s="37" t="b">
        <f>IFERROR(__xludf.DUMMYFUNCTION("if(isblank(A2),,REGEXMATCH(B2,""^D *\+ D *$""))"),FALSE)</f>
        <v>0</v>
      </c>
      <c r="M2" s="37" t="b">
        <f>IFERROR(__xludf.DUMMYFUNCTION("if(isblank(A2),,REGEXMATCH(B2,""(^U *\+ D *$)|(^D *\+ U *$)""))"),FALSE)</f>
        <v>0</v>
      </c>
      <c r="N2" s="37" t="b">
        <f>IFERROR(__xludf.DUMMYFUNCTION("if(isblank(A2),,REGEXMATCH(B2,""(^N *\+ D *$)|(^D *\+ N *$)""))"),FALSE)</f>
        <v>0</v>
      </c>
      <c r="O2" s="37" t="b">
        <f>IFERROR(__xludf.DUMMYFUNCTION("if(isblank(A2),,REGEXMATCH(B2,""^U *\+ U *$""))"),FALSE)</f>
        <v>0</v>
      </c>
      <c r="P2" s="37" t="b">
        <f>IFERROR(__xludf.DUMMYFUNCTION("if(isblank(A2),,REGEXMATCH(B2,""(^U *\+ N *$)|(^N *\+ U *$)""))"),FALSE)</f>
        <v>0</v>
      </c>
      <c r="Q2" s="37" t="b">
        <f>IFERROR(__xludf.DUMMYFUNCTION("if(isblank(A2),,REGEXMATCH(B2,""^((I ?\+ ?(D ?I|I ?D))|((D ?I|I ?D) ?\+ ?I)) *$""))"),FALSE)</f>
        <v>0</v>
      </c>
      <c r="R2" s="37" t="b">
        <f>IFERROR(__xludf.DUMMYFUNCTION("if(isblank(A2),,REGEXMATCH(B2,""^((D ?\+ ?(D ?I|I ?D))|((D ?I|I ?D) ?\+ ?D)) *$""))"),FALSE)</f>
        <v>0</v>
      </c>
      <c r="S2" s="37" t="b">
        <f>IFERROR(__xludf.DUMMYFUNCTION("if(isblank(A2),,REGEXMATCH(B2,""^((U ?\+ ?(D ?I|I ?D))|((D ?I|I ?D) ?\+ ?U)) *$""))"),FALSE)</f>
        <v>0</v>
      </c>
      <c r="T2" s="37" t="b">
        <f>IFERROR(__xludf.DUMMYFUNCTION("if(isblank(A2),,REGEXMATCH(B2,""^((N ?\+ ?(D ?I|I ?D))|((D ?I|I ?D) ?\+ ?N)) *$""))"),FALSE)</f>
        <v>0</v>
      </c>
      <c r="U2" s="37" t="b">
        <f>IFERROR(__xludf.DUMMYFUNCTION("if(isblank(A2),,REGEXMATCH(B2,""^((I ?\+ ?(U ?I|I ?U))|((I ?U|U ?I) ?\+ ?I)) *$""))"),FALSE)</f>
        <v>0</v>
      </c>
      <c r="V2" s="37" t="b">
        <f>IFERROR(__xludf.DUMMYFUNCTION("if(isblank(A2),,REGEXMATCH(B2,""^((D ?\+ ?(U ?I|I ?U))|((I ?U|U ?I) ?\+ ?D)) *$""))"),FALSE)</f>
        <v>0</v>
      </c>
      <c r="W2" s="37" t="b">
        <f>IFERROR(__xludf.DUMMYFUNCTION("if(isblank(A2),,REGEXMATCH(B2,""^((U ?\+ ?(U ?I|I ?U))|((I ?U|U ?I) ?\+ ?U)) *$""))"),FALSE)</f>
        <v>0</v>
      </c>
      <c r="X2" s="37" t="b">
        <f>IFERROR(__xludf.DUMMYFUNCTION("if(isblank(A2),,REGEXMATCH(B2,""^((N ?\+ ?(U ?I|I ?U))|((I ?U|U ?I) ?\+ ?N)) *$""))"),FALSE)</f>
        <v>0</v>
      </c>
      <c r="Y2" s="37" t="b">
        <f>IFERROR(__xludf.DUMMYFUNCTION("if(isblank(A2),,REGEXMATCH(B2,""^((I ?\+ ?(U ?D|D ?U))|((D ?U|U ?D) ?\+ ?I)) *$""))"),FALSE)</f>
        <v>0</v>
      </c>
      <c r="Z2" s="37" t="b">
        <f>IFERROR(__xludf.DUMMYFUNCTION("if(isblank(A2),,REGEXMATCH(B2,""^((D ?\+ ?(U ?D|D ?U))|((D ?U|U ?D) ?\+ ?D)) *$""))"),FALSE)</f>
        <v>0</v>
      </c>
      <c r="AA2" s="37" t="b">
        <f>IFERROR(__xludf.DUMMYFUNCTION("if(isblank(A2),,REGEXMATCH(B2,""^((U ?\+ ?(U ?D|D ?U))|((D ?U|U ?D) ?\+ ?U)) *$""))"),FALSE)</f>
        <v>0</v>
      </c>
      <c r="AB2" s="37" t="b">
        <f>IFERROR(__xludf.DUMMYFUNCTION("if(isblank(A2),,REGEXMATCH(B2,""^((D ?I|I ?D) ?\+ ?(D ?I|I ?D)) *$""))"),FALSE)</f>
        <v>0</v>
      </c>
      <c r="AC2" s="37" t="b">
        <f>IFERROR(__xludf.DUMMYFUNCTION("if(isblank(A2),,REGEXMATCH(B2,""^((D ?I|I ?D) ?\+ ?(U ?I|I ?U))|((U ?I|I ?U) ?\+ ?(D ?I|I ?D)) *$""))"),FALSE)</f>
        <v>0</v>
      </c>
      <c r="AD2" s="37" t="b">
        <f>IFERROR(__xludf.DUMMYFUNCTION("if(isblank(A2),,REGEXMATCH(B2,""^I *vs\. I *$""))"),FALSE)</f>
        <v>0</v>
      </c>
      <c r="AE2" s="37" t="b">
        <f>IFERROR(__xludf.DUMMYFUNCTION("if(isblank(A2),,REGEXMATCH(B2,""(^I *vs\. D *$)|(^D *vs\. I *$)""))"),FALSE)</f>
        <v>0</v>
      </c>
      <c r="AF2" s="37" t="b">
        <f>IFERROR(__xludf.DUMMYFUNCTION("if(isblank(A2),,REGEXMATCH(B2,""(^I *vs\. U *$)|(^U *vs\. I *$)""))"),FALSE)</f>
        <v>0</v>
      </c>
      <c r="AG2" s="37" t="b">
        <f>IFERROR(__xludf.DUMMYFUNCTION("if(isblank(A2),,REGEXMATCH(B2,""^D *vs\. D *$""))"),FALSE)</f>
        <v>0</v>
      </c>
      <c r="AH2" s="37" t="b">
        <f>IFERROR(__xludf.DUMMYFUNCTION("if(isblank(A2),,REGEXMATCH(B2,""(^U *vs\. D *$)|(^D *vs\. U *$)""))"),FALSE)</f>
        <v>0</v>
      </c>
      <c r="AI2" s="37" t="b">
        <f>IFERROR(__xludf.DUMMYFUNCTION("if(isblank(A2),,REGEXMATCH(B2,""^U *vs\. U *$""))"),TRUE)</f>
        <v>1</v>
      </c>
      <c r="AJ2" s="37" t="b">
        <f>IFERROR(__xludf.DUMMYFUNCTION("if(isblank(A2),,REGEXMATCH(B2,""^((I ?vs\. ?(D ?I|I ?D))|((D ?I|I ?D) ?vs\. ?I)) *$""))"),FALSE)</f>
        <v>0</v>
      </c>
      <c r="AK2" s="37" t="b">
        <f>IFERROR(__xludf.DUMMYFUNCTION("if(isblank(A2),,REGEXMATCH(B2,""^((D ?vs\. ?(D ?I|I ?D))|((D ?I|I ?D) ?vs\. ?D)) *$""))"),FALSE)</f>
        <v>0</v>
      </c>
      <c r="AL2" s="37" t="b">
        <f>IFERROR(__xludf.DUMMYFUNCTION("if(isblank(A2),,REGEXMATCH(B2,""^((U ?vs\. ?(D ?I|I ?D))|((D ?I|I ?D) ?vs\. ?U)) *$""))"),FALSE)</f>
        <v>0</v>
      </c>
      <c r="AM2" s="37" t="b">
        <f>IFERROR(__xludf.DUMMYFUNCTION("if(isblank(A2),,REGEXMATCH(B2,""^((I ?vs\. ?(U ?I|I ?U))|((U ?I|I ?U) ?vs\. ?I)) *$""))"),FALSE)</f>
        <v>0</v>
      </c>
      <c r="AN2" s="37" t="b">
        <f>IFERROR(__xludf.DUMMYFUNCTION("if(isblank(A2),,REGEXMATCH(B2,""^((D ?vs\. ?(U ?I|I ?U))|((U ?I|I ?U) ?vs\. ?D)) *$""))"),FALSE)</f>
        <v>0</v>
      </c>
      <c r="AO2" s="37" t="b">
        <f>IFERROR(__xludf.DUMMYFUNCTION("if(isblank(A2),,REGEXMATCH(B2,""^((U ?vs\. ?(U ?I|I ?U))|((U ?I|I ?U) ?vs\. ?U)) *$""))"),FALSE)</f>
        <v>0</v>
      </c>
      <c r="AP2" s="37" t="b">
        <f>IFERROR(__xludf.DUMMYFUNCTION("if(isblank(A2),,REGEXMATCH(B2,""^((I ?vs\. ?(U ?D|D ?U))|((D ?U|U ?D) ?vs\. ?I)) *$""))"),FALSE)</f>
        <v>0</v>
      </c>
      <c r="AQ2" s="37" t="b">
        <f>IFERROR(__xludf.DUMMYFUNCTION("if(isblank(A2),,REGEXMATCH(B2,""^((D ?vs\. ?(U ?D|D ?U))|((D ?U|U ?D) ?vs\. ?D)) *$""))"),FALSE)</f>
        <v>0</v>
      </c>
      <c r="AR2" s="37" t="b">
        <f>IFERROR(__xludf.DUMMYFUNCTION("if(isblank(A2),,REGEXMATCH(B2,""^((U ?vs\. ?(U ?D|D ?U))|((D ?U|U ?D) ?vs\. ?U)) *$""))"),FALSE)</f>
        <v>0</v>
      </c>
      <c r="AS2" s="37" t="b">
        <f>IFERROR(__xludf.DUMMYFUNCTION("if(isblank(A2),,REGEXMATCH(B2,""^((D ?I|I ?D) ?vs\. ?(D ?I|I ?D)) *$""))"),FALSE)</f>
        <v>0</v>
      </c>
      <c r="AT2" s="37" t="b">
        <f>IFERROR(__xludf.DUMMYFUNCTION("if(isblank(A2),,REGEXMATCH(B2,""^((D ?I|I ?D) ?vs\. ?(U ?I|I ?U))|((U ?I|I ?U) ?vs\. ?(D ?I|I ?D)) *$""))"),FALSE)</f>
        <v>0</v>
      </c>
      <c r="AU2" s="37" t="b">
        <f>IFERROR(__xludf.DUMMYFUNCTION("if(isblank(A2),,REGEXMATCH(B2,""^((D ?I|I ?D) ?vs\. ?(U ?D|D ?U))|((U ?D|D ?U) ?vs\. ?(D ?I|I ?D)) *$""))"),FALSE)</f>
        <v>0</v>
      </c>
      <c r="AV2" s="37" t="b">
        <f>IFERROR(__xludf.DUMMYFUNCTION("if(isblank(A2),,REGEXMATCH(B2,""^((U ?I|I ?U) ?vs\. ?(U ?I|I ?U)) *$""))"),FALSE)</f>
        <v>0</v>
      </c>
    </row>
    <row r="3" ht="26.25" customHeight="1">
      <c r="A3" s="79" t="str">
        <f>Paper_Textual_Conflict!M3</f>
        <v>D + U (import)
Origin(U + U)</v>
      </c>
      <c r="B3" s="37" t="str">
        <f>IFERROR(__xludf.DUMMYFUNCTION("if(isblank(A3),,regexextract(REGEXEXTRACT(A3,""^.*""),""^[^(]*""))"),"D + U ")</f>
        <v>D + U </v>
      </c>
      <c r="C3" s="37" t="b">
        <f>IFERROR(__xludf.DUMMYFUNCTION("if(isblank(A3),,REGEXMATCH(B3,"".*\+.*"") )"),TRUE)</f>
        <v>1</v>
      </c>
      <c r="D3" s="37" t="b">
        <f>IFERROR(__xludf.DUMMYFUNCTION("if(isblank(A3),,REGEXMATCH(B3,"".*vs.*"") )"),FALSE)</f>
        <v>0</v>
      </c>
      <c r="E3" s="37" t="b">
        <f>Paper_Textual_Conflict!H3</f>
        <v>0</v>
      </c>
      <c r="F3" s="37" t="str">
        <f>Paper_Textual_Conflict!Q3</f>
        <v>Java</v>
      </c>
      <c r="G3" s="33">
        <v>3.0</v>
      </c>
      <c r="H3" s="37" t="b">
        <f>IFERROR(__xludf.DUMMYFUNCTION("if(isblank(A3),,REGEXMATCH(B3,""^I *\+ I *$""))"),FALSE)</f>
        <v>0</v>
      </c>
      <c r="I3" s="37" t="b">
        <f>IFERROR(__xludf.DUMMYFUNCTION("if(isblank(A3),,REGEXMATCH(B3,""(^I *\+ D *$)|(^D *\+ I *$)""))"),FALSE)</f>
        <v>0</v>
      </c>
      <c r="J3" s="37" t="b">
        <f>IFERROR(__xludf.DUMMYFUNCTION("if(isblank(A3),,REGEXMATCH(B3,""(^I *\+ U *$)|(^U *\+ I *$)""))"),FALSE)</f>
        <v>0</v>
      </c>
      <c r="K3" s="37" t="b">
        <f>IFERROR(__xludf.DUMMYFUNCTION("if(isblank(A3),,REGEXMATCH(B3,""(^I *\+ N *$)|(^N *\+ I *$)"") )"),FALSE)</f>
        <v>0</v>
      </c>
      <c r="L3" s="37" t="b">
        <f>IFERROR(__xludf.DUMMYFUNCTION("if(isblank(A3),,REGEXMATCH(B3,""^D *\+ D *$""))"),FALSE)</f>
        <v>0</v>
      </c>
      <c r="M3" s="37" t="b">
        <f>IFERROR(__xludf.DUMMYFUNCTION("if(isblank(A3),,REGEXMATCH(B3,""(^U *\+ D *$)|(^D *\+ U *$)""))"),TRUE)</f>
        <v>1</v>
      </c>
      <c r="N3" s="37" t="b">
        <f>IFERROR(__xludf.DUMMYFUNCTION("if(isblank(A3),,REGEXMATCH(B3,""(^N *\+ D *$)|(^D *\+ N *$)""))"),FALSE)</f>
        <v>0</v>
      </c>
      <c r="O3" s="37" t="b">
        <f>IFERROR(__xludf.DUMMYFUNCTION("if(isblank(A3),,REGEXMATCH(B3,""^U *\+ U *$""))"),FALSE)</f>
        <v>0</v>
      </c>
      <c r="P3" s="37" t="b">
        <f>IFERROR(__xludf.DUMMYFUNCTION("if(isblank(A3),,REGEXMATCH(B3,""(^U *\+ N *$)|(^N *\+ U *$)""))"),FALSE)</f>
        <v>0</v>
      </c>
      <c r="Q3" s="37" t="b">
        <f>IFERROR(__xludf.DUMMYFUNCTION("if(isblank(A3),,REGEXMATCH(B3,""^((I ?\+ ?(D ?I|I ?D))|((D ?I|I ?D) ?\+ ?I)) *$""))"),FALSE)</f>
        <v>0</v>
      </c>
      <c r="R3" s="37" t="b">
        <f>IFERROR(__xludf.DUMMYFUNCTION("if(isblank(A3),,REGEXMATCH(B3,""^((D ?\+ ?(D ?I|I ?D))|((D ?I|I ?D) ?\+ ?D)) *$""))"),FALSE)</f>
        <v>0</v>
      </c>
      <c r="S3" s="37" t="b">
        <f>IFERROR(__xludf.DUMMYFUNCTION("if(isblank(A3),,REGEXMATCH(B3,""^((U ?\+ ?(D ?I|I ?D))|((D ?I|I ?D) ?\+ ?U)) *$""))"),FALSE)</f>
        <v>0</v>
      </c>
      <c r="T3" s="37" t="b">
        <f>IFERROR(__xludf.DUMMYFUNCTION("if(isblank(A3),,REGEXMATCH(B3,""^((N ?\+ ?(D ?I|I ?D))|((D ?I|I ?D) ?\+ ?N)) *$""))"),FALSE)</f>
        <v>0</v>
      </c>
      <c r="U3" s="37" t="b">
        <f>IFERROR(__xludf.DUMMYFUNCTION("if(isblank(A3),,REGEXMATCH(B3,""^((I ?\+ ?(U ?I|I ?U))|((I ?U|U ?I) ?\+ ?I)) *$""))"),FALSE)</f>
        <v>0</v>
      </c>
      <c r="V3" s="37" t="b">
        <f>IFERROR(__xludf.DUMMYFUNCTION("if(isblank(A3),,REGEXMATCH(B3,""^((D ?\+ ?(U ?I|I ?U))|((I ?U|U ?I) ?\+ ?D)) *$""))"),FALSE)</f>
        <v>0</v>
      </c>
      <c r="W3" s="37" t="b">
        <f>IFERROR(__xludf.DUMMYFUNCTION("if(isblank(A3),,REGEXMATCH(B3,""^((U ?\+ ?(U ?I|I ?U))|((I ?U|U ?I) ?\+ ?U)) *$""))"),FALSE)</f>
        <v>0</v>
      </c>
      <c r="X3" s="37" t="b">
        <f>IFERROR(__xludf.DUMMYFUNCTION("if(isblank(A3),,REGEXMATCH(B3,""^((N ?\+ ?(U ?I|I ?U))|((I ?U|U ?I) ?\+ ?N)) *$""))"),FALSE)</f>
        <v>0</v>
      </c>
      <c r="Y3" s="37" t="b">
        <f>IFERROR(__xludf.DUMMYFUNCTION("if(isblank(A3),,REGEXMATCH(B3,""^((I ?\+ ?(U ?D|D ?U))|((D ?U|U ?D) ?\+ ?I)) *$""))"),FALSE)</f>
        <v>0</v>
      </c>
      <c r="Z3" s="37" t="b">
        <f>IFERROR(__xludf.DUMMYFUNCTION("if(isblank(A3),,REGEXMATCH(B3,""^((D ?\+ ?(U ?D|D ?U))|((D ?U|U ?D) ?\+ ?D)) *$""))"),FALSE)</f>
        <v>0</v>
      </c>
      <c r="AA3" s="37" t="b">
        <f>IFERROR(__xludf.DUMMYFUNCTION("if(isblank(A3),,REGEXMATCH(B3,""^((U ?\+ ?(U ?D|D ?U))|((D ?U|U ?D) ?\+ ?U)) *$""))"),FALSE)</f>
        <v>0</v>
      </c>
      <c r="AB3" s="37" t="b">
        <f>IFERROR(__xludf.DUMMYFUNCTION("if(isblank(A3),,REGEXMATCH(B3,""^((D ?I|I ?D) ?\+ ?(D ?I|I ?D)) *$""))"),FALSE)</f>
        <v>0</v>
      </c>
      <c r="AC3" s="37" t="b">
        <f>IFERROR(__xludf.DUMMYFUNCTION("if(isblank(A3),,REGEXMATCH(B3,""^((D ?I|I ?D) ?\+ ?(U ?I|I ?U))|((U ?I|I ?U) ?\+ ?(D ?I|I ?D)) *$""))"),FALSE)</f>
        <v>0</v>
      </c>
      <c r="AD3" s="37" t="b">
        <f>IFERROR(__xludf.DUMMYFUNCTION("if(isblank(A3),,REGEXMATCH(B3,""^I *vs\. I *$""))"),FALSE)</f>
        <v>0</v>
      </c>
      <c r="AE3" s="37" t="b">
        <f>IFERROR(__xludf.DUMMYFUNCTION("if(isblank(A3),,REGEXMATCH(B3,""(^I *vs\. D *$)|(^D *vs\. I *$)""))"),FALSE)</f>
        <v>0</v>
      </c>
      <c r="AF3" s="37" t="b">
        <f>IFERROR(__xludf.DUMMYFUNCTION("if(isblank(A3),,REGEXMATCH(B3,""(^I *vs\. U *$)|(^U *vs\. I *$)""))"),FALSE)</f>
        <v>0</v>
      </c>
      <c r="AG3" s="37" t="b">
        <f>IFERROR(__xludf.DUMMYFUNCTION("if(isblank(A3),,REGEXMATCH(B3,""^D *vs\. D *$""))"),FALSE)</f>
        <v>0</v>
      </c>
      <c r="AH3" s="37" t="b">
        <f>IFERROR(__xludf.DUMMYFUNCTION("if(isblank(A3),,REGEXMATCH(B3,""(^U *vs\. D *$)|(^D *vs\. U *$)""))"),FALSE)</f>
        <v>0</v>
      </c>
      <c r="AI3" s="37" t="b">
        <f>IFERROR(__xludf.DUMMYFUNCTION("if(isblank(A3),,REGEXMATCH(B3,""^U *vs\. U *$""))"),FALSE)</f>
        <v>0</v>
      </c>
      <c r="AJ3" s="37" t="b">
        <f>IFERROR(__xludf.DUMMYFUNCTION("if(isblank(A3),,REGEXMATCH(B3,""^((I ?vs\. ?(D ?I|I ?D))|((D ?I|I ?D) ?vs\. ?I)) *$""))"),FALSE)</f>
        <v>0</v>
      </c>
      <c r="AK3" s="37" t="b">
        <f>IFERROR(__xludf.DUMMYFUNCTION("if(isblank(A3),,REGEXMATCH(B3,""^((D ?vs\. ?(D ?I|I ?D))|((D ?I|I ?D) ?vs\. ?D)) *$""))"),FALSE)</f>
        <v>0</v>
      </c>
      <c r="AL3" s="37" t="b">
        <f>IFERROR(__xludf.DUMMYFUNCTION("if(isblank(A3),,REGEXMATCH(B3,""^((U ?vs\. ?(D ?I|I ?D))|((D ?I|I ?D) ?vs\. ?U)) *$""))"),FALSE)</f>
        <v>0</v>
      </c>
      <c r="AM3" s="37" t="b">
        <f>IFERROR(__xludf.DUMMYFUNCTION("if(isblank(A3),,REGEXMATCH(B3,""^((I ?vs\. ?(U ?I|I ?U))|((U ?I|I ?U) ?vs\. ?I)) *$""))"),FALSE)</f>
        <v>0</v>
      </c>
      <c r="AN3" s="37" t="b">
        <f>IFERROR(__xludf.DUMMYFUNCTION("if(isblank(A3),,REGEXMATCH(B3,""^((D ?vs\. ?(U ?I|I ?U))|((U ?I|I ?U) ?vs\. ?D)) *$""))"),FALSE)</f>
        <v>0</v>
      </c>
      <c r="AO3" s="37" t="b">
        <f>IFERROR(__xludf.DUMMYFUNCTION("if(isblank(A3),,REGEXMATCH(B3,""^((U ?vs\. ?(U ?I|I ?U))|((U ?I|I ?U) ?vs\. ?U)) *$""))"),FALSE)</f>
        <v>0</v>
      </c>
      <c r="AP3" s="37" t="b">
        <f>IFERROR(__xludf.DUMMYFUNCTION("if(isblank(A3),,REGEXMATCH(B3,""^((I ?vs\. ?(U ?D|D ?U))|((D ?U|U ?D) ?vs\. ?I)) *$""))"),FALSE)</f>
        <v>0</v>
      </c>
      <c r="AQ3" s="37" t="b">
        <f>IFERROR(__xludf.DUMMYFUNCTION("if(isblank(A3),,REGEXMATCH(B3,""^((D ?vs\. ?(U ?D|D ?U))|((D ?U|U ?D) ?vs\. ?D)) *$""))"),FALSE)</f>
        <v>0</v>
      </c>
      <c r="AR3" s="37" t="b">
        <f>IFERROR(__xludf.DUMMYFUNCTION("if(isblank(A3),,REGEXMATCH(B3,""^((U ?vs\. ?(U ?D|D ?U))|((D ?U|U ?D) ?vs\. ?U)) *$""))"),FALSE)</f>
        <v>0</v>
      </c>
      <c r="AS3" s="37" t="b">
        <f>IFERROR(__xludf.DUMMYFUNCTION("if(isblank(A3),,REGEXMATCH(B3,""^((D ?I|I ?D) ?vs\. ?(D ?I|I ?D)) *$""))"),FALSE)</f>
        <v>0</v>
      </c>
      <c r="AT3" s="37" t="b">
        <f>IFERROR(__xludf.DUMMYFUNCTION("if(isblank(A3),,REGEXMATCH(B3,""^((D ?I|I ?D) ?vs\. ?(U ?I|I ?U))|((U ?I|I ?U) ?vs\. ?(D ?I|I ?D)) *$""))"),FALSE)</f>
        <v>0</v>
      </c>
      <c r="AU3" s="37" t="b">
        <f>IFERROR(__xludf.DUMMYFUNCTION("if(isblank(A3),,REGEXMATCH(B3,""^((D ?I|I ?D) ?vs\. ?(U ?D|D ?U))|((U ?D|D ?U) ?vs\. ?(D ?I|I ?D)) *$""))"),FALSE)</f>
        <v>0</v>
      </c>
      <c r="AV3" s="37" t="b">
        <f>IFERROR(__xludf.DUMMYFUNCTION("if(isblank(A3),,REGEXMATCH(B3,""^((U ?I|I ?U) ?vs\. ?(U ?I|I ?U)) *$""))"),FALSE)</f>
        <v>0</v>
      </c>
    </row>
    <row r="4" ht="26.25" customHeight="1">
      <c r="A4" s="79" t="str">
        <f>Paper_Textual_Conflict!M4</f>
        <v>U + U (version no.)</v>
      </c>
      <c r="B4" s="37" t="str">
        <f>IFERROR(__xludf.DUMMYFUNCTION("if(isblank(A4),,regexextract(REGEXEXTRACT(A4,""^.*""),""^[^(]*""))"),"U + U ")</f>
        <v>U + U </v>
      </c>
      <c r="C4" s="37" t="b">
        <f>IFERROR(__xludf.DUMMYFUNCTION("if(isblank(A4),,REGEXMATCH(B4,"".*\+.*"") )"),TRUE)</f>
        <v>1</v>
      </c>
      <c r="D4" s="37" t="b">
        <f>IFERROR(__xludf.DUMMYFUNCTION("if(isblank(A4),,REGEXMATCH(B4,"".*vs.*"") )"),FALSE)</f>
        <v>0</v>
      </c>
      <c r="E4" s="37" t="b">
        <f>Paper_Textual_Conflict!H4</f>
        <v>0</v>
      </c>
      <c r="F4" s="37" t="str">
        <f>Paper_Textual_Conflict!Q4</f>
        <v>Non-Java</v>
      </c>
      <c r="G4" s="33">
        <v>4.0</v>
      </c>
      <c r="H4" s="37" t="b">
        <f>IFERROR(__xludf.DUMMYFUNCTION("if(isblank(A4),,REGEXMATCH(B4,""^I *\+ I *$""))"),FALSE)</f>
        <v>0</v>
      </c>
      <c r="I4" s="37" t="b">
        <f>IFERROR(__xludf.DUMMYFUNCTION("if(isblank(A4),,REGEXMATCH(B4,""(^I *\+ D *$)|(^D *\+ I *$)""))"),FALSE)</f>
        <v>0</v>
      </c>
      <c r="J4" s="37" t="b">
        <f>IFERROR(__xludf.DUMMYFUNCTION("if(isblank(A4),,REGEXMATCH(B4,""(^I *\+ U *$)|(^U *\+ I *$)""))"),FALSE)</f>
        <v>0</v>
      </c>
      <c r="K4" s="37" t="b">
        <f>IFERROR(__xludf.DUMMYFUNCTION("if(isblank(A4),,REGEXMATCH(B4,""(^I *\+ N *$)|(^N *\+ I *$)"") )"),FALSE)</f>
        <v>0</v>
      </c>
      <c r="L4" s="37" t="b">
        <f>IFERROR(__xludf.DUMMYFUNCTION("if(isblank(A4),,REGEXMATCH(B4,""^D *\+ D *$""))"),FALSE)</f>
        <v>0</v>
      </c>
      <c r="M4" s="37" t="b">
        <f>IFERROR(__xludf.DUMMYFUNCTION("if(isblank(A4),,REGEXMATCH(B4,""(^U *\+ D *$)|(^D *\+ U *$)""))"),FALSE)</f>
        <v>0</v>
      </c>
      <c r="N4" s="37" t="b">
        <f>IFERROR(__xludf.DUMMYFUNCTION("if(isblank(A4),,REGEXMATCH(B4,""(^N *\+ D *$)|(^D *\+ N *$)""))"),FALSE)</f>
        <v>0</v>
      </c>
      <c r="O4" s="37" t="b">
        <f>IFERROR(__xludf.DUMMYFUNCTION("if(isblank(A4),,REGEXMATCH(B4,""^U *\+ U *$""))"),TRUE)</f>
        <v>1</v>
      </c>
      <c r="P4" s="37" t="b">
        <f>IFERROR(__xludf.DUMMYFUNCTION("if(isblank(A4),,REGEXMATCH(B4,""(^U *\+ N *$)|(^N *\+ U *$)""))"),FALSE)</f>
        <v>0</v>
      </c>
      <c r="Q4" s="37" t="b">
        <f>IFERROR(__xludf.DUMMYFUNCTION("if(isblank(A4),,REGEXMATCH(B4,""^((I ?\+ ?(D ?I|I ?D))|((D ?I|I ?D) ?\+ ?I)) *$""))"),FALSE)</f>
        <v>0</v>
      </c>
      <c r="R4" s="37" t="b">
        <f>IFERROR(__xludf.DUMMYFUNCTION("if(isblank(A4),,REGEXMATCH(B4,""^((D ?\+ ?(D ?I|I ?D))|((D ?I|I ?D) ?\+ ?D)) *$""))"),FALSE)</f>
        <v>0</v>
      </c>
      <c r="S4" s="37" t="b">
        <f>IFERROR(__xludf.DUMMYFUNCTION("if(isblank(A4),,REGEXMATCH(B4,""^((U ?\+ ?(D ?I|I ?D))|((D ?I|I ?D) ?\+ ?U)) *$""))"),FALSE)</f>
        <v>0</v>
      </c>
      <c r="T4" s="37" t="b">
        <f>IFERROR(__xludf.DUMMYFUNCTION("if(isblank(A4),,REGEXMATCH(B4,""^((N ?\+ ?(D ?I|I ?D))|((D ?I|I ?D) ?\+ ?N)) *$""))"),FALSE)</f>
        <v>0</v>
      </c>
      <c r="U4" s="37" t="b">
        <f>IFERROR(__xludf.DUMMYFUNCTION("if(isblank(A4),,REGEXMATCH(B4,""^((I ?\+ ?(U ?I|I ?U))|((I ?U|U ?I) ?\+ ?I)) *$""))"),FALSE)</f>
        <v>0</v>
      </c>
      <c r="V4" s="37" t="b">
        <f>IFERROR(__xludf.DUMMYFUNCTION("if(isblank(A4),,REGEXMATCH(B4,""^((D ?\+ ?(U ?I|I ?U))|((I ?U|U ?I) ?\+ ?D)) *$""))"),FALSE)</f>
        <v>0</v>
      </c>
      <c r="W4" s="37" t="b">
        <f>IFERROR(__xludf.DUMMYFUNCTION("if(isblank(A4),,REGEXMATCH(B4,""^((U ?\+ ?(U ?I|I ?U))|((I ?U|U ?I) ?\+ ?U)) *$""))"),FALSE)</f>
        <v>0</v>
      </c>
      <c r="X4" s="37" t="b">
        <f>IFERROR(__xludf.DUMMYFUNCTION("if(isblank(A4),,REGEXMATCH(B4,""^((N ?\+ ?(U ?I|I ?U))|((I ?U|U ?I) ?\+ ?N)) *$""))"),FALSE)</f>
        <v>0</v>
      </c>
      <c r="Y4" s="37" t="b">
        <f>IFERROR(__xludf.DUMMYFUNCTION("if(isblank(A4),,REGEXMATCH(B4,""^((I ?\+ ?(U ?D|D ?U))|((D ?U|U ?D) ?\+ ?I)) *$""))"),FALSE)</f>
        <v>0</v>
      </c>
      <c r="Z4" s="37" t="b">
        <f>IFERROR(__xludf.DUMMYFUNCTION("if(isblank(A4),,REGEXMATCH(B4,""^((D ?\+ ?(U ?D|D ?U))|((D ?U|U ?D) ?\+ ?D)) *$""))"),FALSE)</f>
        <v>0</v>
      </c>
      <c r="AA4" s="37" t="b">
        <f>IFERROR(__xludf.DUMMYFUNCTION("if(isblank(A4),,REGEXMATCH(B4,""^((U ?\+ ?(U ?D|D ?U))|((D ?U|U ?D) ?\+ ?U)) *$""))"),FALSE)</f>
        <v>0</v>
      </c>
      <c r="AB4" s="37" t="b">
        <f>IFERROR(__xludf.DUMMYFUNCTION("if(isblank(A4),,REGEXMATCH(B4,""^((D ?I|I ?D) ?\+ ?(D ?I|I ?D)) *$""))"),FALSE)</f>
        <v>0</v>
      </c>
      <c r="AC4" s="37" t="b">
        <f>IFERROR(__xludf.DUMMYFUNCTION("if(isblank(A4),,REGEXMATCH(B4,""^((D ?I|I ?D) ?\+ ?(U ?I|I ?U))|((U ?I|I ?U) ?\+ ?(D ?I|I ?D)) *$""))"),FALSE)</f>
        <v>0</v>
      </c>
      <c r="AD4" s="37" t="b">
        <f>IFERROR(__xludf.DUMMYFUNCTION("if(isblank(A4),,REGEXMATCH(B4,""^I *vs\. I *$""))"),FALSE)</f>
        <v>0</v>
      </c>
      <c r="AE4" s="37" t="b">
        <f>IFERROR(__xludf.DUMMYFUNCTION("if(isblank(A4),,REGEXMATCH(B4,""(^I *vs\. D *$)|(^D *vs\. I *$)""))"),FALSE)</f>
        <v>0</v>
      </c>
      <c r="AF4" s="37" t="b">
        <f>IFERROR(__xludf.DUMMYFUNCTION("if(isblank(A4),,REGEXMATCH(B4,""(^I *vs\. U *$)|(^U *vs\. I *$)""))"),FALSE)</f>
        <v>0</v>
      </c>
      <c r="AG4" s="37" t="b">
        <f>IFERROR(__xludf.DUMMYFUNCTION("if(isblank(A4),,REGEXMATCH(B4,""^D *vs\. D *$""))"),FALSE)</f>
        <v>0</v>
      </c>
      <c r="AH4" s="37" t="b">
        <f>IFERROR(__xludf.DUMMYFUNCTION("if(isblank(A4),,REGEXMATCH(B4,""(^U *vs\. D *$)|(^D *vs\. U *$)""))"),FALSE)</f>
        <v>0</v>
      </c>
      <c r="AI4" s="37" t="b">
        <f>IFERROR(__xludf.DUMMYFUNCTION("if(isblank(A4),,REGEXMATCH(B4,""^U *vs\. U *$""))"),FALSE)</f>
        <v>0</v>
      </c>
      <c r="AJ4" s="37" t="b">
        <f>IFERROR(__xludf.DUMMYFUNCTION("if(isblank(A4),,REGEXMATCH(B4,""^((I ?vs\. ?(D ?I|I ?D))|((D ?I|I ?D) ?vs\. ?I)) *$""))"),FALSE)</f>
        <v>0</v>
      </c>
      <c r="AK4" s="37" t="b">
        <f>IFERROR(__xludf.DUMMYFUNCTION("if(isblank(A4),,REGEXMATCH(B4,""^((D ?vs\. ?(D ?I|I ?D))|((D ?I|I ?D) ?vs\. ?D)) *$""))"),FALSE)</f>
        <v>0</v>
      </c>
      <c r="AL4" s="37" t="b">
        <f>IFERROR(__xludf.DUMMYFUNCTION("if(isblank(A4),,REGEXMATCH(B4,""^((U ?vs\. ?(D ?I|I ?D))|((D ?I|I ?D) ?vs\. ?U)) *$""))"),FALSE)</f>
        <v>0</v>
      </c>
      <c r="AM4" s="37" t="b">
        <f>IFERROR(__xludf.DUMMYFUNCTION("if(isblank(A4),,REGEXMATCH(B4,""^((I ?vs\. ?(U ?I|I ?U))|((U ?I|I ?U) ?vs\. ?I)) *$""))"),FALSE)</f>
        <v>0</v>
      </c>
      <c r="AN4" s="37" t="b">
        <f>IFERROR(__xludf.DUMMYFUNCTION("if(isblank(A4),,REGEXMATCH(B4,""^((D ?vs\. ?(U ?I|I ?U))|((U ?I|I ?U) ?vs\. ?D)) *$""))"),FALSE)</f>
        <v>0</v>
      </c>
      <c r="AO4" s="37" t="b">
        <f>IFERROR(__xludf.DUMMYFUNCTION("if(isblank(A4),,REGEXMATCH(B4,""^((U ?vs\. ?(U ?I|I ?U))|((U ?I|I ?U) ?vs\. ?U)) *$""))"),FALSE)</f>
        <v>0</v>
      </c>
      <c r="AP4" s="37" t="b">
        <f>IFERROR(__xludf.DUMMYFUNCTION("if(isblank(A4),,REGEXMATCH(B4,""^((I ?vs\. ?(U ?D|D ?U))|((D ?U|U ?D) ?vs\. ?I)) *$""))"),FALSE)</f>
        <v>0</v>
      </c>
      <c r="AQ4" s="37" t="b">
        <f>IFERROR(__xludf.DUMMYFUNCTION("if(isblank(A4),,REGEXMATCH(B4,""^((D ?vs\. ?(U ?D|D ?U))|((D ?U|U ?D) ?vs\. ?D)) *$""))"),FALSE)</f>
        <v>0</v>
      </c>
      <c r="AR4" s="37" t="b">
        <f>IFERROR(__xludf.DUMMYFUNCTION("if(isblank(A4),,REGEXMATCH(B4,""^((U ?vs\. ?(U ?D|D ?U))|((D ?U|U ?D) ?vs\. ?U)) *$""))"),FALSE)</f>
        <v>0</v>
      </c>
      <c r="AS4" s="37" t="b">
        <f>IFERROR(__xludf.DUMMYFUNCTION("if(isblank(A4),,REGEXMATCH(B4,""^((D ?I|I ?D) ?vs\. ?(D ?I|I ?D)) *$""))"),FALSE)</f>
        <v>0</v>
      </c>
      <c r="AT4" s="37" t="b">
        <f>IFERROR(__xludf.DUMMYFUNCTION("if(isblank(A4),,REGEXMATCH(B4,""^((D ?I|I ?D) ?vs\. ?(U ?I|I ?U))|((U ?I|I ?U) ?vs\. ?(D ?I|I ?D)) *$""))"),FALSE)</f>
        <v>0</v>
      </c>
      <c r="AU4" s="37" t="b">
        <f>IFERROR(__xludf.DUMMYFUNCTION("if(isblank(A4),,REGEXMATCH(B4,""^((D ?I|I ?D) ?vs\. ?(U ?D|D ?U))|((U ?D|D ?U) ?vs\. ?(D ?I|I ?D)) *$""))"),FALSE)</f>
        <v>0</v>
      </c>
      <c r="AV4" s="37" t="b">
        <f>IFERROR(__xludf.DUMMYFUNCTION("if(isblank(A4),,REGEXMATCH(B4,""^((U ?I|I ?U) ?vs\. ?(U ?I|I ?U)) *$""))"),FALSE)</f>
        <v>0</v>
      </c>
    </row>
    <row r="5" ht="26.25" customHeight="1">
      <c r="A5" s="79" t="str">
        <f>Paper_Textual_Conflict!M5</f>
        <v>U vs. D (file)</v>
      </c>
      <c r="B5" s="37" t="str">
        <f>IFERROR(__xludf.DUMMYFUNCTION("if(isblank(A5),,regexextract(REGEXEXTRACT(A5,""^.*""),""^[^(]*""))"),"U vs. D ")</f>
        <v>U vs. D </v>
      </c>
      <c r="C5" s="37" t="b">
        <f>IFERROR(__xludf.DUMMYFUNCTION("if(isblank(A5),,REGEXMATCH(B5,"".*\+.*"") )"),FALSE)</f>
        <v>0</v>
      </c>
      <c r="D5" s="37" t="b">
        <f>IFERROR(__xludf.DUMMYFUNCTION("if(isblank(A5),,REGEXMATCH(B5,"".*vs.*"") )"),TRUE)</f>
        <v>1</v>
      </c>
      <c r="E5" s="37" t="b">
        <f>Paper_Textual_Conflict!H5</f>
        <v>1</v>
      </c>
      <c r="F5" s="37" t="str">
        <f>Paper_Textual_Conflict!Q5</f>
        <v>Java</v>
      </c>
      <c r="G5" s="33">
        <v>5.0</v>
      </c>
      <c r="H5" s="37" t="b">
        <f>IFERROR(__xludf.DUMMYFUNCTION("if(isblank(A5),,REGEXMATCH(B5,""^I *\+ I *$""))"),FALSE)</f>
        <v>0</v>
      </c>
      <c r="I5" s="37" t="b">
        <f>IFERROR(__xludf.DUMMYFUNCTION("if(isblank(A5),,REGEXMATCH(B5,""(^I *\+ D *$)|(^D *\+ I *$)""))"),FALSE)</f>
        <v>0</v>
      </c>
      <c r="J5" s="37" t="b">
        <f>IFERROR(__xludf.DUMMYFUNCTION("if(isblank(A5),,REGEXMATCH(B5,""(^I *\+ U *$)|(^U *\+ I *$)""))"),FALSE)</f>
        <v>0</v>
      </c>
      <c r="K5" s="37" t="b">
        <f>IFERROR(__xludf.DUMMYFUNCTION("if(isblank(A5),,REGEXMATCH(B5,""(^I *\+ N *$)|(^N *\+ I *$)"") )"),FALSE)</f>
        <v>0</v>
      </c>
      <c r="L5" s="37" t="b">
        <f>IFERROR(__xludf.DUMMYFUNCTION("if(isblank(A5),,REGEXMATCH(B5,""^D *\+ D *$""))"),FALSE)</f>
        <v>0</v>
      </c>
      <c r="M5" s="37" t="b">
        <f>IFERROR(__xludf.DUMMYFUNCTION("if(isblank(A5),,REGEXMATCH(B5,""(^U *\+ D *$)|(^D *\+ U *$)""))"),FALSE)</f>
        <v>0</v>
      </c>
      <c r="N5" s="37" t="b">
        <f>IFERROR(__xludf.DUMMYFUNCTION("if(isblank(A5),,REGEXMATCH(B5,""(^N *\+ D *$)|(^D *\+ N *$)""))"),FALSE)</f>
        <v>0</v>
      </c>
      <c r="O5" s="37" t="b">
        <f>IFERROR(__xludf.DUMMYFUNCTION("if(isblank(A5),,REGEXMATCH(B5,""^U *\+ U *$""))"),FALSE)</f>
        <v>0</v>
      </c>
      <c r="P5" s="37" t="b">
        <f>IFERROR(__xludf.DUMMYFUNCTION("if(isblank(A5),,REGEXMATCH(B5,""(^U *\+ N *$)|(^N *\+ U *$)""))"),FALSE)</f>
        <v>0</v>
      </c>
      <c r="Q5" s="37" t="b">
        <f>IFERROR(__xludf.DUMMYFUNCTION("if(isblank(A5),,REGEXMATCH(B5,""^((I ?\+ ?(D ?I|I ?D))|((D ?I|I ?D) ?\+ ?I)) *$""))"),FALSE)</f>
        <v>0</v>
      </c>
      <c r="R5" s="37" t="b">
        <f>IFERROR(__xludf.DUMMYFUNCTION("if(isblank(A5),,REGEXMATCH(B5,""^((D ?\+ ?(D ?I|I ?D))|((D ?I|I ?D) ?\+ ?D)) *$""))"),FALSE)</f>
        <v>0</v>
      </c>
      <c r="S5" s="37" t="b">
        <f>IFERROR(__xludf.DUMMYFUNCTION("if(isblank(A5),,REGEXMATCH(B5,""^((U ?\+ ?(D ?I|I ?D))|((D ?I|I ?D) ?\+ ?U)) *$""))"),FALSE)</f>
        <v>0</v>
      </c>
      <c r="T5" s="37" t="b">
        <f>IFERROR(__xludf.DUMMYFUNCTION("if(isblank(A5),,REGEXMATCH(B5,""^((N ?\+ ?(D ?I|I ?D))|((D ?I|I ?D) ?\+ ?N)) *$""))"),FALSE)</f>
        <v>0</v>
      </c>
      <c r="U5" s="37" t="b">
        <f>IFERROR(__xludf.DUMMYFUNCTION("if(isblank(A5),,REGEXMATCH(B5,""^((I ?\+ ?(U ?I|I ?U))|((I ?U|U ?I) ?\+ ?I)) *$""))"),FALSE)</f>
        <v>0</v>
      </c>
      <c r="V5" s="37" t="b">
        <f>IFERROR(__xludf.DUMMYFUNCTION("if(isblank(A5),,REGEXMATCH(B5,""^((D ?\+ ?(U ?I|I ?U))|((I ?U|U ?I) ?\+ ?D)) *$""))"),FALSE)</f>
        <v>0</v>
      </c>
      <c r="W5" s="37" t="b">
        <f>IFERROR(__xludf.DUMMYFUNCTION("if(isblank(A5),,REGEXMATCH(B5,""^((U ?\+ ?(U ?I|I ?U))|((I ?U|U ?I) ?\+ ?U)) *$""))"),FALSE)</f>
        <v>0</v>
      </c>
      <c r="X5" s="37" t="b">
        <f>IFERROR(__xludf.DUMMYFUNCTION("if(isblank(A5),,REGEXMATCH(B5,""^((N ?\+ ?(U ?I|I ?U))|((I ?U|U ?I) ?\+ ?N)) *$""))"),FALSE)</f>
        <v>0</v>
      </c>
      <c r="Y5" s="37" t="b">
        <f>IFERROR(__xludf.DUMMYFUNCTION("if(isblank(A5),,REGEXMATCH(B5,""^((I ?\+ ?(U ?D|D ?U))|((D ?U|U ?D) ?\+ ?I)) *$""))"),FALSE)</f>
        <v>0</v>
      </c>
      <c r="Z5" s="37" t="b">
        <f>IFERROR(__xludf.DUMMYFUNCTION("if(isblank(A5),,REGEXMATCH(B5,""^((D ?\+ ?(U ?D|D ?U))|((D ?U|U ?D) ?\+ ?D)) *$""))"),FALSE)</f>
        <v>0</v>
      </c>
      <c r="AA5" s="37" t="b">
        <f>IFERROR(__xludf.DUMMYFUNCTION("if(isblank(A5),,REGEXMATCH(B5,""^((U ?\+ ?(U ?D|D ?U))|((D ?U|U ?D) ?\+ ?U)) *$""))"),FALSE)</f>
        <v>0</v>
      </c>
      <c r="AB5" s="37" t="b">
        <f>IFERROR(__xludf.DUMMYFUNCTION("if(isblank(A5),,REGEXMATCH(B5,""^((D ?I|I ?D) ?\+ ?(D ?I|I ?D)) *$""))"),FALSE)</f>
        <v>0</v>
      </c>
      <c r="AC5" s="37" t="b">
        <f>IFERROR(__xludf.DUMMYFUNCTION("if(isblank(A5),,REGEXMATCH(B5,""^((D ?I|I ?D) ?\+ ?(U ?I|I ?U))|((U ?I|I ?U) ?\+ ?(D ?I|I ?D)) *$""))"),FALSE)</f>
        <v>0</v>
      </c>
      <c r="AD5" s="37" t="b">
        <f>IFERROR(__xludf.DUMMYFUNCTION("if(isblank(A5),,REGEXMATCH(B5,""^I *vs\. I *$""))"),FALSE)</f>
        <v>0</v>
      </c>
      <c r="AE5" s="37" t="b">
        <f>IFERROR(__xludf.DUMMYFUNCTION("if(isblank(A5),,REGEXMATCH(B5,""(^I *vs\. D *$)|(^D *vs\. I *$)""))"),FALSE)</f>
        <v>0</v>
      </c>
      <c r="AF5" s="37" t="b">
        <f>IFERROR(__xludf.DUMMYFUNCTION("if(isblank(A5),,REGEXMATCH(B5,""(^I *vs\. U *$)|(^U *vs\. I *$)""))"),FALSE)</f>
        <v>0</v>
      </c>
      <c r="AG5" s="37" t="b">
        <f>IFERROR(__xludf.DUMMYFUNCTION("if(isblank(A5),,REGEXMATCH(B5,""^D *vs\. D *$""))"),FALSE)</f>
        <v>0</v>
      </c>
      <c r="AH5" s="37" t="b">
        <f>IFERROR(__xludf.DUMMYFUNCTION("if(isblank(A5),,REGEXMATCH(B5,""(^U *vs\. D *$)|(^D *vs\. U *$)""))"),TRUE)</f>
        <v>1</v>
      </c>
      <c r="AI5" s="37" t="b">
        <f>IFERROR(__xludf.DUMMYFUNCTION("if(isblank(A5),,REGEXMATCH(B5,""^U *vs\. U *$""))"),FALSE)</f>
        <v>0</v>
      </c>
      <c r="AJ5" s="37" t="b">
        <f>IFERROR(__xludf.DUMMYFUNCTION("if(isblank(A5),,REGEXMATCH(B5,""^((I ?vs\. ?(D ?I|I ?D))|((D ?I|I ?D) ?vs\. ?I)) *$""))"),FALSE)</f>
        <v>0</v>
      </c>
      <c r="AK5" s="37" t="b">
        <f>IFERROR(__xludf.DUMMYFUNCTION("if(isblank(A5),,REGEXMATCH(B5,""^((D ?vs\. ?(D ?I|I ?D))|((D ?I|I ?D) ?vs\. ?D)) *$""))"),FALSE)</f>
        <v>0</v>
      </c>
      <c r="AL5" s="37" t="b">
        <f>IFERROR(__xludf.DUMMYFUNCTION("if(isblank(A5),,REGEXMATCH(B5,""^((U ?vs\. ?(D ?I|I ?D))|((D ?I|I ?D) ?vs\. ?U)) *$""))"),FALSE)</f>
        <v>0</v>
      </c>
      <c r="AM5" s="37" t="b">
        <f>IFERROR(__xludf.DUMMYFUNCTION("if(isblank(A5),,REGEXMATCH(B5,""^((I ?vs\. ?(U ?I|I ?U))|((U ?I|I ?U) ?vs\. ?I)) *$""))"),FALSE)</f>
        <v>0</v>
      </c>
      <c r="AN5" s="37" t="b">
        <f>IFERROR(__xludf.DUMMYFUNCTION("if(isblank(A5),,REGEXMATCH(B5,""^((D ?vs\. ?(U ?I|I ?U))|((U ?I|I ?U) ?vs\. ?D)) *$""))"),FALSE)</f>
        <v>0</v>
      </c>
      <c r="AO5" s="37" t="b">
        <f>IFERROR(__xludf.DUMMYFUNCTION("if(isblank(A5),,REGEXMATCH(B5,""^((U ?vs\. ?(U ?I|I ?U))|((U ?I|I ?U) ?vs\. ?U)) *$""))"),FALSE)</f>
        <v>0</v>
      </c>
      <c r="AP5" s="37" t="b">
        <f>IFERROR(__xludf.DUMMYFUNCTION("if(isblank(A5),,REGEXMATCH(B5,""^((I ?vs\. ?(U ?D|D ?U))|((D ?U|U ?D) ?vs\. ?I)) *$""))"),FALSE)</f>
        <v>0</v>
      </c>
      <c r="AQ5" s="37" t="b">
        <f>IFERROR(__xludf.DUMMYFUNCTION("if(isblank(A5),,REGEXMATCH(B5,""^((D ?vs\. ?(U ?D|D ?U))|((D ?U|U ?D) ?vs\. ?D)) *$""))"),FALSE)</f>
        <v>0</v>
      </c>
      <c r="AR5" s="37" t="b">
        <f>IFERROR(__xludf.DUMMYFUNCTION("if(isblank(A5),,REGEXMATCH(B5,""^((U ?vs\. ?(U ?D|D ?U))|((D ?U|U ?D) ?vs\. ?U)) *$""))"),FALSE)</f>
        <v>0</v>
      </c>
      <c r="AS5" s="37" t="b">
        <f>IFERROR(__xludf.DUMMYFUNCTION("if(isblank(A5),,REGEXMATCH(B5,""^((D ?I|I ?D) ?vs\. ?(D ?I|I ?D)) *$""))"),FALSE)</f>
        <v>0</v>
      </c>
      <c r="AT5" s="37" t="b">
        <f>IFERROR(__xludf.DUMMYFUNCTION("if(isblank(A5),,REGEXMATCH(B5,""^((D ?I|I ?D) ?vs\. ?(U ?I|I ?U))|((U ?I|I ?U) ?vs\. ?(D ?I|I ?D)) *$""))"),FALSE)</f>
        <v>0</v>
      </c>
      <c r="AU5" s="37" t="b">
        <f>IFERROR(__xludf.DUMMYFUNCTION("if(isblank(A5),,REGEXMATCH(B5,""^((D ?I|I ?D) ?vs\. ?(U ?D|D ?U))|((U ?D|D ?U) ?vs\. ?(D ?I|I ?D)) *$""))"),FALSE)</f>
        <v>0</v>
      </c>
      <c r="AV5" s="37" t="b">
        <f>IFERROR(__xludf.DUMMYFUNCTION("if(isblank(A5),,REGEXMATCH(B5,""^((U ?I|I ?U) ?vs\. ?(U ?I|I ?U)) *$""))"),FALSE)</f>
        <v>0</v>
      </c>
    </row>
    <row r="6" ht="26.25" customHeight="1">
      <c r="A6" s="79" t="str">
        <f>Paper_Textual_Conflict!M6</f>
        <v>U I + U (Java code)
Origin (U + U)</v>
      </c>
      <c r="B6" s="37" t="str">
        <f>IFERROR(__xludf.DUMMYFUNCTION("if(isblank(A6),,regexextract(REGEXEXTRACT(A6,""^.*""),""^[^(]*""))"),"U I + U ")</f>
        <v>U I + U </v>
      </c>
      <c r="C6" s="37" t="b">
        <f>IFERROR(__xludf.DUMMYFUNCTION("if(isblank(A6),,REGEXMATCH(B6,"".*\+.*"") )"),TRUE)</f>
        <v>1</v>
      </c>
      <c r="D6" s="37" t="b">
        <f>IFERROR(__xludf.DUMMYFUNCTION("if(isblank(A6),,REGEXMATCH(B6,"".*vs.*"") )"),FALSE)</f>
        <v>0</v>
      </c>
      <c r="E6" s="37" t="b">
        <f>Paper_Textual_Conflict!H6</f>
        <v>0</v>
      </c>
      <c r="F6" s="37" t="str">
        <f>Paper_Textual_Conflict!Q6</f>
        <v>Java</v>
      </c>
      <c r="G6" s="33">
        <v>6.0</v>
      </c>
      <c r="H6" s="37" t="b">
        <f>IFERROR(__xludf.DUMMYFUNCTION("if(isblank(A6),,REGEXMATCH(B6,""^I *\+ I *$""))"),FALSE)</f>
        <v>0</v>
      </c>
      <c r="I6" s="37" t="b">
        <f>IFERROR(__xludf.DUMMYFUNCTION("if(isblank(A6),,REGEXMATCH(B6,""(^I *\+ D *$)|(^D *\+ I *$)""))"),FALSE)</f>
        <v>0</v>
      </c>
      <c r="J6" s="37" t="b">
        <f>IFERROR(__xludf.DUMMYFUNCTION("if(isblank(A6),,REGEXMATCH(B6,""(^I *\+ U *$)|(^U *\+ I *$)""))"),FALSE)</f>
        <v>0</v>
      </c>
      <c r="K6" s="37" t="b">
        <f>IFERROR(__xludf.DUMMYFUNCTION("if(isblank(A6),,REGEXMATCH(B6,""(^I *\+ N *$)|(^N *\+ I *$)"") )"),FALSE)</f>
        <v>0</v>
      </c>
      <c r="L6" s="37" t="b">
        <f>IFERROR(__xludf.DUMMYFUNCTION("if(isblank(A6),,REGEXMATCH(B6,""^D *\+ D *$""))"),FALSE)</f>
        <v>0</v>
      </c>
      <c r="M6" s="37" t="b">
        <f>IFERROR(__xludf.DUMMYFUNCTION("if(isblank(A6),,REGEXMATCH(B6,""(^U *\+ D *$)|(^D *\+ U *$)""))"),FALSE)</f>
        <v>0</v>
      </c>
      <c r="N6" s="37" t="b">
        <f>IFERROR(__xludf.DUMMYFUNCTION("if(isblank(A6),,REGEXMATCH(B6,""(^N *\+ D *$)|(^D *\+ N *$)""))"),FALSE)</f>
        <v>0</v>
      </c>
      <c r="O6" s="37" t="b">
        <f>IFERROR(__xludf.DUMMYFUNCTION("if(isblank(A6),,REGEXMATCH(B6,""^U *\+ U *$""))"),FALSE)</f>
        <v>0</v>
      </c>
      <c r="P6" s="37" t="b">
        <f>IFERROR(__xludf.DUMMYFUNCTION("if(isblank(A6),,REGEXMATCH(B6,""(^U *\+ N *$)|(^N *\+ U *$)""))"),FALSE)</f>
        <v>0</v>
      </c>
      <c r="Q6" s="37" t="b">
        <f>IFERROR(__xludf.DUMMYFUNCTION("if(isblank(A6),,REGEXMATCH(B6,""^((I ?\+ ?(D ?I|I ?D))|((D ?I|I ?D) ?\+ ?I)) *$""))"),FALSE)</f>
        <v>0</v>
      </c>
      <c r="R6" s="37" t="b">
        <f>IFERROR(__xludf.DUMMYFUNCTION("if(isblank(A6),,REGEXMATCH(B6,""^((D ?\+ ?(D ?I|I ?D))|((D ?I|I ?D) ?\+ ?D)) *$""))"),FALSE)</f>
        <v>0</v>
      </c>
      <c r="S6" s="37" t="b">
        <f>IFERROR(__xludf.DUMMYFUNCTION("if(isblank(A6),,REGEXMATCH(B6,""^((U ?\+ ?(D ?I|I ?D))|((D ?I|I ?D) ?\+ ?U)) *$""))"),FALSE)</f>
        <v>0</v>
      </c>
      <c r="T6" s="37" t="b">
        <f>IFERROR(__xludf.DUMMYFUNCTION("if(isblank(A6),,REGEXMATCH(B6,""^((N ?\+ ?(D ?I|I ?D))|((D ?I|I ?D) ?\+ ?N)) *$""))"),FALSE)</f>
        <v>0</v>
      </c>
      <c r="U6" s="37" t="b">
        <f>IFERROR(__xludf.DUMMYFUNCTION("if(isblank(A6),,REGEXMATCH(B6,""^((I ?\+ ?(U ?I|I ?U))|((I ?U|U ?I) ?\+ ?I)) *$""))"),FALSE)</f>
        <v>0</v>
      </c>
      <c r="V6" s="37" t="b">
        <f>IFERROR(__xludf.DUMMYFUNCTION("if(isblank(A6),,REGEXMATCH(B6,""^((D ?\+ ?(U ?I|I ?U))|((I ?U|U ?I) ?\+ ?D)) *$""))"),FALSE)</f>
        <v>0</v>
      </c>
      <c r="W6" s="37" t="b">
        <f>IFERROR(__xludf.DUMMYFUNCTION("if(isblank(A6),,REGEXMATCH(B6,""^((U ?\+ ?(U ?I|I ?U))|((I ?U|U ?I) ?\+ ?U)) *$""))"),TRUE)</f>
        <v>1</v>
      </c>
      <c r="X6" s="37" t="b">
        <f>IFERROR(__xludf.DUMMYFUNCTION("if(isblank(A6),,REGEXMATCH(B6,""^((N ?\+ ?(U ?I|I ?U))|((I ?U|U ?I) ?\+ ?N)) *$""))"),FALSE)</f>
        <v>0</v>
      </c>
      <c r="Y6" s="37" t="b">
        <f>IFERROR(__xludf.DUMMYFUNCTION("if(isblank(A6),,REGEXMATCH(B6,""^((I ?\+ ?(U ?D|D ?U))|((D ?U|U ?D) ?\+ ?I)) *$""))"),FALSE)</f>
        <v>0</v>
      </c>
      <c r="Z6" s="37" t="b">
        <f>IFERROR(__xludf.DUMMYFUNCTION("if(isblank(A6),,REGEXMATCH(B6,""^((D ?\+ ?(U ?D|D ?U))|((D ?U|U ?D) ?\+ ?D)) *$""))"),FALSE)</f>
        <v>0</v>
      </c>
      <c r="AA6" s="37" t="b">
        <f>IFERROR(__xludf.DUMMYFUNCTION("if(isblank(A6),,REGEXMATCH(B6,""^((U ?\+ ?(U ?D|D ?U))|((D ?U|U ?D) ?\+ ?U)) *$""))"),FALSE)</f>
        <v>0</v>
      </c>
      <c r="AB6" s="37" t="b">
        <f>IFERROR(__xludf.DUMMYFUNCTION("if(isblank(A6),,REGEXMATCH(B6,""^((D ?I|I ?D) ?\+ ?(D ?I|I ?D)) *$""))"),FALSE)</f>
        <v>0</v>
      </c>
      <c r="AC6" s="37" t="b">
        <f>IFERROR(__xludf.DUMMYFUNCTION("if(isblank(A6),,REGEXMATCH(B6,""^((D ?I|I ?D) ?\+ ?(U ?I|I ?U))|((U ?I|I ?U) ?\+ ?(D ?I|I ?D)) *$""))"),FALSE)</f>
        <v>0</v>
      </c>
      <c r="AD6" s="37" t="b">
        <f>IFERROR(__xludf.DUMMYFUNCTION("if(isblank(A6),,REGEXMATCH(B6,""^I *vs\. I *$""))"),FALSE)</f>
        <v>0</v>
      </c>
      <c r="AE6" s="37" t="b">
        <f>IFERROR(__xludf.DUMMYFUNCTION("if(isblank(A6),,REGEXMATCH(B6,""(^I *vs\. D *$)|(^D *vs\. I *$)""))"),FALSE)</f>
        <v>0</v>
      </c>
      <c r="AF6" s="37" t="b">
        <f>IFERROR(__xludf.DUMMYFUNCTION("if(isblank(A6),,REGEXMATCH(B6,""(^I *vs\. U *$)|(^U *vs\. I *$)""))"),FALSE)</f>
        <v>0</v>
      </c>
      <c r="AG6" s="37" t="b">
        <f>IFERROR(__xludf.DUMMYFUNCTION("if(isblank(A6),,REGEXMATCH(B6,""^D *vs\. D *$""))"),FALSE)</f>
        <v>0</v>
      </c>
      <c r="AH6" s="37" t="b">
        <f>IFERROR(__xludf.DUMMYFUNCTION("if(isblank(A6),,REGEXMATCH(B6,""(^U *vs\. D *$)|(^D *vs\. U *$)""))"),FALSE)</f>
        <v>0</v>
      </c>
      <c r="AI6" s="37" t="b">
        <f>IFERROR(__xludf.DUMMYFUNCTION("if(isblank(A6),,REGEXMATCH(B6,""^U *vs\. U *$""))"),FALSE)</f>
        <v>0</v>
      </c>
      <c r="AJ6" s="37" t="b">
        <f>IFERROR(__xludf.DUMMYFUNCTION("if(isblank(A6),,REGEXMATCH(B6,""^((I ?vs\. ?(D ?I|I ?D))|((D ?I|I ?D) ?vs\. ?I)) *$""))"),FALSE)</f>
        <v>0</v>
      </c>
      <c r="AK6" s="37" t="b">
        <f>IFERROR(__xludf.DUMMYFUNCTION("if(isblank(A6),,REGEXMATCH(B6,""^((D ?vs\. ?(D ?I|I ?D))|((D ?I|I ?D) ?vs\. ?D)) *$""))"),FALSE)</f>
        <v>0</v>
      </c>
      <c r="AL6" s="37" t="b">
        <f>IFERROR(__xludf.DUMMYFUNCTION("if(isblank(A6),,REGEXMATCH(B6,""^((U ?vs\. ?(D ?I|I ?D))|((D ?I|I ?D) ?vs\. ?U)) *$""))"),FALSE)</f>
        <v>0</v>
      </c>
      <c r="AM6" s="37" t="b">
        <f>IFERROR(__xludf.DUMMYFUNCTION("if(isblank(A6),,REGEXMATCH(B6,""^((I ?vs\. ?(U ?I|I ?U))|((U ?I|I ?U) ?vs\. ?I)) *$""))"),FALSE)</f>
        <v>0</v>
      </c>
      <c r="AN6" s="37" t="b">
        <f>IFERROR(__xludf.DUMMYFUNCTION("if(isblank(A6),,REGEXMATCH(B6,""^((D ?vs\. ?(U ?I|I ?U))|((U ?I|I ?U) ?vs\. ?D)) *$""))"),FALSE)</f>
        <v>0</v>
      </c>
      <c r="AO6" s="37" t="b">
        <f>IFERROR(__xludf.DUMMYFUNCTION("if(isblank(A6),,REGEXMATCH(B6,""^((U ?vs\. ?(U ?I|I ?U))|((U ?I|I ?U) ?vs\. ?U)) *$""))"),FALSE)</f>
        <v>0</v>
      </c>
      <c r="AP6" s="37" t="b">
        <f>IFERROR(__xludf.DUMMYFUNCTION("if(isblank(A6),,REGEXMATCH(B6,""^((I ?vs\. ?(U ?D|D ?U))|((D ?U|U ?D) ?vs\. ?I)) *$""))"),FALSE)</f>
        <v>0</v>
      </c>
      <c r="AQ6" s="37" t="b">
        <f>IFERROR(__xludf.DUMMYFUNCTION("if(isblank(A6),,REGEXMATCH(B6,""^((D ?vs\. ?(U ?D|D ?U))|((D ?U|U ?D) ?vs\. ?D)) *$""))"),FALSE)</f>
        <v>0</v>
      </c>
      <c r="AR6" s="37" t="b">
        <f>IFERROR(__xludf.DUMMYFUNCTION("if(isblank(A6),,REGEXMATCH(B6,""^((U ?vs\. ?(U ?D|D ?U))|((D ?U|U ?D) ?vs\. ?U)) *$""))"),FALSE)</f>
        <v>0</v>
      </c>
      <c r="AS6" s="37" t="b">
        <f>IFERROR(__xludf.DUMMYFUNCTION("if(isblank(A6),,REGEXMATCH(B6,""^((D ?I|I ?D) ?vs\. ?(D ?I|I ?D)) *$""))"),FALSE)</f>
        <v>0</v>
      </c>
      <c r="AT6" s="37" t="b">
        <f>IFERROR(__xludf.DUMMYFUNCTION("if(isblank(A6),,REGEXMATCH(B6,""^((D ?I|I ?D) ?vs\. ?(U ?I|I ?U))|((U ?I|I ?U) ?vs\. ?(D ?I|I ?D)) *$""))"),FALSE)</f>
        <v>0</v>
      </c>
      <c r="AU6" s="37" t="b">
        <f>IFERROR(__xludf.DUMMYFUNCTION("if(isblank(A6),,REGEXMATCH(B6,""^((D ?I|I ?D) ?vs\. ?(U ?D|D ?U))|((U ?D|D ?U) ?vs\. ?(D ?I|I ?D)) *$""))"),FALSE)</f>
        <v>0</v>
      </c>
      <c r="AV6" s="37" t="b">
        <f>IFERROR(__xludf.DUMMYFUNCTION("if(isblank(A6),,REGEXMATCH(B6,""^((U ?I|I ?U) ?vs\. ?(U ?I|I ?U)) *$""))"),FALSE)</f>
        <v>0</v>
      </c>
    </row>
    <row r="7" ht="26.25" customHeight="1">
      <c r="A7" s="79" t="str">
        <f>Paper_Textual_Conflict!M7</f>
        <v>D I + U I(Java code)
Origin(U + U I)</v>
      </c>
      <c r="B7" s="37" t="str">
        <f>IFERROR(__xludf.DUMMYFUNCTION("if(isblank(A7),,regexextract(REGEXEXTRACT(A7,""^.*""),""^[^(]*""))"),"D I + U I")</f>
        <v>D I + U I</v>
      </c>
      <c r="C7" s="37" t="b">
        <f>IFERROR(__xludf.DUMMYFUNCTION("if(isblank(A7),,REGEXMATCH(B7,"".*\+.*"") )"),TRUE)</f>
        <v>1</v>
      </c>
      <c r="D7" s="37" t="b">
        <f>IFERROR(__xludf.DUMMYFUNCTION("if(isblank(A7),,REGEXMATCH(B7,"".*vs.*"") )"),FALSE)</f>
        <v>0</v>
      </c>
      <c r="E7" s="37" t="b">
        <f>Paper_Textual_Conflict!H7</f>
        <v>0</v>
      </c>
      <c r="F7" s="37" t="str">
        <f>Paper_Textual_Conflict!Q7</f>
        <v>Java</v>
      </c>
      <c r="G7" s="33">
        <v>7.0</v>
      </c>
      <c r="H7" s="37" t="b">
        <f>IFERROR(__xludf.DUMMYFUNCTION("if(isblank(A7),,REGEXMATCH(B7,""^I *\+ I *$""))"),FALSE)</f>
        <v>0</v>
      </c>
      <c r="I7" s="37" t="b">
        <f>IFERROR(__xludf.DUMMYFUNCTION("if(isblank(A7),,REGEXMATCH(B7,""(^I *\+ D *$)|(^D *\+ I *$)""))"),FALSE)</f>
        <v>0</v>
      </c>
      <c r="J7" s="37" t="b">
        <f>IFERROR(__xludf.DUMMYFUNCTION("if(isblank(A7),,REGEXMATCH(B7,""(^I *\+ U *$)|(^U *\+ I *$)""))"),FALSE)</f>
        <v>0</v>
      </c>
      <c r="K7" s="37" t="b">
        <f>IFERROR(__xludf.DUMMYFUNCTION("if(isblank(A7),,REGEXMATCH(B7,""(^I *\+ N *$)|(^N *\+ I *$)"") )"),FALSE)</f>
        <v>0</v>
      </c>
      <c r="L7" s="37" t="b">
        <f>IFERROR(__xludf.DUMMYFUNCTION("if(isblank(A7),,REGEXMATCH(B7,""^D *\+ D *$""))"),FALSE)</f>
        <v>0</v>
      </c>
      <c r="M7" s="37" t="b">
        <f>IFERROR(__xludf.DUMMYFUNCTION("if(isblank(A7),,REGEXMATCH(B7,""(^U *\+ D *$)|(^D *\+ U *$)""))"),FALSE)</f>
        <v>0</v>
      </c>
      <c r="N7" s="37" t="b">
        <f>IFERROR(__xludf.DUMMYFUNCTION("if(isblank(A7),,REGEXMATCH(B7,""(^N *\+ D *$)|(^D *\+ N *$)""))"),FALSE)</f>
        <v>0</v>
      </c>
      <c r="O7" s="37" t="b">
        <f>IFERROR(__xludf.DUMMYFUNCTION("if(isblank(A7),,REGEXMATCH(B7,""^U *\+ U *$""))"),FALSE)</f>
        <v>0</v>
      </c>
      <c r="P7" s="37" t="b">
        <f>IFERROR(__xludf.DUMMYFUNCTION("if(isblank(A7),,REGEXMATCH(B7,""(^U *\+ N *$)|(^N *\+ U *$)""))"),FALSE)</f>
        <v>0</v>
      </c>
      <c r="Q7" s="37" t="b">
        <f>IFERROR(__xludf.DUMMYFUNCTION("if(isblank(A7),,REGEXMATCH(B7,""^((I ?\+ ?(D ?I|I ?D))|((D ?I|I ?D) ?\+ ?I)) *$""))"),FALSE)</f>
        <v>0</v>
      </c>
      <c r="R7" s="37" t="b">
        <f>IFERROR(__xludf.DUMMYFUNCTION("if(isblank(A7),,REGEXMATCH(B7,""^((D ?\+ ?(D ?I|I ?D))|((D ?I|I ?D) ?\+ ?D)) *$""))"),FALSE)</f>
        <v>0</v>
      </c>
      <c r="S7" s="37" t="b">
        <f>IFERROR(__xludf.DUMMYFUNCTION("if(isblank(A7),,REGEXMATCH(B7,""^((U ?\+ ?(D ?I|I ?D))|((D ?I|I ?D) ?\+ ?U)) *$""))"),FALSE)</f>
        <v>0</v>
      </c>
      <c r="T7" s="37" t="b">
        <f>IFERROR(__xludf.DUMMYFUNCTION("if(isblank(A7),,REGEXMATCH(B7,""^((N ?\+ ?(D ?I|I ?D))|((D ?I|I ?D) ?\+ ?N)) *$""))"),FALSE)</f>
        <v>0</v>
      </c>
      <c r="U7" s="37" t="b">
        <f>IFERROR(__xludf.DUMMYFUNCTION("if(isblank(A7),,REGEXMATCH(B7,""^((I ?\+ ?(U ?I|I ?U))|((I ?U|U ?I) ?\+ ?I)) *$""))"),FALSE)</f>
        <v>0</v>
      </c>
      <c r="V7" s="37" t="b">
        <f>IFERROR(__xludf.DUMMYFUNCTION("if(isblank(A7),,REGEXMATCH(B7,""^((D ?\+ ?(U ?I|I ?U))|((I ?U|U ?I) ?\+ ?D)) *$""))"),FALSE)</f>
        <v>0</v>
      </c>
      <c r="W7" s="37" t="b">
        <f>IFERROR(__xludf.DUMMYFUNCTION("if(isblank(A7),,REGEXMATCH(B7,""^((U ?\+ ?(U ?I|I ?U))|((I ?U|U ?I) ?\+ ?U)) *$""))"),FALSE)</f>
        <v>0</v>
      </c>
      <c r="X7" s="37" t="b">
        <f>IFERROR(__xludf.DUMMYFUNCTION("if(isblank(A7),,REGEXMATCH(B7,""^((N ?\+ ?(U ?I|I ?U))|((I ?U|U ?I) ?\+ ?N)) *$""))"),FALSE)</f>
        <v>0</v>
      </c>
      <c r="Y7" s="37" t="b">
        <f>IFERROR(__xludf.DUMMYFUNCTION("if(isblank(A7),,REGEXMATCH(B7,""^((I ?\+ ?(U ?D|D ?U))|((D ?U|U ?D) ?\+ ?I)) *$""))"),FALSE)</f>
        <v>0</v>
      </c>
      <c r="Z7" s="37" t="b">
        <f>IFERROR(__xludf.DUMMYFUNCTION("if(isblank(A7),,REGEXMATCH(B7,""^((D ?\+ ?(U ?D|D ?U))|((D ?U|U ?D) ?\+ ?D)) *$""))"),FALSE)</f>
        <v>0</v>
      </c>
      <c r="AA7" s="37" t="b">
        <f>IFERROR(__xludf.DUMMYFUNCTION("if(isblank(A7),,REGEXMATCH(B7,""^((U ?\+ ?(U ?D|D ?U))|((D ?U|U ?D) ?\+ ?U)) *$""))"),FALSE)</f>
        <v>0</v>
      </c>
      <c r="AB7" s="37" t="b">
        <f>IFERROR(__xludf.DUMMYFUNCTION("if(isblank(A7),,REGEXMATCH(B7,""^((D ?I|I ?D) ?\+ ?(D ?I|I ?D)) *$""))"),FALSE)</f>
        <v>0</v>
      </c>
      <c r="AC7" s="37" t="b">
        <f>IFERROR(__xludf.DUMMYFUNCTION("if(isblank(A7),,REGEXMATCH(B7,""^((D ?I|I ?D) ?\+ ?(U ?I|I ?U))|((U ?I|I ?U) ?\+ ?(D ?I|I ?D)) *$""))"),TRUE)</f>
        <v>1</v>
      </c>
      <c r="AD7" s="37" t="b">
        <f>IFERROR(__xludf.DUMMYFUNCTION("if(isblank(A7),,REGEXMATCH(B7,""^I *vs\. I *$""))"),FALSE)</f>
        <v>0</v>
      </c>
      <c r="AE7" s="37" t="b">
        <f>IFERROR(__xludf.DUMMYFUNCTION("if(isblank(A7),,REGEXMATCH(B7,""(^I *vs\. D *$)|(^D *vs\. I *$)""))"),FALSE)</f>
        <v>0</v>
      </c>
      <c r="AF7" s="37" t="b">
        <f>IFERROR(__xludf.DUMMYFUNCTION("if(isblank(A7),,REGEXMATCH(B7,""(^I *vs\. U *$)|(^U *vs\. I *$)""))"),FALSE)</f>
        <v>0</v>
      </c>
      <c r="AG7" s="37" t="b">
        <f>IFERROR(__xludf.DUMMYFUNCTION("if(isblank(A7),,REGEXMATCH(B7,""^D *vs\. D *$""))"),FALSE)</f>
        <v>0</v>
      </c>
      <c r="AH7" s="37" t="b">
        <f>IFERROR(__xludf.DUMMYFUNCTION("if(isblank(A7),,REGEXMATCH(B7,""(^U *vs\. D *$)|(^D *vs\. U *$)""))"),FALSE)</f>
        <v>0</v>
      </c>
      <c r="AI7" s="37" t="b">
        <f>IFERROR(__xludf.DUMMYFUNCTION("if(isblank(A7),,REGEXMATCH(B7,""^U *vs\. U *$""))"),FALSE)</f>
        <v>0</v>
      </c>
      <c r="AJ7" s="37" t="b">
        <f>IFERROR(__xludf.DUMMYFUNCTION("if(isblank(A7),,REGEXMATCH(B7,""^((I ?vs\. ?(D ?I|I ?D))|((D ?I|I ?D) ?vs\. ?I)) *$""))"),FALSE)</f>
        <v>0</v>
      </c>
      <c r="AK7" s="37" t="b">
        <f>IFERROR(__xludf.DUMMYFUNCTION("if(isblank(A7),,REGEXMATCH(B7,""^((D ?vs\. ?(D ?I|I ?D))|((D ?I|I ?D) ?vs\. ?D)) *$""))"),FALSE)</f>
        <v>0</v>
      </c>
      <c r="AL7" s="37" t="b">
        <f>IFERROR(__xludf.DUMMYFUNCTION("if(isblank(A7),,REGEXMATCH(B7,""^((U ?vs\. ?(D ?I|I ?D))|((D ?I|I ?D) ?vs\. ?U)) *$""))"),FALSE)</f>
        <v>0</v>
      </c>
      <c r="AM7" s="37" t="b">
        <f>IFERROR(__xludf.DUMMYFUNCTION("if(isblank(A7),,REGEXMATCH(B7,""^((I ?vs\. ?(U ?I|I ?U))|((U ?I|I ?U) ?vs\. ?I)) *$""))"),FALSE)</f>
        <v>0</v>
      </c>
      <c r="AN7" s="37" t="b">
        <f>IFERROR(__xludf.DUMMYFUNCTION("if(isblank(A7),,REGEXMATCH(B7,""^((D ?vs\. ?(U ?I|I ?U))|((U ?I|I ?U) ?vs\. ?D)) *$""))"),FALSE)</f>
        <v>0</v>
      </c>
      <c r="AO7" s="37" t="b">
        <f>IFERROR(__xludf.DUMMYFUNCTION("if(isblank(A7),,REGEXMATCH(B7,""^((U ?vs\. ?(U ?I|I ?U))|((U ?I|I ?U) ?vs\. ?U)) *$""))"),FALSE)</f>
        <v>0</v>
      </c>
      <c r="AP7" s="37" t="b">
        <f>IFERROR(__xludf.DUMMYFUNCTION("if(isblank(A7),,REGEXMATCH(B7,""^((I ?vs\. ?(U ?D|D ?U))|((D ?U|U ?D) ?vs\. ?I)) *$""))"),FALSE)</f>
        <v>0</v>
      </c>
      <c r="AQ7" s="37" t="b">
        <f>IFERROR(__xludf.DUMMYFUNCTION("if(isblank(A7),,REGEXMATCH(B7,""^((D ?vs\. ?(U ?D|D ?U))|((D ?U|U ?D) ?vs\. ?D)) *$""))"),FALSE)</f>
        <v>0</v>
      </c>
      <c r="AR7" s="37" t="b">
        <f>IFERROR(__xludf.DUMMYFUNCTION("if(isblank(A7),,REGEXMATCH(B7,""^((U ?vs\. ?(U ?D|D ?U))|((D ?U|U ?D) ?vs\. ?U)) *$""))"),FALSE)</f>
        <v>0</v>
      </c>
      <c r="AS7" s="37" t="b">
        <f>IFERROR(__xludf.DUMMYFUNCTION("if(isblank(A7),,REGEXMATCH(B7,""^((D ?I|I ?D) ?vs\. ?(D ?I|I ?D)) *$""))"),FALSE)</f>
        <v>0</v>
      </c>
      <c r="AT7" s="37" t="b">
        <f>IFERROR(__xludf.DUMMYFUNCTION("if(isblank(A7),,REGEXMATCH(B7,""^((D ?I|I ?D) ?vs\. ?(U ?I|I ?U))|((U ?I|I ?U) ?vs\. ?(D ?I|I ?D)) *$""))"),FALSE)</f>
        <v>0</v>
      </c>
      <c r="AU7" s="37" t="b">
        <f>IFERROR(__xludf.DUMMYFUNCTION("if(isblank(A7),,REGEXMATCH(B7,""^((D ?I|I ?D) ?vs\. ?(U ?D|D ?U))|((U ?D|D ?U) ?vs\. ?(D ?I|I ?D)) *$""))"),FALSE)</f>
        <v>0</v>
      </c>
      <c r="AV7" s="37" t="b">
        <f>IFERROR(__xludf.DUMMYFUNCTION("if(isblank(A7),,REGEXMATCH(B7,""^((U ?I|I ?U) ?vs\. ?(U ?I|I ?U)) *$""))"),FALSE)</f>
        <v>0</v>
      </c>
    </row>
    <row r="8" ht="26.25" customHeight="1">
      <c r="A8" s="79" t="str">
        <f>Paper_Textual_Conflict!M8</f>
        <v>D U vs. D I (delete for-loop,update for-loop + insert if-Java code)
Origin(D U + I)</v>
      </c>
      <c r="B8" s="37" t="str">
        <f>IFERROR(__xludf.DUMMYFUNCTION("if(isblank(A8),,regexextract(REGEXEXTRACT(A8,""^.*""),""^[^(]*""))"),"D U vs. D I ")</f>
        <v>D U vs. D I </v>
      </c>
      <c r="C8" s="37" t="b">
        <f>IFERROR(__xludf.DUMMYFUNCTION("if(isblank(A8),,REGEXMATCH(B8,"".*\+.*"") )"),FALSE)</f>
        <v>0</v>
      </c>
      <c r="D8" s="37" t="b">
        <f>IFERROR(__xludf.DUMMYFUNCTION("if(isblank(A8),,REGEXMATCH(B8,"".*vs.*"") )"),TRUE)</f>
        <v>1</v>
      </c>
      <c r="E8" s="37" t="b">
        <f>Paper_Textual_Conflict!H8</f>
        <v>1</v>
      </c>
      <c r="F8" s="37" t="str">
        <f>Paper_Textual_Conflict!Q8</f>
        <v>Java</v>
      </c>
      <c r="G8" s="33">
        <v>8.0</v>
      </c>
      <c r="H8" s="37" t="b">
        <f>IFERROR(__xludf.DUMMYFUNCTION("if(isblank(A8),,REGEXMATCH(B8,""^I *\+ I *$""))"),FALSE)</f>
        <v>0</v>
      </c>
      <c r="I8" s="37" t="b">
        <f>IFERROR(__xludf.DUMMYFUNCTION("if(isblank(A8),,REGEXMATCH(B8,""(^I *\+ D *$)|(^D *\+ I *$)""))"),FALSE)</f>
        <v>0</v>
      </c>
      <c r="J8" s="37" t="b">
        <f>IFERROR(__xludf.DUMMYFUNCTION("if(isblank(A8),,REGEXMATCH(B8,""(^I *\+ U *$)|(^U *\+ I *$)""))"),FALSE)</f>
        <v>0</v>
      </c>
      <c r="K8" s="37" t="b">
        <f>IFERROR(__xludf.DUMMYFUNCTION("if(isblank(A8),,REGEXMATCH(B8,""(^I *\+ N *$)|(^N *\+ I *$)"") )"),FALSE)</f>
        <v>0</v>
      </c>
      <c r="L8" s="37" t="b">
        <f>IFERROR(__xludf.DUMMYFUNCTION("if(isblank(A8),,REGEXMATCH(B8,""^D *\+ D *$""))"),FALSE)</f>
        <v>0</v>
      </c>
      <c r="M8" s="37" t="b">
        <f>IFERROR(__xludf.DUMMYFUNCTION("if(isblank(A8),,REGEXMATCH(B8,""(^U *\+ D *$)|(^D *\+ U *$)""))"),FALSE)</f>
        <v>0</v>
      </c>
      <c r="N8" s="37" t="b">
        <f>IFERROR(__xludf.DUMMYFUNCTION("if(isblank(A8),,REGEXMATCH(B8,""(^N *\+ D *$)|(^D *\+ N *$)""))"),FALSE)</f>
        <v>0</v>
      </c>
      <c r="O8" s="37" t="b">
        <f>IFERROR(__xludf.DUMMYFUNCTION("if(isblank(A8),,REGEXMATCH(B8,""^U *\+ U *$""))"),FALSE)</f>
        <v>0</v>
      </c>
      <c r="P8" s="37" t="b">
        <f>IFERROR(__xludf.DUMMYFUNCTION("if(isblank(A8),,REGEXMATCH(B8,""(^U *\+ N *$)|(^N *\+ U *$)""))"),FALSE)</f>
        <v>0</v>
      </c>
      <c r="Q8" s="37" t="b">
        <f>IFERROR(__xludf.DUMMYFUNCTION("if(isblank(A8),,REGEXMATCH(B8,""^((I ?\+ ?(D ?I|I ?D))|((D ?I|I ?D) ?\+ ?I)) *$""))"),FALSE)</f>
        <v>0</v>
      </c>
      <c r="R8" s="37" t="b">
        <f>IFERROR(__xludf.DUMMYFUNCTION("if(isblank(A8),,REGEXMATCH(B8,""^((D ?\+ ?(D ?I|I ?D))|((D ?I|I ?D) ?\+ ?D)) *$""))"),FALSE)</f>
        <v>0</v>
      </c>
      <c r="S8" s="37" t="b">
        <f>IFERROR(__xludf.DUMMYFUNCTION("if(isblank(A8),,REGEXMATCH(B8,""^((U ?\+ ?(D ?I|I ?D))|((D ?I|I ?D) ?\+ ?U)) *$""))"),FALSE)</f>
        <v>0</v>
      </c>
      <c r="T8" s="37" t="b">
        <f>IFERROR(__xludf.DUMMYFUNCTION("if(isblank(A8),,REGEXMATCH(B8,""^((N ?\+ ?(D ?I|I ?D))|((D ?I|I ?D) ?\+ ?N)) *$""))"),FALSE)</f>
        <v>0</v>
      </c>
      <c r="U8" s="37" t="b">
        <f>IFERROR(__xludf.DUMMYFUNCTION("if(isblank(A8),,REGEXMATCH(B8,""^((I ?\+ ?(U ?I|I ?U))|((I ?U|U ?I) ?\+ ?I)) *$""))"),FALSE)</f>
        <v>0</v>
      </c>
      <c r="V8" s="37" t="b">
        <f>IFERROR(__xludf.DUMMYFUNCTION("if(isblank(A8),,REGEXMATCH(B8,""^((D ?\+ ?(U ?I|I ?U))|((I ?U|U ?I) ?\+ ?D)) *$""))"),FALSE)</f>
        <v>0</v>
      </c>
      <c r="W8" s="37" t="b">
        <f>IFERROR(__xludf.DUMMYFUNCTION("if(isblank(A8),,REGEXMATCH(B8,""^((U ?\+ ?(U ?I|I ?U))|((I ?U|U ?I) ?\+ ?U)) *$""))"),FALSE)</f>
        <v>0</v>
      </c>
      <c r="X8" s="37" t="b">
        <f>IFERROR(__xludf.DUMMYFUNCTION("if(isblank(A8),,REGEXMATCH(B8,""^((N ?\+ ?(U ?I|I ?U))|((I ?U|U ?I) ?\+ ?N)) *$""))"),FALSE)</f>
        <v>0</v>
      </c>
      <c r="Y8" s="37" t="b">
        <f>IFERROR(__xludf.DUMMYFUNCTION("if(isblank(A8),,REGEXMATCH(B8,""^((I ?\+ ?(U ?D|D ?U))|((D ?U|U ?D) ?\+ ?I)) *$""))"),FALSE)</f>
        <v>0</v>
      </c>
      <c r="Z8" s="37" t="b">
        <f>IFERROR(__xludf.DUMMYFUNCTION("if(isblank(A8),,REGEXMATCH(B8,""^((D ?\+ ?(U ?D|D ?U))|((D ?U|U ?D) ?\+ ?D)) *$""))"),FALSE)</f>
        <v>0</v>
      </c>
      <c r="AA8" s="37" t="b">
        <f>IFERROR(__xludf.DUMMYFUNCTION("if(isblank(A8),,REGEXMATCH(B8,""^((U ?\+ ?(U ?D|D ?U))|((D ?U|U ?D) ?\+ ?U)) *$""))"),FALSE)</f>
        <v>0</v>
      </c>
      <c r="AB8" s="37" t="b">
        <f>IFERROR(__xludf.DUMMYFUNCTION("if(isblank(A8),,REGEXMATCH(B8,""^((D ?I|I ?D) ?\+ ?(D ?I|I ?D)) *$""))"),FALSE)</f>
        <v>0</v>
      </c>
      <c r="AC8" s="37" t="b">
        <f>IFERROR(__xludf.DUMMYFUNCTION("if(isblank(A8),,REGEXMATCH(B8,""^((D ?I|I ?D) ?\+ ?(U ?I|I ?U))|((U ?I|I ?U) ?\+ ?(D ?I|I ?D)) *$""))"),FALSE)</f>
        <v>0</v>
      </c>
      <c r="AD8" s="37" t="b">
        <f>IFERROR(__xludf.DUMMYFUNCTION("if(isblank(A8),,REGEXMATCH(B8,""^I *vs\. I *$""))"),FALSE)</f>
        <v>0</v>
      </c>
      <c r="AE8" s="37" t="b">
        <f>IFERROR(__xludf.DUMMYFUNCTION("if(isblank(A8),,REGEXMATCH(B8,""(^I *vs\. D *$)|(^D *vs\. I *$)""))"),FALSE)</f>
        <v>0</v>
      </c>
      <c r="AF8" s="37" t="b">
        <f>IFERROR(__xludf.DUMMYFUNCTION("if(isblank(A8),,REGEXMATCH(B8,""(^I *vs\. U *$)|(^U *vs\. I *$)""))"),FALSE)</f>
        <v>0</v>
      </c>
      <c r="AG8" s="37" t="b">
        <f>IFERROR(__xludf.DUMMYFUNCTION("if(isblank(A8),,REGEXMATCH(B8,""^D *vs\. D *$""))"),FALSE)</f>
        <v>0</v>
      </c>
      <c r="AH8" s="37" t="b">
        <f>IFERROR(__xludf.DUMMYFUNCTION("if(isblank(A8),,REGEXMATCH(B8,""(^U *vs\. D *$)|(^D *vs\. U *$)""))"),FALSE)</f>
        <v>0</v>
      </c>
      <c r="AI8" s="37" t="b">
        <f>IFERROR(__xludf.DUMMYFUNCTION("if(isblank(A8),,REGEXMATCH(B8,""^U *vs\. U *$""))"),FALSE)</f>
        <v>0</v>
      </c>
      <c r="AJ8" s="37" t="b">
        <f>IFERROR(__xludf.DUMMYFUNCTION("if(isblank(A8),,REGEXMATCH(B8,""^((I ?vs\. ?(D ?I|I ?D))|((D ?I|I ?D) ?vs\. ?I)) *$""))"),FALSE)</f>
        <v>0</v>
      </c>
      <c r="AK8" s="37" t="b">
        <f>IFERROR(__xludf.DUMMYFUNCTION("if(isblank(A8),,REGEXMATCH(B8,""^((D ?vs\. ?(D ?I|I ?D))|((D ?I|I ?D) ?vs\. ?D)) *$""))"),FALSE)</f>
        <v>0</v>
      </c>
      <c r="AL8" s="37" t="b">
        <f>IFERROR(__xludf.DUMMYFUNCTION("if(isblank(A8),,REGEXMATCH(B8,""^((U ?vs\. ?(D ?I|I ?D))|((D ?I|I ?D) ?vs\. ?U)) *$""))"),FALSE)</f>
        <v>0</v>
      </c>
      <c r="AM8" s="37" t="b">
        <f>IFERROR(__xludf.DUMMYFUNCTION("if(isblank(A8),,REGEXMATCH(B8,""^((I ?vs\. ?(U ?I|I ?U))|((U ?I|I ?U) ?vs\. ?I)) *$""))"),FALSE)</f>
        <v>0</v>
      </c>
      <c r="AN8" s="37" t="b">
        <f>IFERROR(__xludf.DUMMYFUNCTION("if(isblank(A8),,REGEXMATCH(B8,""^((D ?vs\. ?(U ?I|I ?U))|((U ?I|I ?U) ?vs\. ?D)) *$""))"),FALSE)</f>
        <v>0</v>
      </c>
      <c r="AO8" s="37" t="b">
        <f>IFERROR(__xludf.DUMMYFUNCTION("if(isblank(A8),,REGEXMATCH(B8,""^((U ?vs\. ?(U ?I|I ?U))|((U ?I|I ?U) ?vs\. ?U)) *$""))"),FALSE)</f>
        <v>0</v>
      </c>
      <c r="AP8" s="37" t="b">
        <f>IFERROR(__xludf.DUMMYFUNCTION("if(isblank(A8),,REGEXMATCH(B8,""^((I ?vs\. ?(U ?D|D ?U))|((D ?U|U ?D) ?vs\. ?I)) *$""))"),FALSE)</f>
        <v>0</v>
      </c>
      <c r="AQ8" s="37" t="b">
        <f>IFERROR(__xludf.DUMMYFUNCTION("if(isblank(A8),,REGEXMATCH(B8,""^((D ?vs\. ?(U ?D|D ?U))|((D ?U|U ?D) ?vs\. ?D)) *$""))"),FALSE)</f>
        <v>0</v>
      </c>
      <c r="AR8" s="37" t="b">
        <f>IFERROR(__xludf.DUMMYFUNCTION("if(isblank(A8),,REGEXMATCH(B8,""^((U ?vs\. ?(U ?D|D ?U))|((D ?U|U ?D) ?vs\. ?U)) *$""))"),FALSE)</f>
        <v>0</v>
      </c>
      <c r="AS8" s="37" t="b">
        <f>IFERROR(__xludf.DUMMYFUNCTION("if(isblank(A8),,REGEXMATCH(B8,""^((D ?I|I ?D) ?vs\. ?(D ?I|I ?D)) *$""))"),FALSE)</f>
        <v>0</v>
      </c>
      <c r="AT8" s="37" t="b">
        <f>IFERROR(__xludf.DUMMYFUNCTION("if(isblank(A8),,REGEXMATCH(B8,""^((D ?I|I ?D) ?vs\. ?(U ?I|I ?U))|((U ?I|I ?U) ?vs\. ?(D ?I|I ?D)) *$""))"),FALSE)</f>
        <v>0</v>
      </c>
      <c r="AU8" s="37" t="b">
        <f>IFERROR(__xludf.DUMMYFUNCTION("if(isblank(A8),,REGEXMATCH(B8,""^((D ?I|I ?D) ?vs\. ?(U ?D|D ?U))|((U ?D|D ?U) ?vs\. ?(D ?I|I ?D)) *$""))"),TRUE)</f>
        <v>1</v>
      </c>
      <c r="AV8" s="37" t="b">
        <f>IFERROR(__xludf.DUMMYFUNCTION("if(isblank(A8),,REGEXMATCH(B8,""^((U ?I|I ?U) ?vs\. ?(U ?I|I ?U)) *$""))"),FALSE)</f>
        <v>0</v>
      </c>
    </row>
    <row r="9" ht="26.25" customHeight="1">
      <c r="A9" s="79" t="str">
        <f>Paper_Textual_Conflict!M9</f>
        <v>U vs. U (version no) L &gt; R: The version number of L is higher</v>
      </c>
      <c r="B9" s="37" t="str">
        <f>IFERROR(__xludf.DUMMYFUNCTION("if(isblank(A9),,regexextract(REGEXEXTRACT(A9,""^.*""),""^[^(]*""))"),"U vs. U ")</f>
        <v>U vs. U </v>
      </c>
      <c r="C9" s="37" t="b">
        <f>IFERROR(__xludf.DUMMYFUNCTION("if(isblank(A9),,REGEXMATCH(B9,"".*\+.*"") )"),FALSE)</f>
        <v>0</v>
      </c>
      <c r="D9" s="37" t="b">
        <f>IFERROR(__xludf.DUMMYFUNCTION("if(isblank(A9),,REGEXMATCH(B9,"".*vs.*"") )"),TRUE)</f>
        <v>1</v>
      </c>
      <c r="E9" s="37" t="b">
        <f>Paper_Textual_Conflict!H9</f>
        <v>1</v>
      </c>
      <c r="F9" s="37" t="str">
        <f>Paper_Textual_Conflict!Q9</f>
        <v>Non-Java</v>
      </c>
      <c r="G9" s="33">
        <v>9.0</v>
      </c>
      <c r="H9" s="37" t="b">
        <f>IFERROR(__xludf.DUMMYFUNCTION("if(isblank(A9),,REGEXMATCH(B9,""^I *\+ I *$""))"),FALSE)</f>
        <v>0</v>
      </c>
      <c r="I9" s="37" t="b">
        <f>IFERROR(__xludf.DUMMYFUNCTION("if(isblank(A9),,REGEXMATCH(B9,""(^I *\+ D *$)|(^D *\+ I *$)""))"),FALSE)</f>
        <v>0</v>
      </c>
      <c r="J9" s="37" t="b">
        <f>IFERROR(__xludf.DUMMYFUNCTION("if(isblank(A9),,REGEXMATCH(B9,""(^I *\+ U *$)|(^U *\+ I *$)""))"),FALSE)</f>
        <v>0</v>
      </c>
      <c r="K9" s="37" t="b">
        <f>IFERROR(__xludf.DUMMYFUNCTION("if(isblank(A9),,REGEXMATCH(B9,""(^I *\+ N *$)|(^N *\+ I *$)"") )"),FALSE)</f>
        <v>0</v>
      </c>
      <c r="L9" s="37" t="b">
        <f>IFERROR(__xludf.DUMMYFUNCTION("if(isblank(A9),,REGEXMATCH(B9,""^D *\+ D *$""))"),FALSE)</f>
        <v>0</v>
      </c>
      <c r="M9" s="37" t="b">
        <f>IFERROR(__xludf.DUMMYFUNCTION("if(isblank(A9),,REGEXMATCH(B9,""(^U *\+ D *$)|(^D *\+ U *$)""))"),FALSE)</f>
        <v>0</v>
      </c>
      <c r="N9" s="37" t="b">
        <f>IFERROR(__xludf.DUMMYFUNCTION("if(isblank(A9),,REGEXMATCH(B9,""(^N *\+ D *$)|(^D *\+ N *$)""))"),FALSE)</f>
        <v>0</v>
      </c>
      <c r="O9" s="37" t="b">
        <f>IFERROR(__xludf.DUMMYFUNCTION("if(isblank(A9),,REGEXMATCH(B9,""^U *\+ U *$""))"),FALSE)</f>
        <v>0</v>
      </c>
      <c r="P9" s="37" t="b">
        <f>IFERROR(__xludf.DUMMYFUNCTION("if(isblank(A9),,REGEXMATCH(B9,""(^U *\+ N *$)|(^N *\+ U *$)""))"),FALSE)</f>
        <v>0</v>
      </c>
      <c r="Q9" s="37" t="b">
        <f>IFERROR(__xludf.DUMMYFUNCTION("if(isblank(A9),,REGEXMATCH(B9,""^((I ?\+ ?(D ?I|I ?D))|((D ?I|I ?D) ?\+ ?I)) *$""))"),FALSE)</f>
        <v>0</v>
      </c>
      <c r="R9" s="37" t="b">
        <f>IFERROR(__xludf.DUMMYFUNCTION("if(isblank(A9),,REGEXMATCH(B9,""^((D ?\+ ?(D ?I|I ?D))|((D ?I|I ?D) ?\+ ?D)) *$""))"),FALSE)</f>
        <v>0</v>
      </c>
      <c r="S9" s="37" t="b">
        <f>IFERROR(__xludf.DUMMYFUNCTION("if(isblank(A9),,REGEXMATCH(B9,""^((U ?\+ ?(D ?I|I ?D))|((D ?I|I ?D) ?\+ ?U)) *$""))"),FALSE)</f>
        <v>0</v>
      </c>
      <c r="T9" s="37" t="b">
        <f>IFERROR(__xludf.DUMMYFUNCTION("if(isblank(A9),,REGEXMATCH(B9,""^((N ?\+ ?(D ?I|I ?D))|((D ?I|I ?D) ?\+ ?N)) *$""))"),FALSE)</f>
        <v>0</v>
      </c>
      <c r="U9" s="37" t="b">
        <f>IFERROR(__xludf.DUMMYFUNCTION("if(isblank(A9),,REGEXMATCH(B9,""^((I ?\+ ?(U ?I|I ?U))|((I ?U|U ?I) ?\+ ?I)) *$""))"),FALSE)</f>
        <v>0</v>
      </c>
      <c r="V9" s="37" t="b">
        <f>IFERROR(__xludf.DUMMYFUNCTION("if(isblank(A9),,REGEXMATCH(B9,""^((D ?\+ ?(U ?I|I ?U))|((I ?U|U ?I) ?\+ ?D)) *$""))"),FALSE)</f>
        <v>0</v>
      </c>
      <c r="W9" s="37" t="b">
        <f>IFERROR(__xludf.DUMMYFUNCTION("if(isblank(A9),,REGEXMATCH(B9,""^((U ?\+ ?(U ?I|I ?U))|((I ?U|U ?I) ?\+ ?U)) *$""))"),FALSE)</f>
        <v>0</v>
      </c>
      <c r="X9" s="37" t="b">
        <f>IFERROR(__xludf.DUMMYFUNCTION("if(isblank(A9),,REGEXMATCH(B9,""^((N ?\+ ?(U ?I|I ?U))|((I ?U|U ?I) ?\+ ?N)) *$""))"),FALSE)</f>
        <v>0</v>
      </c>
      <c r="Y9" s="37" t="b">
        <f>IFERROR(__xludf.DUMMYFUNCTION("if(isblank(A9),,REGEXMATCH(B9,""^((I ?\+ ?(U ?D|D ?U))|((D ?U|U ?D) ?\+ ?I)) *$""))"),FALSE)</f>
        <v>0</v>
      </c>
      <c r="Z9" s="37" t="b">
        <f>IFERROR(__xludf.DUMMYFUNCTION("if(isblank(A9),,REGEXMATCH(B9,""^((D ?\+ ?(U ?D|D ?U))|((D ?U|U ?D) ?\+ ?D)) *$""))"),FALSE)</f>
        <v>0</v>
      </c>
      <c r="AA9" s="37" t="b">
        <f>IFERROR(__xludf.DUMMYFUNCTION("if(isblank(A9),,REGEXMATCH(B9,""^((U ?\+ ?(U ?D|D ?U))|((D ?U|U ?D) ?\+ ?U)) *$""))"),FALSE)</f>
        <v>0</v>
      </c>
      <c r="AB9" s="37" t="b">
        <f>IFERROR(__xludf.DUMMYFUNCTION("if(isblank(A9),,REGEXMATCH(B9,""^((D ?I|I ?D) ?\+ ?(D ?I|I ?D)) *$""))"),FALSE)</f>
        <v>0</v>
      </c>
      <c r="AC9" s="37" t="b">
        <f>IFERROR(__xludf.DUMMYFUNCTION("if(isblank(A9),,REGEXMATCH(B9,""^((D ?I|I ?D) ?\+ ?(U ?I|I ?U))|((U ?I|I ?U) ?\+ ?(D ?I|I ?D)) *$""))"),FALSE)</f>
        <v>0</v>
      </c>
      <c r="AD9" s="37" t="b">
        <f>IFERROR(__xludf.DUMMYFUNCTION("if(isblank(A9),,REGEXMATCH(B9,""^I *vs\. I *$""))"),FALSE)</f>
        <v>0</v>
      </c>
      <c r="AE9" s="37" t="b">
        <f>IFERROR(__xludf.DUMMYFUNCTION("if(isblank(A9),,REGEXMATCH(B9,""(^I *vs\. D *$)|(^D *vs\. I *$)""))"),FALSE)</f>
        <v>0</v>
      </c>
      <c r="AF9" s="37" t="b">
        <f>IFERROR(__xludf.DUMMYFUNCTION("if(isblank(A9),,REGEXMATCH(B9,""(^I *vs\. U *$)|(^U *vs\. I *$)""))"),FALSE)</f>
        <v>0</v>
      </c>
      <c r="AG9" s="37" t="b">
        <f>IFERROR(__xludf.DUMMYFUNCTION("if(isblank(A9),,REGEXMATCH(B9,""^D *vs\. D *$""))"),FALSE)</f>
        <v>0</v>
      </c>
      <c r="AH9" s="37" t="b">
        <f>IFERROR(__xludf.DUMMYFUNCTION("if(isblank(A9),,REGEXMATCH(B9,""(^U *vs\. D *$)|(^D *vs\. U *$)""))"),FALSE)</f>
        <v>0</v>
      </c>
      <c r="AI9" s="37" t="b">
        <f>IFERROR(__xludf.DUMMYFUNCTION("if(isblank(A9),,REGEXMATCH(B9,""^U *vs\. U *$""))"),TRUE)</f>
        <v>1</v>
      </c>
      <c r="AJ9" s="37" t="b">
        <f>IFERROR(__xludf.DUMMYFUNCTION("if(isblank(A9),,REGEXMATCH(B9,""^((I ?vs\. ?(D ?I|I ?D))|((D ?I|I ?D) ?vs\. ?I)) *$""))"),FALSE)</f>
        <v>0</v>
      </c>
      <c r="AK9" s="37" t="b">
        <f>IFERROR(__xludf.DUMMYFUNCTION("if(isblank(A9),,REGEXMATCH(B9,""^((D ?vs\. ?(D ?I|I ?D))|((D ?I|I ?D) ?vs\. ?D)) *$""))"),FALSE)</f>
        <v>0</v>
      </c>
      <c r="AL9" s="37" t="b">
        <f>IFERROR(__xludf.DUMMYFUNCTION("if(isblank(A9),,REGEXMATCH(B9,""^((U ?vs\. ?(D ?I|I ?D))|((D ?I|I ?D) ?vs\. ?U)) *$""))"),FALSE)</f>
        <v>0</v>
      </c>
      <c r="AM9" s="37" t="b">
        <f>IFERROR(__xludf.DUMMYFUNCTION("if(isblank(A9),,REGEXMATCH(B9,""^((I ?vs\. ?(U ?I|I ?U))|((U ?I|I ?U) ?vs\. ?I)) *$""))"),FALSE)</f>
        <v>0</v>
      </c>
      <c r="AN9" s="37" t="b">
        <f>IFERROR(__xludf.DUMMYFUNCTION("if(isblank(A9),,REGEXMATCH(B9,""^((D ?vs\. ?(U ?I|I ?U))|((U ?I|I ?U) ?vs\. ?D)) *$""))"),FALSE)</f>
        <v>0</v>
      </c>
      <c r="AO9" s="37" t="b">
        <f>IFERROR(__xludf.DUMMYFUNCTION("if(isblank(A9),,REGEXMATCH(B9,""^((U ?vs\. ?(U ?I|I ?U))|((U ?I|I ?U) ?vs\. ?U)) *$""))"),FALSE)</f>
        <v>0</v>
      </c>
      <c r="AP9" s="37" t="b">
        <f>IFERROR(__xludf.DUMMYFUNCTION("if(isblank(A9),,REGEXMATCH(B9,""^((I ?vs\. ?(U ?D|D ?U))|((D ?U|U ?D) ?vs\. ?I)) *$""))"),FALSE)</f>
        <v>0</v>
      </c>
      <c r="AQ9" s="37" t="b">
        <f>IFERROR(__xludf.DUMMYFUNCTION("if(isblank(A9),,REGEXMATCH(B9,""^((D ?vs\. ?(U ?D|D ?U))|((D ?U|U ?D) ?vs\. ?D)) *$""))"),FALSE)</f>
        <v>0</v>
      </c>
      <c r="AR9" s="37" t="b">
        <f>IFERROR(__xludf.DUMMYFUNCTION("if(isblank(A9),,REGEXMATCH(B9,""^((U ?vs\. ?(U ?D|D ?U))|((D ?U|U ?D) ?vs\. ?U)) *$""))"),FALSE)</f>
        <v>0</v>
      </c>
      <c r="AS9" s="37" t="b">
        <f>IFERROR(__xludf.DUMMYFUNCTION("if(isblank(A9),,REGEXMATCH(B9,""^((D ?I|I ?D) ?vs\. ?(D ?I|I ?D)) *$""))"),FALSE)</f>
        <v>0</v>
      </c>
      <c r="AT9" s="37" t="b">
        <f>IFERROR(__xludf.DUMMYFUNCTION("if(isblank(A9),,REGEXMATCH(B9,""^((D ?I|I ?D) ?vs\. ?(U ?I|I ?U))|((U ?I|I ?U) ?vs\. ?(D ?I|I ?D)) *$""))"),FALSE)</f>
        <v>0</v>
      </c>
      <c r="AU9" s="37" t="b">
        <f>IFERROR(__xludf.DUMMYFUNCTION("if(isblank(A9),,REGEXMATCH(B9,""^((D ?I|I ?D) ?vs\. ?(U ?D|D ?U))|((U ?D|D ?U) ?vs\. ?(D ?I|I ?D)) *$""))"),FALSE)</f>
        <v>0</v>
      </c>
      <c r="AV9" s="37" t="b">
        <f>IFERROR(__xludf.DUMMYFUNCTION("if(isblank(A9),,REGEXMATCH(B9,""^((U ?I|I ?U) ?vs\. ?(U ?I|I ?U)) *$""))"),FALSE)</f>
        <v>0</v>
      </c>
    </row>
    <row r="10" ht="26.25" customHeight="1">
      <c r="A10" s="79" t="str">
        <f>Paper_Textual_Conflict!M10</f>
        <v>D I vs. D I (Java code)
(originally D I vs. U)</v>
      </c>
      <c r="B10" s="37" t="str">
        <f>IFERROR(__xludf.DUMMYFUNCTION("if(isblank(A10),,regexextract(REGEXEXTRACT(A10,""^.*""),""^[^(]*""))"),"D I vs. D I ")</f>
        <v>D I vs. D I </v>
      </c>
      <c r="C10" s="37" t="b">
        <f>IFERROR(__xludf.DUMMYFUNCTION("if(isblank(A10),,REGEXMATCH(B10,"".*\+.*"") )"),FALSE)</f>
        <v>0</v>
      </c>
      <c r="D10" s="37" t="b">
        <f>IFERROR(__xludf.DUMMYFUNCTION("if(isblank(A10),,REGEXMATCH(B10,"".*vs.*"") )"),TRUE)</f>
        <v>1</v>
      </c>
      <c r="E10" s="37" t="b">
        <f>Paper_Textual_Conflict!H10</f>
        <v>1</v>
      </c>
      <c r="F10" s="37" t="str">
        <f>Paper_Textual_Conflict!Q10</f>
        <v>Java</v>
      </c>
      <c r="G10" s="33">
        <v>10.0</v>
      </c>
      <c r="H10" s="37" t="b">
        <f>IFERROR(__xludf.DUMMYFUNCTION("if(isblank(A10),,REGEXMATCH(B10,""^I *\+ I *$""))"),FALSE)</f>
        <v>0</v>
      </c>
      <c r="I10" s="37" t="b">
        <f>IFERROR(__xludf.DUMMYFUNCTION("if(isblank(A10),,REGEXMATCH(B10,""(^I *\+ D *$)|(^D *\+ I *$)""))"),FALSE)</f>
        <v>0</v>
      </c>
      <c r="J10" s="37" t="b">
        <f>IFERROR(__xludf.DUMMYFUNCTION("if(isblank(A10),,REGEXMATCH(B10,""(^I *\+ U *$)|(^U *\+ I *$)""))"),FALSE)</f>
        <v>0</v>
      </c>
      <c r="K10" s="37" t="b">
        <f>IFERROR(__xludf.DUMMYFUNCTION("if(isblank(A10),,REGEXMATCH(B10,""(^I *\+ N *$)|(^N *\+ I *$)"") )"),FALSE)</f>
        <v>0</v>
      </c>
      <c r="L10" s="37" t="b">
        <f>IFERROR(__xludf.DUMMYFUNCTION("if(isblank(A10),,REGEXMATCH(B10,""^D *\+ D *$""))"),FALSE)</f>
        <v>0</v>
      </c>
      <c r="M10" s="37" t="b">
        <f>IFERROR(__xludf.DUMMYFUNCTION("if(isblank(A10),,REGEXMATCH(B10,""(^U *\+ D *$)|(^D *\+ U *$)""))"),FALSE)</f>
        <v>0</v>
      </c>
      <c r="N10" s="37" t="b">
        <f>IFERROR(__xludf.DUMMYFUNCTION("if(isblank(A10),,REGEXMATCH(B10,""(^N *\+ D *$)|(^D *\+ N *$)""))"),FALSE)</f>
        <v>0</v>
      </c>
      <c r="O10" s="37" t="b">
        <f>IFERROR(__xludf.DUMMYFUNCTION("if(isblank(A10),,REGEXMATCH(B10,""^U *\+ U *$""))"),FALSE)</f>
        <v>0</v>
      </c>
      <c r="P10" s="37" t="b">
        <f>IFERROR(__xludf.DUMMYFUNCTION("if(isblank(A10),,REGEXMATCH(B10,""(^U *\+ N *$)|(^N *\+ U *$)""))"),FALSE)</f>
        <v>0</v>
      </c>
      <c r="Q10" s="37" t="b">
        <f>IFERROR(__xludf.DUMMYFUNCTION("if(isblank(A10),,REGEXMATCH(B10,""^((I ?\+ ?(D ?I|I ?D))|((D ?I|I ?D) ?\+ ?I)) *$""))"),FALSE)</f>
        <v>0</v>
      </c>
      <c r="R10" s="37" t="b">
        <f>IFERROR(__xludf.DUMMYFUNCTION("if(isblank(A10),,REGEXMATCH(B10,""^((D ?\+ ?(D ?I|I ?D))|((D ?I|I ?D) ?\+ ?D)) *$""))"),FALSE)</f>
        <v>0</v>
      </c>
      <c r="S10" s="37" t="b">
        <f>IFERROR(__xludf.DUMMYFUNCTION("if(isblank(A10),,REGEXMATCH(B10,""^((U ?\+ ?(D ?I|I ?D))|((D ?I|I ?D) ?\+ ?U)) *$""))"),FALSE)</f>
        <v>0</v>
      </c>
      <c r="T10" s="37" t="b">
        <f>IFERROR(__xludf.DUMMYFUNCTION("if(isblank(A10),,REGEXMATCH(B10,""^((N ?\+ ?(D ?I|I ?D))|((D ?I|I ?D) ?\+ ?N)) *$""))"),FALSE)</f>
        <v>0</v>
      </c>
      <c r="U10" s="37" t="b">
        <f>IFERROR(__xludf.DUMMYFUNCTION("if(isblank(A10),,REGEXMATCH(B10,""^((I ?\+ ?(U ?I|I ?U))|((I ?U|U ?I) ?\+ ?I)) *$""))"),FALSE)</f>
        <v>0</v>
      </c>
      <c r="V10" s="37" t="b">
        <f>IFERROR(__xludf.DUMMYFUNCTION("if(isblank(A10),,REGEXMATCH(B10,""^((D ?\+ ?(U ?I|I ?U))|((I ?U|U ?I) ?\+ ?D)) *$""))"),FALSE)</f>
        <v>0</v>
      </c>
      <c r="W10" s="37" t="b">
        <f>IFERROR(__xludf.DUMMYFUNCTION("if(isblank(A10),,REGEXMATCH(B10,""^((U ?\+ ?(U ?I|I ?U))|((I ?U|U ?I) ?\+ ?U)) *$""))"),FALSE)</f>
        <v>0</v>
      </c>
      <c r="X10" s="37" t="b">
        <f>IFERROR(__xludf.DUMMYFUNCTION("if(isblank(A10),,REGEXMATCH(B10,""^((N ?\+ ?(U ?I|I ?U))|((I ?U|U ?I) ?\+ ?N)) *$""))"),FALSE)</f>
        <v>0</v>
      </c>
      <c r="Y10" s="37" t="b">
        <f>IFERROR(__xludf.DUMMYFUNCTION("if(isblank(A10),,REGEXMATCH(B10,""^((I ?\+ ?(U ?D|D ?U))|((D ?U|U ?D) ?\+ ?I)) *$""))"),FALSE)</f>
        <v>0</v>
      </c>
      <c r="Z10" s="37" t="b">
        <f>IFERROR(__xludf.DUMMYFUNCTION("if(isblank(A10),,REGEXMATCH(B10,""^((D ?\+ ?(U ?D|D ?U))|((D ?U|U ?D) ?\+ ?D)) *$""))"),FALSE)</f>
        <v>0</v>
      </c>
      <c r="AA10" s="37" t="b">
        <f>IFERROR(__xludf.DUMMYFUNCTION("if(isblank(A10),,REGEXMATCH(B10,""^((U ?\+ ?(U ?D|D ?U))|((D ?U|U ?D) ?\+ ?U)) *$""))"),FALSE)</f>
        <v>0</v>
      </c>
      <c r="AB10" s="37" t="b">
        <f>IFERROR(__xludf.DUMMYFUNCTION("if(isblank(A10),,REGEXMATCH(B10,""^((D ?I|I ?D) ?\+ ?(D ?I|I ?D)) *$""))"),FALSE)</f>
        <v>0</v>
      </c>
      <c r="AC10" s="37" t="b">
        <f>IFERROR(__xludf.DUMMYFUNCTION("if(isblank(A10),,REGEXMATCH(B10,""^((D ?I|I ?D) ?\+ ?(U ?I|I ?U))|((U ?I|I ?U) ?\+ ?(D ?I|I ?D)) *$""))"),FALSE)</f>
        <v>0</v>
      </c>
      <c r="AD10" s="37" t="b">
        <f>IFERROR(__xludf.DUMMYFUNCTION("if(isblank(A10),,REGEXMATCH(B10,""^I *vs\. I *$""))"),FALSE)</f>
        <v>0</v>
      </c>
      <c r="AE10" s="37" t="b">
        <f>IFERROR(__xludf.DUMMYFUNCTION("if(isblank(A10),,REGEXMATCH(B10,""(^I *vs\. D *$)|(^D *vs\. I *$)""))"),FALSE)</f>
        <v>0</v>
      </c>
      <c r="AF10" s="37" t="b">
        <f>IFERROR(__xludf.DUMMYFUNCTION("if(isblank(A10),,REGEXMATCH(B10,""(^I *vs\. U *$)|(^U *vs\. I *$)""))"),FALSE)</f>
        <v>0</v>
      </c>
      <c r="AG10" s="37" t="b">
        <f>IFERROR(__xludf.DUMMYFUNCTION("if(isblank(A10),,REGEXMATCH(B10,""^D *vs\. D *$""))"),FALSE)</f>
        <v>0</v>
      </c>
      <c r="AH10" s="37" t="b">
        <f>IFERROR(__xludf.DUMMYFUNCTION("if(isblank(A10),,REGEXMATCH(B10,""(^U *vs\. D *$)|(^D *vs\. U *$)""))"),FALSE)</f>
        <v>0</v>
      </c>
      <c r="AI10" s="37" t="b">
        <f>IFERROR(__xludf.DUMMYFUNCTION("if(isblank(A10),,REGEXMATCH(B10,""^U *vs\. U *$""))"),FALSE)</f>
        <v>0</v>
      </c>
      <c r="AJ10" s="37" t="b">
        <f>IFERROR(__xludf.DUMMYFUNCTION("if(isblank(A10),,REGEXMATCH(B10,""^((I ?vs\. ?(D ?I|I ?D))|((D ?I|I ?D) ?vs\. ?I)) *$""))"),FALSE)</f>
        <v>0</v>
      </c>
      <c r="AK10" s="37" t="b">
        <f>IFERROR(__xludf.DUMMYFUNCTION("if(isblank(A10),,REGEXMATCH(B10,""^((D ?vs\. ?(D ?I|I ?D))|((D ?I|I ?D) ?vs\. ?D)) *$""))"),FALSE)</f>
        <v>0</v>
      </c>
      <c r="AL10" s="37" t="b">
        <f>IFERROR(__xludf.DUMMYFUNCTION("if(isblank(A10),,REGEXMATCH(B10,""^((U ?vs\. ?(D ?I|I ?D))|((D ?I|I ?D) ?vs\. ?U)) *$""))"),FALSE)</f>
        <v>0</v>
      </c>
      <c r="AM10" s="37" t="b">
        <f>IFERROR(__xludf.DUMMYFUNCTION("if(isblank(A10),,REGEXMATCH(B10,""^((I ?vs\. ?(U ?I|I ?U))|((U ?I|I ?U) ?vs\. ?I)) *$""))"),FALSE)</f>
        <v>0</v>
      </c>
      <c r="AN10" s="37" t="b">
        <f>IFERROR(__xludf.DUMMYFUNCTION("if(isblank(A10),,REGEXMATCH(B10,""^((D ?vs\. ?(U ?I|I ?U))|((U ?I|I ?U) ?vs\. ?D)) *$""))"),FALSE)</f>
        <v>0</v>
      </c>
      <c r="AO10" s="37" t="b">
        <f>IFERROR(__xludf.DUMMYFUNCTION("if(isblank(A10),,REGEXMATCH(B10,""^((U ?vs\. ?(U ?I|I ?U))|((U ?I|I ?U) ?vs\. ?U)) *$""))"),FALSE)</f>
        <v>0</v>
      </c>
      <c r="AP10" s="37" t="b">
        <f>IFERROR(__xludf.DUMMYFUNCTION("if(isblank(A10),,REGEXMATCH(B10,""^((I ?vs\. ?(U ?D|D ?U))|((D ?U|U ?D) ?vs\. ?I)) *$""))"),FALSE)</f>
        <v>0</v>
      </c>
      <c r="AQ10" s="37" t="b">
        <f>IFERROR(__xludf.DUMMYFUNCTION("if(isblank(A10),,REGEXMATCH(B10,""^((D ?vs\. ?(U ?D|D ?U))|((D ?U|U ?D) ?vs\. ?D)) *$""))"),FALSE)</f>
        <v>0</v>
      </c>
      <c r="AR10" s="37" t="b">
        <f>IFERROR(__xludf.DUMMYFUNCTION("if(isblank(A10),,REGEXMATCH(B10,""^((U ?vs\. ?(U ?D|D ?U))|((D ?U|U ?D) ?vs\. ?U)) *$""))"),FALSE)</f>
        <v>0</v>
      </c>
      <c r="AS10" s="37" t="b">
        <f>IFERROR(__xludf.DUMMYFUNCTION("if(isblank(A10),,REGEXMATCH(B10,""^((D ?I|I ?D) ?vs\. ?(D ?I|I ?D)) *$""))"),TRUE)</f>
        <v>1</v>
      </c>
      <c r="AT10" s="37" t="b">
        <f>IFERROR(__xludf.DUMMYFUNCTION("if(isblank(A10),,REGEXMATCH(B10,""^((D ?I|I ?D) ?vs\. ?(U ?I|I ?U))|((U ?I|I ?U) ?vs\. ?(D ?I|I ?D)) *$""))"),FALSE)</f>
        <v>0</v>
      </c>
      <c r="AU10" s="37" t="b">
        <f>IFERROR(__xludf.DUMMYFUNCTION("if(isblank(A10),,REGEXMATCH(B10,""^((D ?I|I ?D) ?vs\. ?(U ?D|D ?U))|((U ?D|D ?U) ?vs\. ?(D ?I|I ?D)) *$""))"),FALSE)</f>
        <v>0</v>
      </c>
      <c r="AV10" s="37" t="b">
        <f>IFERROR(__xludf.DUMMYFUNCTION("if(isblank(A10),,REGEXMATCH(B10,""^((U ?I|I ?U) ?vs\. ?(U ?I|I ?U)) *$""))"),FALSE)</f>
        <v>0</v>
      </c>
    </row>
    <row r="11" ht="26.25" customHeight="1">
      <c r="A11" s="79" t="str">
        <f>Paper_Textual_Conflict!M11</f>
        <v>U vs. U(update Java code)
</v>
      </c>
      <c r="B11" s="37" t="str">
        <f>IFERROR(__xludf.DUMMYFUNCTION("if(isblank(A11),,regexextract(REGEXEXTRACT(A11,""^.*""),""^[^(]*""))"),"U vs. U")</f>
        <v>U vs. U</v>
      </c>
      <c r="C11" s="37" t="b">
        <f>IFERROR(__xludf.DUMMYFUNCTION("if(isblank(A11),,REGEXMATCH(B11,"".*\+.*"") )"),FALSE)</f>
        <v>0</v>
      </c>
      <c r="D11" s="37" t="b">
        <f>IFERROR(__xludf.DUMMYFUNCTION("if(isblank(A11),,REGEXMATCH(B11,"".*vs.*"") )"),TRUE)</f>
        <v>1</v>
      </c>
      <c r="E11" s="37" t="b">
        <f>Paper_Textual_Conflict!H11</f>
        <v>1</v>
      </c>
      <c r="F11" s="37" t="str">
        <f>Paper_Textual_Conflict!Q11</f>
        <v>Java</v>
      </c>
      <c r="G11" s="33">
        <v>11.0</v>
      </c>
      <c r="H11" s="37" t="b">
        <f>IFERROR(__xludf.DUMMYFUNCTION("if(isblank(A11),,REGEXMATCH(B11,""^I *\+ I *$""))"),FALSE)</f>
        <v>0</v>
      </c>
      <c r="I11" s="37" t="b">
        <f>IFERROR(__xludf.DUMMYFUNCTION("if(isblank(A11),,REGEXMATCH(B11,""(^I *\+ D *$)|(^D *\+ I *$)""))"),FALSE)</f>
        <v>0</v>
      </c>
      <c r="J11" s="37" t="b">
        <f>IFERROR(__xludf.DUMMYFUNCTION("if(isblank(A11),,REGEXMATCH(B11,""(^I *\+ U *$)|(^U *\+ I *$)""))"),FALSE)</f>
        <v>0</v>
      </c>
      <c r="K11" s="37" t="b">
        <f>IFERROR(__xludf.DUMMYFUNCTION("if(isblank(A11),,REGEXMATCH(B11,""(^I *\+ N *$)|(^N *\+ I *$)"") )"),FALSE)</f>
        <v>0</v>
      </c>
      <c r="L11" s="37" t="b">
        <f>IFERROR(__xludf.DUMMYFUNCTION("if(isblank(A11),,REGEXMATCH(B11,""^D *\+ D *$""))"),FALSE)</f>
        <v>0</v>
      </c>
      <c r="M11" s="37" t="b">
        <f>IFERROR(__xludf.DUMMYFUNCTION("if(isblank(A11),,REGEXMATCH(B11,""(^U *\+ D *$)|(^D *\+ U *$)""))"),FALSE)</f>
        <v>0</v>
      </c>
      <c r="N11" s="37" t="b">
        <f>IFERROR(__xludf.DUMMYFUNCTION("if(isblank(A11),,REGEXMATCH(B11,""(^N *\+ D *$)|(^D *\+ N *$)""))"),FALSE)</f>
        <v>0</v>
      </c>
      <c r="O11" s="37" t="b">
        <f>IFERROR(__xludf.DUMMYFUNCTION("if(isblank(A11),,REGEXMATCH(B11,""^U *\+ U *$""))"),FALSE)</f>
        <v>0</v>
      </c>
      <c r="P11" s="37" t="b">
        <f>IFERROR(__xludf.DUMMYFUNCTION("if(isblank(A11),,REGEXMATCH(B11,""(^U *\+ N *$)|(^N *\+ U *$)""))"),FALSE)</f>
        <v>0</v>
      </c>
      <c r="Q11" s="37" t="b">
        <f>IFERROR(__xludf.DUMMYFUNCTION("if(isblank(A11),,REGEXMATCH(B11,""^((I ?\+ ?(D ?I|I ?D))|((D ?I|I ?D) ?\+ ?I)) *$""))"),FALSE)</f>
        <v>0</v>
      </c>
      <c r="R11" s="37" t="b">
        <f>IFERROR(__xludf.DUMMYFUNCTION("if(isblank(A11),,REGEXMATCH(B11,""^((D ?\+ ?(D ?I|I ?D))|((D ?I|I ?D) ?\+ ?D)) *$""))"),FALSE)</f>
        <v>0</v>
      </c>
      <c r="S11" s="37" t="b">
        <f>IFERROR(__xludf.DUMMYFUNCTION("if(isblank(A11),,REGEXMATCH(B11,""^((U ?\+ ?(D ?I|I ?D))|((D ?I|I ?D) ?\+ ?U)) *$""))"),FALSE)</f>
        <v>0</v>
      </c>
      <c r="T11" s="37" t="b">
        <f>IFERROR(__xludf.DUMMYFUNCTION("if(isblank(A11),,REGEXMATCH(B11,""^((N ?\+ ?(D ?I|I ?D))|((D ?I|I ?D) ?\+ ?N)) *$""))"),FALSE)</f>
        <v>0</v>
      </c>
      <c r="U11" s="37" t="b">
        <f>IFERROR(__xludf.DUMMYFUNCTION("if(isblank(A11),,REGEXMATCH(B11,""^((I ?\+ ?(U ?I|I ?U))|((I ?U|U ?I) ?\+ ?I)) *$""))"),FALSE)</f>
        <v>0</v>
      </c>
      <c r="V11" s="37" t="b">
        <f>IFERROR(__xludf.DUMMYFUNCTION("if(isblank(A11),,REGEXMATCH(B11,""^((D ?\+ ?(U ?I|I ?U))|((I ?U|U ?I) ?\+ ?D)) *$""))"),FALSE)</f>
        <v>0</v>
      </c>
      <c r="W11" s="37" t="b">
        <f>IFERROR(__xludf.DUMMYFUNCTION("if(isblank(A11),,REGEXMATCH(B11,""^((U ?\+ ?(U ?I|I ?U))|((I ?U|U ?I) ?\+ ?U)) *$""))"),FALSE)</f>
        <v>0</v>
      </c>
      <c r="X11" s="37" t="b">
        <f>IFERROR(__xludf.DUMMYFUNCTION("if(isblank(A11),,REGEXMATCH(B11,""^((N ?\+ ?(U ?I|I ?U))|((I ?U|U ?I) ?\+ ?N)) *$""))"),FALSE)</f>
        <v>0</v>
      </c>
      <c r="Y11" s="37" t="b">
        <f>IFERROR(__xludf.DUMMYFUNCTION("if(isblank(A11),,REGEXMATCH(B11,""^((I ?\+ ?(U ?D|D ?U))|((D ?U|U ?D) ?\+ ?I)) *$""))"),FALSE)</f>
        <v>0</v>
      </c>
      <c r="Z11" s="37" t="b">
        <f>IFERROR(__xludf.DUMMYFUNCTION("if(isblank(A11),,REGEXMATCH(B11,""^((D ?\+ ?(U ?D|D ?U))|((D ?U|U ?D) ?\+ ?D)) *$""))"),FALSE)</f>
        <v>0</v>
      </c>
      <c r="AA11" s="37" t="b">
        <f>IFERROR(__xludf.DUMMYFUNCTION("if(isblank(A11),,REGEXMATCH(B11,""^((U ?\+ ?(U ?D|D ?U))|((D ?U|U ?D) ?\+ ?U)) *$""))"),FALSE)</f>
        <v>0</v>
      </c>
      <c r="AB11" s="37" t="b">
        <f>IFERROR(__xludf.DUMMYFUNCTION("if(isblank(A11),,REGEXMATCH(B11,""^((D ?I|I ?D) ?\+ ?(D ?I|I ?D)) *$""))"),FALSE)</f>
        <v>0</v>
      </c>
      <c r="AC11" s="37" t="b">
        <f>IFERROR(__xludf.DUMMYFUNCTION("if(isblank(A11),,REGEXMATCH(B11,""^((D ?I|I ?D) ?\+ ?(U ?I|I ?U))|((U ?I|I ?U) ?\+ ?(D ?I|I ?D)) *$""))"),FALSE)</f>
        <v>0</v>
      </c>
      <c r="AD11" s="37" t="b">
        <f>IFERROR(__xludf.DUMMYFUNCTION("if(isblank(A11),,REGEXMATCH(B11,""^I *vs\. I *$""))"),FALSE)</f>
        <v>0</v>
      </c>
      <c r="AE11" s="37" t="b">
        <f>IFERROR(__xludf.DUMMYFUNCTION("if(isblank(A11),,REGEXMATCH(B11,""(^I *vs\. D *$)|(^D *vs\. I *$)""))"),FALSE)</f>
        <v>0</v>
      </c>
      <c r="AF11" s="37" t="b">
        <f>IFERROR(__xludf.DUMMYFUNCTION("if(isblank(A11),,REGEXMATCH(B11,""(^I *vs\. U *$)|(^U *vs\. I *$)""))"),FALSE)</f>
        <v>0</v>
      </c>
      <c r="AG11" s="37" t="b">
        <f>IFERROR(__xludf.DUMMYFUNCTION("if(isblank(A11),,REGEXMATCH(B11,""^D *vs\. D *$""))"),FALSE)</f>
        <v>0</v>
      </c>
      <c r="AH11" s="37" t="b">
        <f>IFERROR(__xludf.DUMMYFUNCTION("if(isblank(A11),,REGEXMATCH(B11,""(^U *vs\. D *$)|(^D *vs\. U *$)""))"),FALSE)</f>
        <v>0</v>
      </c>
      <c r="AI11" s="37" t="b">
        <f>IFERROR(__xludf.DUMMYFUNCTION("if(isblank(A11),,REGEXMATCH(B11,""^U *vs\. U *$""))"),TRUE)</f>
        <v>1</v>
      </c>
      <c r="AJ11" s="37" t="b">
        <f>IFERROR(__xludf.DUMMYFUNCTION("if(isblank(A11),,REGEXMATCH(B11,""^((I ?vs\. ?(D ?I|I ?D))|((D ?I|I ?D) ?vs\. ?I)) *$""))"),FALSE)</f>
        <v>0</v>
      </c>
      <c r="AK11" s="37" t="b">
        <f>IFERROR(__xludf.DUMMYFUNCTION("if(isblank(A11),,REGEXMATCH(B11,""^((D ?vs\. ?(D ?I|I ?D))|((D ?I|I ?D) ?vs\. ?D)) *$""))"),FALSE)</f>
        <v>0</v>
      </c>
      <c r="AL11" s="37" t="b">
        <f>IFERROR(__xludf.DUMMYFUNCTION("if(isblank(A11),,REGEXMATCH(B11,""^((U ?vs\. ?(D ?I|I ?D))|((D ?I|I ?D) ?vs\. ?U)) *$""))"),FALSE)</f>
        <v>0</v>
      </c>
      <c r="AM11" s="37" t="b">
        <f>IFERROR(__xludf.DUMMYFUNCTION("if(isblank(A11),,REGEXMATCH(B11,""^((I ?vs\. ?(U ?I|I ?U))|((U ?I|I ?U) ?vs\. ?I)) *$""))"),FALSE)</f>
        <v>0</v>
      </c>
      <c r="AN11" s="37" t="b">
        <f>IFERROR(__xludf.DUMMYFUNCTION("if(isblank(A11),,REGEXMATCH(B11,""^((D ?vs\. ?(U ?I|I ?U))|((U ?I|I ?U) ?vs\. ?D)) *$""))"),FALSE)</f>
        <v>0</v>
      </c>
      <c r="AO11" s="37" t="b">
        <f>IFERROR(__xludf.DUMMYFUNCTION("if(isblank(A11),,REGEXMATCH(B11,""^((U ?vs\. ?(U ?I|I ?U))|((U ?I|I ?U) ?vs\. ?U)) *$""))"),FALSE)</f>
        <v>0</v>
      </c>
      <c r="AP11" s="37" t="b">
        <f>IFERROR(__xludf.DUMMYFUNCTION("if(isblank(A11),,REGEXMATCH(B11,""^((I ?vs\. ?(U ?D|D ?U))|((D ?U|U ?D) ?vs\. ?I)) *$""))"),FALSE)</f>
        <v>0</v>
      </c>
      <c r="AQ11" s="37" t="b">
        <f>IFERROR(__xludf.DUMMYFUNCTION("if(isblank(A11),,REGEXMATCH(B11,""^((D ?vs\. ?(U ?D|D ?U))|((D ?U|U ?D) ?vs\. ?D)) *$""))"),FALSE)</f>
        <v>0</v>
      </c>
      <c r="AR11" s="37" t="b">
        <f>IFERROR(__xludf.DUMMYFUNCTION("if(isblank(A11),,REGEXMATCH(B11,""^((U ?vs\. ?(U ?D|D ?U))|((D ?U|U ?D) ?vs\. ?U)) *$""))"),FALSE)</f>
        <v>0</v>
      </c>
      <c r="AS11" s="37" t="b">
        <f>IFERROR(__xludf.DUMMYFUNCTION("if(isblank(A11),,REGEXMATCH(B11,""^((D ?I|I ?D) ?vs\. ?(D ?I|I ?D)) *$""))"),FALSE)</f>
        <v>0</v>
      </c>
      <c r="AT11" s="37" t="b">
        <f>IFERROR(__xludf.DUMMYFUNCTION("if(isblank(A11),,REGEXMATCH(B11,""^((D ?I|I ?D) ?vs\. ?(U ?I|I ?U))|((U ?I|I ?U) ?vs\. ?(D ?I|I ?D)) *$""))"),FALSE)</f>
        <v>0</v>
      </c>
      <c r="AU11" s="37" t="b">
        <f>IFERROR(__xludf.DUMMYFUNCTION("if(isblank(A11),,REGEXMATCH(B11,""^((D ?I|I ?D) ?vs\. ?(U ?D|D ?U))|((U ?D|D ?U) ?vs\. ?(D ?I|I ?D)) *$""))"),FALSE)</f>
        <v>0</v>
      </c>
      <c r="AV11" s="37" t="b">
        <f>IFERROR(__xludf.DUMMYFUNCTION("if(isblank(A11),,REGEXMATCH(B11,""^((U ?I|I ?U) ?vs\. ?(U ?I|I ?U)) *$""))"),FALSE)</f>
        <v>0</v>
      </c>
    </row>
    <row r="12" ht="26.25" customHeight="1">
      <c r="A12" s="79" t="str">
        <f>Paper_Textual_Conflict!M12</f>
        <v>I vs. I(pom.xml)</v>
      </c>
      <c r="B12" s="37" t="str">
        <f>IFERROR(__xludf.DUMMYFUNCTION("if(isblank(A12),,regexextract(REGEXEXTRACT(A12,""^.*""),""^[^(]*""))"),"I vs. I")</f>
        <v>I vs. I</v>
      </c>
      <c r="C12" s="37" t="b">
        <f>IFERROR(__xludf.DUMMYFUNCTION("if(isblank(A12),,REGEXMATCH(B12,"".*\+.*"") )"),FALSE)</f>
        <v>0</v>
      </c>
      <c r="D12" s="37" t="b">
        <f>IFERROR(__xludf.DUMMYFUNCTION("if(isblank(A12),,REGEXMATCH(B12,"".*vs.*"") )"),TRUE)</f>
        <v>1</v>
      </c>
      <c r="E12" s="37" t="b">
        <f>Paper_Textual_Conflict!H12</f>
        <v>1</v>
      </c>
      <c r="F12" s="37" t="str">
        <f>Paper_Textual_Conflict!Q12</f>
        <v>Non-Java</v>
      </c>
      <c r="G12" s="33">
        <v>12.0</v>
      </c>
      <c r="H12" s="37" t="b">
        <f>IFERROR(__xludf.DUMMYFUNCTION("if(isblank(A12),,REGEXMATCH(B12,""^I *\+ I *$""))"),FALSE)</f>
        <v>0</v>
      </c>
      <c r="I12" s="37" t="b">
        <f>IFERROR(__xludf.DUMMYFUNCTION("if(isblank(A12),,REGEXMATCH(B12,""(^I *\+ D *$)|(^D *\+ I *$)""))"),FALSE)</f>
        <v>0</v>
      </c>
      <c r="J12" s="37" t="b">
        <f>IFERROR(__xludf.DUMMYFUNCTION("if(isblank(A12),,REGEXMATCH(B12,""(^I *\+ U *$)|(^U *\+ I *$)""))"),FALSE)</f>
        <v>0</v>
      </c>
      <c r="K12" s="37" t="b">
        <f>IFERROR(__xludf.DUMMYFUNCTION("if(isblank(A12),,REGEXMATCH(B12,""(^I *\+ N *$)|(^N *\+ I *$)"") )"),FALSE)</f>
        <v>0</v>
      </c>
      <c r="L12" s="37" t="b">
        <f>IFERROR(__xludf.DUMMYFUNCTION("if(isblank(A12),,REGEXMATCH(B12,""^D *\+ D *$""))"),FALSE)</f>
        <v>0</v>
      </c>
      <c r="M12" s="37" t="b">
        <f>IFERROR(__xludf.DUMMYFUNCTION("if(isblank(A12),,REGEXMATCH(B12,""(^U *\+ D *$)|(^D *\+ U *$)""))"),FALSE)</f>
        <v>0</v>
      </c>
      <c r="N12" s="37" t="b">
        <f>IFERROR(__xludf.DUMMYFUNCTION("if(isblank(A12),,REGEXMATCH(B12,""(^N *\+ D *$)|(^D *\+ N *$)""))"),FALSE)</f>
        <v>0</v>
      </c>
      <c r="O12" s="37" t="b">
        <f>IFERROR(__xludf.DUMMYFUNCTION("if(isblank(A12),,REGEXMATCH(B12,""^U *\+ U *$""))"),FALSE)</f>
        <v>0</v>
      </c>
      <c r="P12" s="37" t="b">
        <f>IFERROR(__xludf.DUMMYFUNCTION("if(isblank(A12),,REGEXMATCH(B12,""(^U *\+ N *$)|(^N *\+ U *$)""))"),FALSE)</f>
        <v>0</v>
      </c>
      <c r="Q12" s="37" t="b">
        <f>IFERROR(__xludf.DUMMYFUNCTION("if(isblank(A12),,REGEXMATCH(B12,""^((I ?\+ ?(D ?I|I ?D))|((D ?I|I ?D) ?\+ ?I)) *$""))"),FALSE)</f>
        <v>0</v>
      </c>
      <c r="R12" s="37" t="b">
        <f>IFERROR(__xludf.DUMMYFUNCTION("if(isblank(A12),,REGEXMATCH(B12,""^((D ?\+ ?(D ?I|I ?D))|((D ?I|I ?D) ?\+ ?D)) *$""))"),FALSE)</f>
        <v>0</v>
      </c>
      <c r="S12" s="37" t="b">
        <f>IFERROR(__xludf.DUMMYFUNCTION("if(isblank(A12),,REGEXMATCH(B12,""^((U ?\+ ?(D ?I|I ?D))|((D ?I|I ?D) ?\+ ?U)) *$""))"),FALSE)</f>
        <v>0</v>
      </c>
      <c r="T12" s="37" t="b">
        <f>IFERROR(__xludf.DUMMYFUNCTION("if(isblank(A12),,REGEXMATCH(B12,""^((N ?\+ ?(D ?I|I ?D))|((D ?I|I ?D) ?\+ ?N)) *$""))"),FALSE)</f>
        <v>0</v>
      </c>
      <c r="U12" s="37" t="b">
        <f>IFERROR(__xludf.DUMMYFUNCTION("if(isblank(A12),,REGEXMATCH(B12,""^((I ?\+ ?(U ?I|I ?U))|((I ?U|U ?I) ?\+ ?I)) *$""))"),FALSE)</f>
        <v>0</v>
      </c>
      <c r="V12" s="37" t="b">
        <f>IFERROR(__xludf.DUMMYFUNCTION("if(isblank(A12),,REGEXMATCH(B12,""^((D ?\+ ?(U ?I|I ?U))|((I ?U|U ?I) ?\+ ?D)) *$""))"),FALSE)</f>
        <v>0</v>
      </c>
      <c r="W12" s="37" t="b">
        <f>IFERROR(__xludf.DUMMYFUNCTION("if(isblank(A12),,REGEXMATCH(B12,""^((U ?\+ ?(U ?I|I ?U))|((I ?U|U ?I) ?\+ ?U)) *$""))"),FALSE)</f>
        <v>0</v>
      </c>
      <c r="X12" s="37" t="b">
        <f>IFERROR(__xludf.DUMMYFUNCTION("if(isblank(A12),,REGEXMATCH(B12,""^((N ?\+ ?(U ?I|I ?U))|((I ?U|U ?I) ?\+ ?N)) *$""))"),FALSE)</f>
        <v>0</v>
      </c>
      <c r="Y12" s="37" t="b">
        <f>IFERROR(__xludf.DUMMYFUNCTION("if(isblank(A12),,REGEXMATCH(B12,""^((I ?\+ ?(U ?D|D ?U))|((D ?U|U ?D) ?\+ ?I)) *$""))"),FALSE)</f>
        <v>0</v>
      </c>
      <c r="Z12" s="37" t="b">
        <f>IFERROR(__xludf.DUMMYFUNCTION("if(isblank(A12),,REGEXMATCH(B12,""^((D ?\+ ?(U ?D|D ?U))|((D ?U|U ?D) ?\+ ?D)) *$""))"),FALSE)</f>
        <v>0</v>
      </c>
      <c r="AA12" s="37" t="b">
        <f>IFERROR(__xludf.DUMMYFUNCTION("if(isblank(A12),,REGEXMATCH(B12,""^((U ?\+ ?(U ?D|D ?U))|((D ?U|U ?D) ?\+ ?U)) *$""))"),FALSE)</f>
        <v>0</v>
      </c>
      <c r="AB12" s="37" t="b">
        <f>IFERROR(__xludf.DUMMYFUNCTION("if(isblank(A12),,REGEXMATCH(B12,""^((D ?I|I ?D) ?\+ ?(D ?I|I ?D)) *$""))"),FALSE)</f>
        <v>0</v>
      </c>
      <c r="AC12" s="37" t="b">
        <f>IFERROR(__xludf.DUMMYFUNCTION("if(isblank(A12),,REGEXMATCH(B12,""^((D ?I|I ?D) ?\+ ?(U ?I|I ?U))|((U ?I|I ?U) ?\+ ?(D ?I|I ?D)) *$""))"),FALSE)</f>
        <v>0</v>
      </c>
      <c r="AD12" s="37" t="b">
        <f>IFERROR(__xludf.DUMMYFUNCTION("if(isblank(A12),,REGEXMATCH(B12,""^I *vs\. I *$""))"),TRUE)</f>
        <v>1</v>
      </c>
      <c r="AE12" s="37" t="b">
        <f>IFERROR(__xludf.DUMMYFUNCTION("if(isblank(A12),,REGEXMATCH(B12,""(^I *vs\. D *$)|(^D *vs\. I *$)""))"),FALSE)</f>
        <v>0</v>
      </c>
      <c r="AF12" s="37" t="b">
        <f>IFERROR(__xludf.DUMMYFUNCTION("if(isblank(A12),,REGEXMATCH(B12,""(^I *vs\. U *$)|(^U *vs\. I *$)""))"),FALSE)</f>
        <v>0</v>
      </c>
      <c r="AG12" s="37" t="b">
        <f>IFERROR(__xludf.DUMMYFUNCTION("if(isblank(A12),,REGEXMATCH(B12,""^D *vs\. D *$""))"),FALSE)</f>
        <v>0</v>
      </c>
      <c r="AH12" s="37" t="b">
        <f>IFERROR(__xludf.DUMMYFUNCTION("if(isblank(A12),,REGEXMATCH(B12,""(^U *vs\. D *$)|(^D *vs\. U *$)""))"),FALSE)</f>
        <v>0</v>
      </c>
      <c r="AI12" s="37" t="b">
        <f>IFERROR(__xludf.DUMMYFUNCTION("if(isblank(A12),,REGEXMATCH(B12,""^U *vs\. U *$""))"),FALSE)</f>
        <v>0</v>
      </c>
      <c r="AJ12" s="37" t="b">
        <f>IFERROR(__xludf.DUMMYFUNCTION("if(isblank(A12),,REGEXMATCH(B12,""^((I ?vs\. ?(D ?I|I ?D))|((D ?I|I ?D) ?vs\. ?I)) *$""))"),FALSE)</f>
        <v>0</v>
      </c>
      <c r="AK12" s="37" t="b">
        <f>IFERROR(__xludf.DUMMYFUNCTION("if(isblank(A12),,REGEXMATCH(B12,""^((D ?vs\. ?(D ?I|I ?D))|((D ?I|I ?D) ?vs\. ?D)) *$""))"),FALSE)</f>
        <v>0</v>
      </c>
      <c r="AL12" s="37" t="b">
        <f>IFERROR(__xludf.DUMMYFUNCTION("if(isblank(A12),,REGEXMATCH(B12,""^((U ?vs\. ?(D ?I|I ?D))|((D ?I|I ?D) ?vs\. ?U)) *$""))"),FALSE)</f>
        <v>0</v>
      </c>
      <c r="AM12" s="37" t="b">
        <f>IFERROR(__xludf.DUMMYFUNCTION("if(isblank(A12),,REGEXMATCH(B12,""^((I ?vs\. ?(U ?I|I ?U))|((U ?I|I ?U) ?vs\. ?I)) *$""))"),FALSE)</f>
        <v>0</v>
      </c>
      <c r="AN12" s="37" t="b">
        <f>IFERROR(__xludf.DUMMYFUNCTION("if(isblank(A12),,REGEXMATCH(B12,""^((D ?vs\. ?(U ?I|I ?U))|((U ?I|I ?U) ?vs\. ?D)) *$""))"),FALSE)</f>
        <v>0</v>
      </c>
      <c r="AO12" s="37" t="b">
        <f>IFERROR(__xludf.DUMMYFUNCTION("if(isblank(A12),,REGEXMATCH(B12,""^((U ?vs\. ?(U ?I|I ?U))|((U ?I|I ?U) ?vs\. ?U)) *$""))"),FALSE)</f>
        <v>0</v>
      </c>
      <c r="AP12" s="37" t="b">
        <f>IFERROR(__xludf.DUMMYFUNCTION("if(isblank(A12),,REGEXMATCH(B12,""^((I ?vs\. ?(U ?D|D ?U))|((D ?U|U ?D) ?vs\. ?I)) *$""))"),FALSE)</f>
        <v>0</v>
      </c>
      <c r="AQ12" s="37" t="b">
        <f>IFERROR(__xludf.DUMMYFUNCTION("if(isblank(A12),,REGEXMATCH(B12,""^((D ?vs\. ?(U ?D|D ?U))|((D ?U|U ?D) ?vs\. ?D)) *$""))"),FALSE)</f>
        <v>0</v>
      </c>
      <c r="AR12" s="37" t="b">
        <f>IFERROR(__xludf.DUMMYFUNCTION("if(isblank(A12),,REGEXMATCH(B12,""^((U ?vs\. ?(U ?D|D ?U))|((D ?U|U ?D) ?vs\. ?U)) *$""))"),FALSE)</f>
        <v>0</v>
      </c>
      <c r="AS12" s="37" t="b">
        <f>IFERROR(__xludf.DUMMYFUNCTION("if(isblank(A12),,REGEXMATCH(B12,""^((D ?I|I ?D) ?vs\. ?(D ?I|I ?D)) *$""))"),FALSE)</f>
        <v>0</v>
      </c>
      <c r="AT12" s="37" t="b">
        <f>IFERROR(__xludf.DUMMYFUNCTION("if(isblank(A12),,REGEXMATCH(B12,""^((D ?I|I ?D) ?vs\. ?(U ?I|I ?U))|((U ?I|I ?U) ?vs\. ?(D ?I|I ?D)) *$""))"),FALSE)</f>
        <v>0</v>
      </c>
      <c r="AU12" s="37" t="b">
        <f>IFERROR(__xludf.DUMMYFUNCTION("if(isblank(A12),,REGEXMATCH(B12,""^((D ?I|I ?D) ?vs\. ?(U ?D|D ?U))|((U ?D|D ?U) ?vs\. ?(D ?I|I ?D)) *$""))"),FALSE)</f>
        <v>0</v>
      </c>
      <c r="AV12" s="37" t="b">
        <f>IFERROR(__xludf.DUMMYFUNCTION("if(isblank(A12),,REGEXMATCH(B12,""^((U ?I|I ?U) ?vs\. ?(U ?I|I ?U)) *$""))"),FALSE)</f>
        <v>0</v>
      </c>
    </row>
    <row r="13" ht="26.25" customHeight="1">
      <c r="A13" s="79" t="str">
        <f>Paper_Textual_Conflict!M13</f>
        <v>U vs. U (version no) L &gt; R</v>
      </c>
      <c r="B13" s="37" t="str">
        <f>IFERROR(__xludf.DUMMYFUNCTION("if(isblank(A13),,regexextract(REGEXEXTRACT(A13,""^.*""),""^[^(]*""))"),"U vs. U ")</f>
        <v>U vs. U </v>
      </c>
      <c r="C13" s="37" t="b">
        <f>IFERROR(__xludf.DUMMYFUNCTION("if(isblank(A13),,REGEXMATCH(B13,"".*\+.*"") )"),FALSE)</f>
        <v>0</v>
      </c>
      <c r="D13" s="37" t="b">
        <f>IFERROR(__xludf.DUMMYFUNCTION("if(isblank(A13),,REGEXMATCH(B13,"".*vs.*"") )"),TRUE)</f>
        <v>1</v>
      </c>
      <c r="E13" s="37" t="b">
        <f>Paper_Textual_Conflict!H13</f>
        <v>1</v>
      </c>
      <c r="F13" s="37" t="str">
        <f>Paper_Textual_Conflict!Q13</f>
        <v>Non-Java</v>
      </c>
      <c r="G13" s="33">
        <v>13.0</v>
      </c>
      <c r="H13" s="37" t="b">
        <f>IFERROR(__xludf.DUMMYFUNCTION("if(isblank(A13),,REGEXMATCH(B13,""^I *\+ I *$""))"),FALSE)</f>
        <v>0</v>
      </c>
      <c r="I13" s="37" t="b">
        <f>IFERROR(__xludf.DUMMYFUNCTION("if(isblank(A13),,REGEXMATCH(B13,""(^I *\+ D *$)|(^D *\+ I *$)""))"),FALSE)</f>
        <v>0</v>
      </c>
      <c r="J13" s="37" t="b">
        <f>IFERROR(__xludf.DUMMYFUNCTION("if(isblank(A13),,REGEXMATCH(B13,""(^I *\+ U *$)|(^U *\+ I *$)""))"),FALSE)</f>
        <v>0</v>
      </c>
      <c r="K13" s="37" t="b">
        <f>IFERROR(__xludf.DUMMYFUNCTION("if(isblank(A13),,REGEXMATCH(B13,""(^I *\+ N *$)|(^N *\+ I *$)"") )"),FALSE)</f>
        <v>0</v>
      </c>
      <c r="L13" s="37" t="b">
        <f>IFERROR(__xludf.DUMMYFUNCTION("if(isblank(A13),,REGEXMATCH(B13,""^D *\+ D *$""))"),FALSE)</f>
        <v>0</v>
      </c>
      <c r="M13" s="37" t="b">
        <f>IFERROR(__xludf.DUMMYFUNCTION("if(isblank(A13),,REGEXMATCH(B13,""(^U *\+ D *$)|(^D *\+ U *$)""))"),FALSE)</f>
        <v>0</v>
      </c>
      <c r="N13" s="37" t="b">
        <f>IFERROR(__xludf.DUMMYFUNCTION("if(isblank(A13),,REGEXMATCH(B13,""(^N *\+ D *$)|(^D *\+ N *$)""))"),FALSE)</f>
        <v>0</v>
      </c>
      <c r="O13" s="37" t="b">
        <f>IFERROR(__xludf.DUMMYFUNCTION("if(isblank(A13),,REGEXMATCH(B13,""^U *\+ U *$""))"),FALSE)</f>
        <v>0</v>
      </c>
      <c r="P13" s="37" t="b">
        <f>IFERROR(__xludf.DUMMYFUNCTION("if(isblank(A13),,REGEXMATCH(B13,""(^U *\+ N *$)|(^N *\+ U *$)""))"),FALSE)</f>
        <v>0</v>
      </c>
      <c r="Q13" s="37" t="b">
        <f>IFERROR(__xludf.DUMMYFUNCTION("if(isblank(A13),,REGEXMATCH(B13,""^((I ?\+ ?(D ?I|I ?D))|((D ?I|I ?D) ?\+ ?I)) *$""))"),FALSE)</f>
        <v>0</v>
      </c>
      <c r="R13" s="37" t="b">
        <f>IFERROR(__xludf.DUMMYFUNCTION("if(isblank(A13),,REGEXMATCH(B13,""^((D ?\+ ?(D ?I|I ?D))|((D ?I|I ?D) ?\+ ?D)) *$""))"),FALSE)</f>
        <v>0</v>
      </c>
      <c r="S13" s="37" t="b">
        <f>IFERROR(__xludf.DUMMYFUNCTION("if(isblank(A13),,REGEXMATCH(B13,""^((U ?\+ ?(D ?I|I ?D))|((D ?I|I ?D) ?\+ ?U)) *$""))"),FALSE)</f>
        <v>0</v>
      </c>
      <c r="T13" s="37" t="b">
        <f>IFERROR(__xludf.DUMMYFUNCTION("if(isblank(A13),,REGEXMATCH(B13,""^((N ?\+ ?(D ?I|I ?D))|((D ?I|I ?D) ?\+ ?N)) *$""))"),FALSE)</f>
        <v>0</v>
      </c>
      <c r="U13" s="37" t="b">
        <f>IFERROR(__xludf.DUMMYFUNCTION("if(isblank(A13),,REGEXMATCH(B13,""^((I ?\+ ?(U ?I|I ?U))|((I ?U|U ?I) ?\+ ?I)) *$""))"),FALSE)</f>
        <v>0</v>
      </c>
      <c r="V13" s="37" t="b">
        <f>IFERROR(__xludf.DUMMYFUNCTION("if(isblank(A13),,REGEXMATCH(B13,""^((D ?\+ ?(U ?I|I ?U))|((I ?U|U ?I) ?\+ ?D)) *$""))"),FALSE)</f>
        <v>0</v>
      </c>
      <c r="W13" s="37" t="b">
        <f>IFERROR(__xludf.DUMMYFUNCTION("if(isblank(A13),,REGEXMATCH(B13,""^((U ?\+ ?(U ?I|I ?U))|((I ?U|U ?I) ?\+ ?U)) *$""))"),FALSE)</f>
        <v>0</v>
      </c>
      <c r="X13" s="37" t="b">
        <f>IFERROR(__xludf.DUMMYFUNCTION("if(isblank(A13),,REGEXMATCH(B13,""^((N ?\+ ?(U ?I|I ?U))|((I ?U|U ?I) ?\+ ?N)) *$""))"),FALSE)</f>
        <v>0</v>
      </c>
      <c r="Y13" s="37" t="b">
        <f>IFERROR(__xludf.DUMMYFUNCTION("if(isblank(A13),,REGEXMATCH(B13,""^((I ?\+ ?(U ?D|D ?U))|((D ?U|U ?D) ?\+ ?I)) *$""))"),FALSE)</f>
        <v>0</v>
      </c>
      <c r="Z13" s="37" t="b">
        <f>IFERROR(__xludf.DUMMYFUNCTION("if(isblank(A13),,REGEXMATCH(B13,""^((D ?\+ ?(U ?D|D ?U))|((D ?U|U ?D) ?\+ ?D)) *$""))"),FALSE)</f>
        <v>0</v>
      </c>
      <c r="AA13" s="37" t="b">
        <f>IFERROR(__xludf.DUMMYFUNCTION("if(isblank(A13),,REGEXMATCH(B13,""^((U ?\+ ?(U ?D|D ?U))|((D ?U|U ?D) ?\+ ?U)) *$""))"),FALSE)</f>
        <v>0</v>
      </c>
      <c r="AB13" s="37" t="b">
        <f>IFERROR(__xludf.DUMMYFUNCTION("if(isblank(A13),,REGEXMATCH(B13,""^((D ?I|I ?D) ?\+ ?(D ?I|I ?D)) *$""))"),FALSE)</f>
        <v>0</v>
      </c>
      <c r="AC13" s="37" t="b">
        <f>IFERROR(__xludf.DUMMYFUNCTION("if(isblank(A13),,REGEXMATCH(B13,""^((D ?I|I ?D) ?\+ ?(U ?I|I ?U))|((U ?I|I ?U) ?\+ ?(D ?I|I ?D)) *$""))"),FALSE)</f>
        <v>0</v>
      </c>
      <c r="AD13" s="37" t="b">
        <f>IFERROR(__xludf.DUMMYFUNCTION("if(isblank(A13),,REGEXMATCH(B13,""^I *vs\. I *$""))"),FALSE)</f>
        <v>0</v>
      </c>
      <c r="AE13" s="37" t="b">
        <f>IFERROR(__xludf.DUMMYFUNCTION("if(isblank(A13),,REGEXMATCH(B13,""(^I *vs\. D *$)|(^D *vs\. I *$)""))"),FALSE)</f>
        <v>0</v>
      </c>
      <c r="AF13" s="37" t="b">
        <f>IFERROR(__xludf.DUMMYFUNCTION("if(isblank(A13),,REGEXMATCH(B13,""(^I *vs\. U *$)|(^U *vs\. I *$)""))"),FALSE)</f>
        <v>0</v>
      </c>
      <c r="AG13" s="37" t="b">
        <f>IFERROR(__xludf.DUMMYFUNCTION("if(isblank(A13),,REGEXMATCH(B13,""^D *vs\. D *$""))"),FALSE)</f>
        <v>0</v>
      </c>
      <c r="AH13" s="37" t="b">
        <f>IFERROR(__xludf.DUMMYFUNCTION("if(isblank(A13),,REGEXMATCH(B13,""(^U *vs\. D *$)|(^D *vs\. U *$)""))"),FALSE)</f>
        <v>0</v>
      </c>
      <c r="AI13" s="37" t="b">
        <f>IFERROR(__xludf.DUMMYFUNCTION("if(isblank(A13),,REGEXMATCH(B13,""^U *vs\. U *$""))"),TRUE)</f>
        <v>1</v>
      </c>
      <c r="AJ13" s="37" t="b">
        <f>IFERROR(__xludf.DUMMYFUNCTION("if(isblank(A13),,REGEXMATCH(B13,""^((I ?vs\. ?(D ?I|I ?D))|((D ?I|I ?D) ?vs\. ?I)) *$""))"),FALSE)</f>
        <v>0</v>
      </c>
      <c r="AK13" s="37" t="b">
        <f>IFERROR(__xludf.DUMMYFUNCTION("if(isblank(A13),,REGEXMATCH(B13,""^((D ?vs\. ?(D ?I|I ?D))|((D ?I|I ?D) ?vs\. ?D)) *$""))"),FALSE)</f>
        <v>0</v>
      </c>
      <c r="AL13" s="37" t="b">
        <f>IFERROR(__xludf.DUMMYFUNCTION("if(isblank(A13),,REGEXMATCH(B13,""^((U ?vs\. ?(D ?I|I ?D))|((D ?I|I ?D) ?vs\. ?U)) *$""))"),FALSE)</f>
        <v>0</v>
      </c>
      <c r="AM13" s="37" t="b">
        <f>IFERROR(__xludf.DUMMYFUNCTION("if(isblank(A13),,REGEXMATCH(B13,""^((I ?vs\. ?(U ?I|I ?U))|((U ?I|I ?U) ?vs\. ?I)) *$""))"),FALSE)</f>
        <v>0</v>
      </c>
      <c r="AN13" s="37" t="b">
        <f>IFERROR(__xludf.DUMMYFUNCTION("if(isblank(A13),,REGEXMATCH(B13,""^((D ?vs\. ?(U ?I|I ?U))|((U ?I|I ?U) ?vs\. ?D)) *$""))"),FALSE)</f>
        <v>0</v>
      </c>
      <c r="AO13" s="37" t="b">
        <f>IFERROR(__xludf.DUMMYFUNCTION("if(isblank(A13),,REGEXMATCH(B13,""^((U ?vs\. ?(U ?I|I ?U))|((U ?I|I ?U) ?vs\. ?U)) *$""))"),FALSE)</f>
        <v>0</v>
      </c>
      <c r="AP13" s="37" t="b">
        <f>IFERROR(__xludf.DUMMYFUNCTION("if(isblank(A13),,REGEXMATCH(B13,""^((I ?vs\. ?(U ?D|D ?U))|((D ?U|U ?D) ?vs\. ?I)) *$""))"),FALSE)</f>
        <v>0</v>
      </c>
      <c r="AQ13" s="37" t="b">
        <f>IFERROR(__xludf.DUMMYFUNCTION("if(isblank(A13),,REGEXMATCH(B13,""^((D ?vs\. ?(U ?D|D ?U))|((D ?U|U ?D) ?vs\. ?D)) *$""))"),FALSE)</f>
        <v>0</v>
      </c>
      <c r="AR13" s="37" t="b">
        <f>IFERROR(__xludf.DUMMYFUNCTION("if(isblank(A13),,REGEXMATCH(B13,""^((U ?vs\. ?(U ?D|D ?U))|((D ?U|U ?D) ?vs\. ?U)) *$""))"),FALSE)</f>
        <v>0</v>
      </c>
      <c r="AS13" s="37" t="b">
        <f>IFERROR(__xludf.DUMMYFUNCTION("if(isblank(A13),,REGEXMATCH(B13,""^((D ?I|I ?D) ?vs\. ?(D ?I|I ?D)) *$""))"),FALSE)</f>
        <v>0</v>
      </c>
      <c r="AT13" s="37" t="b">
        <f>IFERROR(__xludf.DUMMYFUNCTION("if(isblank(A13),,REGEXMATCH(B13,""^((D ?I|I ?D) ?vs\. ?(U ?I|I ?U))|((U ?I|I ?U) ?vs\. ?(D ?I|I ?D)) *$""))"),FALSE)</f>
        <v>0</v>
      </c>
      <c r="AU13" s="37" t="b">
        <f>IFERROR(__xludf.DUMMYFUNCTION("if(isblank(A13),,REGEXMATCH(B13,""^((D ?I|I ?D) ?vs\. ?(U ?D|D ?U))|((U ?D|D ?U) ?vs\. ?(D ?I|I ?D)) *$""))"),FALSE)</f>
        <v>0</v>
      </c>
      <c r="AV13" s="37" t="b">
        <f>IFERROR(__xludf.DUMMYFUNCTION("if(isblank(A13),,REGEXMATCH(B13,""^((U ?I|I ?U) ?vs\. ?(U ?I|I ?U)) *$""))"),FALSE)</f>
        <v>0</v>
      </c>
    </row>
    <row r="14" ht="26.25" customHeight="1">
      <c r="A14" s="79" t="str">
        <f>Paper_Textual_Conflict!M14</f>
        <v>N + D I (scala) (R include L)
Origin(I vs. U I)</v>
      </c>
      <c r="B14" s="37" t="str">
        <f>IFERROR(__xludf.DUMMYFUNCTION("if(isblank(A14),,regexextract(REGEXEXTRACT(A14,""^.*""),""^[^(]*""))"),"N + D I ")</f>
        <v>N + D I </v>
      </c>
      <c r="C14" s="37" t="b">
        <f>IFERROR(__xludf.DUMMYFUNCTION("if(isblank(A14),,REGEXMATCH(B14,"".*\+.*"") )"),TRUE)</f>
        <v>1</v>
      </c>
      <c r="D14" s="37" t="b">
        <f>IFERROR(__xludf.DUMMYFUNCTION("if(isblank(A14),,REGEXMATCH(B14,"".*vs.*"") )"),FALSE)</f>
        <v>0</v>
      </c>
      <c r="E14" s="37" t="b">
        <f>Paper_Textual_Conflict!H14</f>
        <v>0</v>
      </c>
      <c r="F14" s="37" t="str">
        <f>Paper_Textual_Conflict!Q14</f>
        <v>Non-Java</v>
      </c>
      <c r="G14" s="33">
        <v>14.0</v>
      </c>
      <c r="H14" s="37" t="b">
        <f>IFERROR(__xludf.DUMMYFUNCTION("if(isblank(A14),,REGEXMATCH(B14,""^I *\+ I *$""))"),FALSE)</f>
        <v>0</v>
      </c>
      <c r="I14" s="37" t="b">
        <f>IFERROR(__xludf.DUMMYFUNCTION("if(isblank(A14),,REGEXMATCH(B14,""(^I *\+ D *$)|(^D *\+ I *$)""))"),FALSE)</f>
        <v>0</v>
      </c>
      <c r="J14" s="37" t="b">
        <f>IFERROR(__xludf.DUMMYFUNCTION("if(isblank(A14),,REGEXMATCH(B14,""(^I *\+ U *$)|(^U *\+ I *$)""))"),FALSE)</f>
        <v>0</v>
      </c>
      <c r="K14" s="37" t="b">
        <f>IFERROR(__xludf.DUMMYFUNCTION("if(isblank(A14),,REGEXMATCH(B14,""(^I *\+ N *$)|(^N *\+ I *$)"") )"),FALSE)</f>
        <v>0</v>
      </c>
      <c r="L14" s="37" t="b">
        <f>IFERROR(__xludf.DUMMYFUNCTION("if(isblank(A14),,REGEXMATCH(B14,""^D *\+ D *$""))"),FALSE)</f>
        <v>0</v>
      </c>
      <c r="M14" s="37" t="b">
        <f>IFERROR(__xludf.DUMMYFUNCTION("if(isblank(A14),,REGEXMATCH(B14,""(^U *\+ D *$)|(^D *\+ U *$)""))"),FALSE)</f>
        <v>0</v>
      </c>
      <c r="N14" s="37" t="b">
        <f>IFERROR(__xludf.DUMMYFUNCTION("if(isblank(A14),,REGEXMATCH(B14,""(^N *\+ D *$)|(^D *\+ N *$)""))"),FALSE)</f>
        <v>0</v>
      </c>
      <c r="O14" s="37" t="b">
        <f>IFERROR(__xludf.DUMMYFUNCTION("if(isblank(A14),,REGEXMATCH(B14,""^U *\+ U *$""))"),FALSE)</f>
        <v>0</v>
      </c>
      <c r="P14" s="37" t="b">
        <f>IFERROR(__xludf.DUMMYFUNCTION("if(isblank(A14),,REGEXMATCH(B14,""(^U *\+ N *$)|(^N *\+ U *$)""))"),FALSE)</f>
        <v>0</v>
      </c>
      <c r="Q14" s="37" t="b">
        <f>IFERROR(__xludf.DUMMYFUNCTION("if(isblank(A14),,REGEXMATCH(B14,""^((I ?\+ ?(D ?I|I ?D))|((D ?I|I ?D) ?\+ ?I)) *$""))"),FALSE)</f>
        <v>0</v>
      </c>
      <c r="R14" s="37" t="b">
        <f>IFERROR(__xludf.DUMMYFUNCTION("if(isblank(A14),,REGEXMATCH(B14,""^((D ?\+ ?(D ?I|I ?D))|((D ?I|I ?D) ?\+ ?D)) *$""))"),FALSE)</f>
        <v>0</v>
      </c>
      <c r="S14" s="37" t="b">
        <f>IFERROR(__xludf.DUMMYFUNCTION("if(isblank(A14),,REGEXMATCH(B14,""^((U ?\+ ?(D ?I|I ?D))|((D ?I|I ?D) ?\+ ?U)) *$""))"),FALSE)</f>
        <v>0</v>
      </c>
      <c r="T14" s="37" t="b">
        <f>IFERROR(__xludf.DUMMYFUNCTION("if(isblank(A14),,REGEXMATCH(B14,""^((N ?\+ ?(D ?I|I ?D))|((D ?I|I ?D) ?\+ ?N)) *$""))"),TRUE)</f>
        <v>1</v>
      </c>
      <c r="U14" s="37" t="b">
        <f>IFERROR(__xludf.DUMMYFUNCTION("if(isblank(A14),,REGEXMATCH(B14,""^((I ?\+ ?(U ?I|I ?U))|((I ?U|U ?I) ?\+ ?I)) *$""))"),FALSE)</f>
        <v>0</v>
      </c>
      <c r="V14" s="37" t="b">
        <f>IFERROR(__xludf.DUMMYFUNCTION("if(isblank(A14),,REGEXMATCH(B14,""^((D ?\+ ?(U ?I|I ?U))|((I ?U|U ?I) ?\+ ?D)) *$""))"),FALSE)</f>
        <v>0</v>
      </c>
      <c r="W14" s="37" t="b">
        <f>IFERROR(__xludf.DUMMYFUNCTION("if(isblank(A14),,REGEXMATCH(B14,""^((U ?\+ ?(U ?I|I ?U))|((I ?U|U ?I) ?\+ ?U)) *$""))"),FALSE)</f>
        <v>0</v>
      </c>
      <c r="X14" s="37" t="b">
        <f>IFERROR(__xludf.DUMMYFUNCTION("if(isblank(A14),,REGEXMATCH(B14,""^((N ?\+ ?(U ?I|I ?U))|((I ?U|U ?I) ?\+ ?N)) *$""))"),FALSE)</f>
        <v>0</v>
      </c>
      <c r="Y14" s="37" t="b">
        <f>IFERROR(__xludf.DUMMYFUNCTION("if(isblank(A14),,REGEXMATCH(B14,""^((I ?\+ ?(U ?D|D ?U))|((D ?U|U ?D) ?\+ ?I)) *$""))"),FALSE)</f>
        <v>0</v>
      </c>
      <c r="Z14" s="37" t="b">
        <f>IFERROR(__xludf.DUMMYFUNCTION("if(isblank(A14),,REGEXMATCH(B14,""^((D ?\+ ?(U ?D|D ?U))|((D ?U|U ?D) ?\+ ?D)) *$""))"),FALSE)</f>
        <v>0</v>
      </c>
      <c r="AA14" s="37" t="b">
        <f>IFERROR(__xludf.DUMMYFUNCTION("if(isblank(A14),,REGEXMATCH(B14,""^((U ?\+ ?(U ?D|D ?U))|((D ?U|U ?D) ?\+ ?U)) *$""))"),FALSE)</f>
        <v>0</v>
      </c>
      <c r="AB14" s="37" t="b">
        <f>IFERROR(__xludf.DUMMYFUNCTION("if(isblank(A14),,REGEXMATCH(B14,""^((D ?I|I ?D) ?\+ ?(D ?I|I ?D)) *$""))"),FALSE)</f>
        <v>0</v>
      </c>
      <c r="AC14" s="37" t="b">
        <f>IFERROR(__xludf.DUMMYFUNCTION("if(isblank(A14),,REGEXMATCH(B14,""^((D ?I|I ?D) ?\+ ?(U ?I|I ?U))|((U ?I|I ?U) ?\+ ?(D ?I|I ?D)) *$""))"),FALSE)</f>
        <v>0</v>
      </c>
      <c r="AD14" s="37" t="b">
        <f>IFERROR(__xludf.DUMMYFUNCTION("if(isblank(A14),,REGEXMATCH(B14,""^I *vs\. I *$""))"),FALSE)</f>
        <v>0</v>
      </c>
      <c r="AE14" s="37" t="b">
        <f>IFERROR(__xludf.DUMMYFUNCTION("if(isblank(A14),,REGEXMATCH(B14,""(^I *vs\. D *$)|(^D *vs\. I *$)""))"),FALSE)</f>
        <v>0</v>
      </c>
      <c r="AF14" s="37" t="b">
        <f>IFERROR(__xludf.DUMMYFUNCTION("if(isblank(A14),,REGEXMATCH(B14,""(^I *vs\. U *$)|(^U *vs\. I *$)""))"),FALSE)</f>
        <v>0</v>
      </c>
      <c r="AG14" s="37" t="b">
        <f>IFERROR(__xludf.DUMMYFUNCTION("if(isblank(A14),,REGEXMATCH(B14,""^D *vs\. D *$""))"),FALSE)</f>
        <v>0</v>
      </c>
      <c r="AH14" s="37" t="b">
        <f>IFERROR(__xludf.DUMMYFUNCTION("if(isblank(A14),,REGEXMATCH(B14,""(^U *vs\. D *$)|(^D *vs\. U *$)""))"),FALSE)</f>
        <v>0</v>
      </c>
      <c r="AI14" s="37" t="b">
        <f>IFERROR(__xludf.DUMMYFUNCTION("if(isblank(A14),,REGEXMATCH(B14,""^U *vs\. U *$""))"),FALSE)</f>
        <v>0</v>
      </c>
      <c r="AJ14" s="37" t="b">
        <f>IFERROR(__xludf.DUMMYFUNCTION("if(isblank(A14),,REGEXMATCH(B14,""^((I ?vs\. ?(D ?I|I ?D))|((D ?I|I ?D) ?vs\. ?I)) *$""))"),FALSE)</f>
        <v>0</v>
      </c>
      <c r="AK14" s="37" t="b">
        <f>IFERROR(__xludf.DUMMYFUNCTION("if(isblank(A14),,REGEXMATCH(B14,""^((D ?vs\. ?(D ?I|I ?D))|((D ?I|I ?D) ?vs\. ?D)) *$""))"),FALSE)</f>
        <v>0</v>
      </c>
      <c r="AL14" s="37" t="b">
        <f>IFERROR(__xludf.DUMMYFUNCTION("if(isblank(A14),,REGEXMATCH(B14,""^((U ?vs\. ?(D ?I|I ?D))|((D ?I|I ?D) ?vs\. ?U)) *$""))"),FALSE)</f>
        <v>0</v>
      </c>
      <c r="AM14" s="37" t="b">
        <f>IFERROR(__xludf.DUMMYFUNCTION("if(isblank(A14),,REGEXMATCH(B14,""^((I ?vs\. ?(U ?I|I ?U))|((U ?I|I ?U) ?vs\. ?I)) *$""))"),FALSE)</f>
        <v>0</v>
      </c>
      <c r="AN14" s="37" t="b">
        <f>IFERROR(__xludf.DUMMYFUNCTION("if(isblank(A14),,REGEXMATCH(B14,""^((D ?vs\. ?(U ?I|I ?U))|((U ?I|I ?U) ?vs\. ?D)) *$""))"),FALSE)</f>
        <v>0</v>
      </c>
      <c r="AO14" s="37" t="b">
        <f>IFERROR(__xludf.DUMMYFUNCTION("if(isblank(A14),,REGEXMATCH(B14,""^((U ?vs\. ?(U ?I|I ?U))|((U ?I|I ?U) ?vs\. ?U)) *$""))"),FALSE)</f>
        <v>0</v>
      </c>
      <c r="AP14" s="37" t="b">
        <f>IFERROR(__xludf.DUMMYFUNCTION("if(isblank(A14),,REGEXMATCH(B14,""^((I ?vs\. ?(U ?D|D ?U))|((D ?U|U ?D) ?vs\. ?I)) *$""))"),FALSE)</f>
        <v>0</v>
      </c>
      <c r="AQ14" s="37" t="b">
        <f>IFERROR(__xludf.DUMMYFUNCTION("if(isblank(A14),,REGEXMATCH(B14,""^((D ?vs\. ?(U ?D|D ?U))|((D ?U|U ?D) ?vs\. ?D)) *$""))"),FALSE)</f>
        <v>0</v>
      </c>
      <c r="AR14" s="37" t="b">
        <f>IFERROR(__xludf.DUMMYFUNCTION("if(isblank(A14),,REGEXMATCH(B14,""^((U ?vs\. ?(U ?D|D ?U))|((D ?U|U ?D) ?vs\. ?U)) *$""))"),FALSE)</f>
        <v>0</v>
      </c>
      <c r="AS14" s="37" t="b">
        <f>IFERROR(__xludf.DUMMYFUNCTION("if(isblank(A14),,REGEXMATCH(B14,""^((D ?I|I ?D) ?vs\. ?(D ?I|I ?D)) *$""))"),FALSE)</f>
        <v>0</v>
      </c>
      <c r="AT14" s="37" t="b">
        <f>IFERROR(__xludf.DUMMYFUNCTION("if(isblank(A14),,REGEXMATCH(B14,""^((D ?I|I ?D) ?vs\. ?(U ?I|I ?U))|((U ?I|I ?U) ?vs\. ?(D ?I|I ?D)) *$""))"),FALSE)</f>
        <v>0</v>
      </c>
      <c r="AU14" s="37" t="b">
        <f>IFERROR(__xludf.DUMMYFUNCTION("if(isblank(A14),,REGEXMATCH(B14,""^((D ?I|I ?D) ?vs\. ?(U ?D|D ?U))|((U ?D|D ?U) ?vs\. ?(D ?I|I ?D)) *$""))"),FALSE)</f>
        <v>0</v>
      </c>
      <c r="AV14" s="37" t="b">
        <f>IFERROR(__xludf.DUMMYFUNCTION("if(isblank(A14),,REGEXMATCH(B14,""^((U ?I|I ?U) ?vs\. ?(U ?I|I ?U)) *$""))"),FALSE)</f>
        <v>0</v>
      </c>
    </row>
    <row r="15" ht="26.25" customHeight="1">
      <c r="A15" s="79" t="str">
        <f>Paper_Textual_Conflict!M15</f>
        <v>U vs. D (file)</v>
      </c>
      <c r="B15" s="37" t="str">
        <f>IFERROR(__xludf.DUMMYFUNCTION("if(isblank(A15),,regexextract(REGEXEXTRACT(A15,""^.*""),""^[^(]*""))"),"U vs. D ")</f>
        <v>U vs. D </v>
      </c>
      <c r="C15" s="37" t="b">
        <f>IFERROR(__xludf.DUMMYFUNCTION("if(isblank(A15),,REGEXMATCH(B15,"".*\+.*"") )"),FALSE)</f>
        <v>0</v>
      </c>
      <c r="D15" s="37" t="b">
        <f>IFERROR(__xludf.DUMMYFUNCTION("if(isblank(A15),,REGEXMATCH(B15,"".*vs.*"") )"),TRUE)</f>
        <v>1</v>
      </c>
      <c r="E15" s="37" t="b">
        <f>Paper_Textual_Conflict!H15</f>
        <v>1</v>
      </c>
      <c r="F15" s="37" t="str">
        <f>Paper_Textual_Conflict!Q15</f>
        <v>Java</v>
      </c>
      <c r="G15" s="33">
        <v>15.0</v>
      </c>
      <c r="H15" s="37" t="b">
        <f>IFERROR(__xludf.DUMMYFUNCTION("if(isblank(A15),,REGEXMATCH(B15,""^I *\+ I *$""))"),FALSE)</f>
        <v>0</v>
      </c>
      <c r="I15" s="37" t="b">
        <f>IFERROR(__xludf.DUMMYFUNCTION("if(isblank(A15),,REGEXMATCH(B15,""(^I *\+ D *$)|(^D *\+ I *$)""))"),FALSE)</f>
        <v>0</v>
      </c>
      <c r="J15" s="37" t="b">
        <f>IFERROR(__xludf.DUMMYFUNCTION("if(isblank(A15),,REGEXMATCH(B15,""(^I *\+ U *$)|(^U *\+ I *$)""))"),FALSE)</f>
        <v>0</v>
      </c>
      <c r="K15" s="37" t="b">
        <f>IFERROR(__xludf.DUMMYFUNCTION("if(isblank(A15),,REGEXMATCH(B15,""(^I *\+ N *$)|(^N *\+ I *$)"") )"),FALSE)</f>
        <v>0</v>
      </c>
      <c r="L15" s="37" t="b">
        <f>IFERROR(__xludf.DUMMYFUNCTION("if(isblank(A15),,REGEXMATCH(B15,""^D *\+ D *$""))"),FALSE)</f>
        <v>0</v>
      </c>
      <c r="M15" s="37" t="b">
        <f>IFERROR(__xludf.DUMMYFUNCTION("if(isblank(A15),,REGEXMATCH(B15,""(^U *\+ D *$)|(^D *\+ U *$)""))"),FALSE)</f>
        <v>0</v>
      </c>
      <c r="N15" s="37" t="b">
        <f>IFERROR(__xludf.DUMMYFUNCTION("if(isblank(A15),,REGEXMATCH(B15,""(^N *\+ D *$)|(^D *\+ N *$)""))"),FALSE)</f>
        <v>0</v>
      </c>
      <c r="O15" s="37" t="b">
        <f>IFERROR(__xludf.DUMMYFUNCTION("if(isblank(A15),,REGEXMATCH(B15,""^U *\+ U *$""))"),FALSE)</f>
        <v>0</v>
      </c>
      <c r="P15" s="37" t="b">
        <f>IFERROR(__xludf.DUMMYFUNCTION("if(isblank(A15),,REGEXMATCH(B15,""(^U *\+ N *$)|(^N *\+ U *$)""))"),FALSE)</f>
        <v>0</v>
      </c>
      <c r="Q15" s="37" t="b">
        <f>IFERROR(__xludf.DUMMYFUNCTION("if(isblank(A15),,REGEXMATCH(B15,""^((I ?\+ ?(D ?I|I ?D))|((D ?I|I ?D) ?\+ ?I)) *$""))"),FALSE)</f>
        <v>0</v>
      </c>
      <c r="R15" s="37" t="b">
        <f>IFERROR(__xludf.DUMMYFUNCTION("if(isblank(A15),,REGEXMATCH(B15,""^((D ?\+ ?(D ?I|I ?D))|((D ?I|I ?D) ?\+ ?D)) *$""))"),FALSE)</f>
        <v>0</v>
      </c>
      <c r="S15" s="37" t="b">
        <f>IFERROR(__xludf.DUMMYFUNCTION("if(isblank(A15),,REGEXMATCH(B15,""^((U ?\+ ?(D ?I|I ?D))|((D ?I|I ?D) ?\+ ?U)) *$""))"),FALSE)</f>
        <v>0</v>
      </c>
      <c r="T15" s="37" t="b">
        <f>IFERROR(__xludf.DUMMYFUNCTION("if(isblank(A15),,REGEXMATCH(B15,""^((N ?\+ ?(D ?I|I ?D))|((D ?I|I ?D) ?\+ ?N)) *$""))"),FALSE)</f>
        <v>0</v>
      </c>
      <c r="U15" s="37" t="b">
        <f>IFERROR(__xludf.DUMMYFUNCTION("if(isblank(A15),,REGEXMATCH(B15,""^((I ?\+ ?(U ?I|I ?U))|((I ?U|U ?I) ?\+ ?I)) *$""))"),FALSE)</f>
        <v>0</v>
      </c>
      <c r="V15" s="37" t="b">
        <f>IFERROR(__xludf.DUMMYFUNCTION("if(isblank(A15),,REGEXMATCH(B15,""^((D ?\+ ?(U ?I|I ?U))|((I ?U|U ?I) ?\+ ?D)) *$""))"),FALSE)</f>
        <v>0</v>
      </c>
      <c r="W15" s="37" t="b">
        <f>IFERROR(__xludf.DUMMYFUNCTION("if(isblank(A15),,REGEXMATCH(B15,""^((U ?\+ ?(U ?I|I ?U))|((I ?U|U ?I) ?\+ ?U)) *$""))"),FALSE)</f>
        <v>0</v>
      </c>
      <c r="X15" s="37" t="b">
        <f>IFERROR(__xludf.DUMMYFUNCTION("if(isblank(A15),,REGEXMATCH(B15,""^((N ?\+ ?(U ?I|I ?U))|((I ?U|U ?I) ?\+ ?N)) *$""))"),FALSE)</f>
        <v>0</v>
      </c>
      <c r="Y15" s="37" t="b">
        <f>IFERROR(__xludf.DUMMYFUNCTION("if(isblank(A15),,REGEXMATCH(B15,""^((I ?\+ ?(U ?D|D ?U))|((D ?U|U ?D) ?\+ ?I)) *$""))"),FALSE)</f>
        <v>0</v>
      </c>
      <c r="Z15" s="37" t="b">
        <f>IFERROR(__xludf.DUMMYFUNCTION("if(isblank(A15),,REGEXMATCH(B15,""^((D ?\+ ?(U ?D|D ?U))|((D ?U|U ?D) ?\+ ?D)) *$""))"),FALSE)</f>
        <v>0</v>
      </c>
      <c r="AA15" s="37" t="b">
        <f>IFERROR(__xludf.DUMMYFUNCTION("if(isblank(A15),,REGEXMATCH(B15,""^((U ?\+ ?(U ?D|D ?U))|((D ?U|U ?D) ?\+ ?U)) *$""))"),FALSE)</f>
        <v>0</v>
      </c>
      <c r="AB15" s="37" t="b">
        <f>IFERROR(__xludf.DUMMYFUNCTION("if(isblank(A15),,REGEXMATCH(B15,""^((D ?I|I ?D) ?\+ ?(D ?I|I ?D)) *$""))"),FALSE)</f>
        <v>0</v>
      </c>
      <c r="AC15" s="37" t="b">
        <f>IFERROR(__xludf.DUMMYFUNCTION("if(isblank(A15),,REGEXMATCH(B15,""^((D ?I|I ?D) ?\+ ?(U ?I|I ?U))|((U ?I|I ?U) ?\+ ?(D ?I|I ?D)) *$""))"),FALSE)</f>
        <v>0</v>
      </c>
      <c r="AD15" s="37" t="b">
        <f>IFERROR(__xludf.DUMMYFUNCTION("if(isblank(A15),,REGEXMATCH(B15,""^I *vs\. I *$""))"),FALSE)</f>
        <v>0</v>
      </c>
      <c r="AE15" s="37" t="b">
        <f>IFERROR(__xludf.DUMMYFUNCTION("if(isblank(A15),,REGEXMATCH(B15,""(^I *vs\. D *$)|(^D *vs\. I *$)""))"),FALSE)</f>
        <v>0</v>
      </c>
      <c r="AF15" s="37" t="b">
        <f>IFERROR(__xludf.DUMMYFUNCTION("if(isblank(A15),,REGEXMATCH(B15,""(^I *vs\. U *$)|(^U *vs\. I *$)""))"),FALSE)</f>
        <v>0</v>
      </c>
      <c r="AG15" s="37" t="b">
        <f>IFERROR(__xludf.DUMMYFUNCTION("if(isblank(A15),,REGEXMATCH(B15,""^D *vs\. D *$""))"),FALSE)</f>
        <v>0</v>
      </c>
      <c r="AH15" s="37" t="b">
        <f>IFERROR(__xludf.DUMMYFUNCTION("if(isblank(A15),,REGEXMATCH(B15,""(^U *vs\. D *$)|(^D *vs\. U *$)""))"),TRUE)</f>
        <v>1</v>
      </c>
      <c r="AI15" s="37" t="b">
        <f>IFERROR(__xludf.DUMMYFUNCTION("if(isblank(A15),,REGEXMATCH(B15,""^U *vs\. U *$""))"),FALSE)</f>
        <v>0</v>
      </c>
      <c r="AJ15" s="37" t="b">
        <f>IFERROR(__xludf.DUMMYFUNCTION("if(isblank(A15),,REGEXMATCH(B15,""^((I ?vs\. ?(D ?I|I ?D))|((D ?I|I ?D) ?vs\. ?I)) *$""))"),FALSE)</f>
        <v>0</v>
      </c>
      <c r="AK15" s="37" t="b">
        <f>IFERROR(__xludf.DUMMYFUNCTION("if(isblank(A15),,REGEXMATCH(B15,""^((D ?vs\. ?(D ?I|I ?D))|((D ?I|I ?D) ?vs\. ?D)) *$""))"),FALSE)</f>
        <v>0</v>
      </c>
      <c r="AL15" s="37" t="b">
        <f>IFERROR(__xludf.DUMMYFUNCTION("if(isblank(A15),,REGEXMATCH(B15,""^((U ?vs\. ?(D ?I|I ?D))|((D ?I|I ?D) ?vs\. ?U)) *$""))"),FALSE)</f>
        <v>0</v>
      </c>
      <c r="AM15" s="37" t="b">
        <f>IFERROR(__xludf.DUMMYFUNCTION("if(isblank(A15),,REGEXMATCH(B15,""^((I ?vs\. ?(U ?I|I ?U))|((U ?I|I ?U) ?vs\. ?I)) *$""))"),FALSE)</f>
        <v>0</v>
      </c>
      <c r="AN15" s="37" t="b">
        <f>IFERROR(__xludf.DUMMYFUNCTION("if(isblank(A15),,REGEXMATCH(B15,""^((D ?vs\. ?(U ?I|I ?U))|((U ?I|I ?U) ?vs\. ?D)) *$""))"),FALSE)</f>
        <v>0</v>
      </c>
      <c r="AO15" s="37" t="b">
        <f>IFERROR(__xludf.DUMMYFUNCTION("if(isblank(A15),,REGEXMATCH(B15,""^((U ?vs\. ?(U ?I|I ?U))|((U ?I|I ?U) ?vs\. ?U)) *$""))"),FALSE)</f>
        <v>0</v>
      </c>
      <c r="AP15" s="37" t="b">
        <f>IFERROR(__xludf.DUMMYFUNCTION("if(isblank(A15),,REGEXMATCH(B15,""^((I ?vs\. ?(U ?D|D ?U))|((D ?U|U ?D) ?vs\. ?I)) *$""))"),FALSE)</f>
        <v>0</v>
      </c>
      <c r="AQ15" s="37" t="b">
        <f>IFERROR(__xludf.DUMMYFUNCTION("if(isblank(A15),,REGEXMATCH(B15,""^((D ?vs\. ?(U ?D|D ?U))|((D ?U|U ?D) ?vs\. ?D)) *$""))"),FALSE)</f>
        <v>0</v>
      </c>
      <c r="AR15" s="37" t="b">
        <f>IFERROR(__xludf.DUMMYFUNCTION("if(isblank(A15),,REGEXMATCH(B15,""^((U ?vs\. ?(U ?D|D ?U))|((D ?U|U ?D) ?vs\. ?U)) *$""))"),FALSE)</f>
        <v>0</v>
      </c>
      <c r="AS15" s="37" t="b">
        <f>IFERROR(__xludf.DUMMYFUNCTION("if(isblank(A15),,REGEXMATCH(B15,""^((D ?I|I ?D) ?vs\. ?(D ?I|I ?D)) *$""))"),FALSE)</f>
        <v>0</v>
      </c>
      <c r="AT15" s="37" t="b">
        <f>IFERROR(__xludf.DUMMYFUNCTION("if(isblank(A15),,REGEXMATCH(B15,""^((D ?I|I ?D) ?vs\. ?(U ?I|I ?U))|((U ?I|I ?U) ?vs\. ?(D ?I|I ?D)) *$""))"),FALSE)</f>
        <v>0</v>
      </c>
      <c r="AU15" s="37" t="b">
        <f>IFERROR(__xludf.DUMMYFUNCTION("if(isblank(A15),,REGEXMATCH(B15,""^((D ?I|I ?D) ?vs\. ?(U ?D|D ?U))|((U ?D|D ?U) ?vs\. ?(D ?I|I ?D)) *$""))"),FALSE)</f>
        <v>0</v>
      </c>
      <c r="AV15" s="37" t="b">
        <f>IFERROR(__xludf.DUMMYFUNCTION("if(isblank(A15),,REGEXMATCH(B15,""^((U ?I|I ?U) ?vs\. ?(U ?I|I ?U)) *$""))"),FALSE)</f>
        <v>0</v>
      </c>
    </row>
    <row r="16" ht="26.25" customHeight="1">
      <c r="A16" s="79" t="str">
        <f>Paper_Textual_Conflict!M16</f>
        <v>N + I(Java code) R includes L
Origin(D vs. U I)</v>
      </c>
      <c r="B16" s="37" t="str">
        <f>IFERROR(__xludf.DUMMYFUNCTION("if(isblank(A16),,regexextract(REGEXEXTRACT(A16,""^.*""),""^[^(]*""))"),"N + I")</f>
        <v>N + I</v>
      </c>
      <c r="C16" s="37" t="b">
        <f>IFERROR(__xludf.DUMMYFUNCTION("if(isblank(A16),,REGEXMATCH(B16,"".*\+.*"") )"),TRUE)</f>
        <v>1</v>
      </c>
      <c r="D16" s="37" t="b">
        <f>IFERROR(__xludf.DUMMYFUNCTION("if(isblank(A16),,REGEXMATCH(B16,"".*vs.*"") )"),FALSE)</f>
        <v>0</v>
      </c>
      <c r="E16" s="37" t="b">
        <f>Paper_Textual_Conflict!H16</f>
        <v>0</v>
      </c>
      <c r="F16" s="37" t="str">
        <f>Paper_Textual_Conflict!Q16</f>
        <v>Java</v>
      </c>
      <c r="G16" s="33">
        <v>16.0</v>
      </c>
      <c r="H16" s="37" t="b">
        <f>IFERROR(__xludf.DUMMYFUNCTION("if(isblank(A16),,REGEXMATCH(B16,""^I *\+ I *$""))"),FALSE)</f>
        <v>0</v>
      </c>
      <c r="I16" s="37" t="b">
        <f>IFERROR(__xludf.DUMMYFUNCTION("if(isblank(A16),,REGEXMATCH(B16,""(^I *\+ D *$)|(^D *\+ I *$)""))"),FALSE)</f>
        <v>0</v>
      </c>
      <c r="J16" s="37" t="b">
        <f>IFERROR(__xludf.DUMMYFUNCTION("if(isblank(A16),,REGEXMATCH(B16,""(^I *\+ U *$)|(^U *\+ I *$)""))"),FALSE)</f>
        <v>0</v>
      </c>
      <c r="K16" s="37" t="b">
        <f>IFERROR(__xludf.DUMMYFUNCTION("if(isblank(A16),,REGEXMATCH(B16,""(^I *\+ N *$)|(^N *\+ I *$)"") )"),TRUE)</f>
        <v>1</v>
      </c>
      <c r="L16" s="37" t="b">
        <f>IFERROR(__xludf.DUMMYFUNCTION("if(isblank(A16),,REGEXMATCH(B16,""^D *\+ D *$""))"),FALSE)</f>
        <v>0</v>
      </c>
      <c r="M16" s="37" t="b">
        <f>IFERROR(__xludf.DUMMYFUNCTION("if(isblank(A16),,REGEXMATCH(B16,""(^U *\+ D *$)|(^D *\+ U *$)""))"),FALSE)</f>
        <v>0</v>
      </c>
      <c r="N16" s="37" t="b">
        <f>IFERROR(__xludf.DUMMYFUNCTION("if(isblank(A16),,REGEXMATCH(B16,""(^N *\+ D *$)|(^D *\+ N *$)""))"),FALSE)</f>
        <v>0</v>
      </c>
      <c r="O16" s="37" t="b">
        <f>IFERROR(__xludf.DUMMYFUNCTION("if(isblank(A16),,REGEXMATCH(B16,""^U *\+ U *$""))"),FALSE)</f>
        <v>0</v>
      </c>
      <c r="P16" s="37" t="b">
        <f>IFERROR(__xludf.DUMMYFUNCTION("if(isblank(A16),,REGEXMATCH(B16,""(^U *\+ N *$)|(^N *\+ U *$)""))"),FALSE)</f>
        <v>0</v>
      </c>
      <c r="Q16" s="37" t="b">
        <f>IFERROR(__xludf.DUMMYFUNCTION("if(isblank(A16),,REGEXMATCH(B16,""^((I ?\+ ?(D ?I|I ?D))|((D ?I|I ?D) ?\+ ?I)) *$""))"),FALSE)</f>
        <v>0</v>
      </c>
      <c r="R16" s="37" t="b">
        <f>IFERROR(__xludf.DUMMYFUNCTION("if(isblank(A16),,REGEXMATCH(B16,""^((D ?\+ ?(D ?I|I ?D))|((D ?I|I ?D) ?\+ ?D)) *$""))"),FALSE)</f>
        <v>0</v>
      </c>
      <c r="S16" s="37" t="b">
        <f>IFERROR(__xludf.DUMMYFUNCTION("if(isblank(A16),,REGEXMATCH(B16,""^((U ?\+ ?(D ?I|I ?D))|((D ?I|I ?D) ?\+ ?U)) *$""))"),FALSE)</f>
        <v>0</v>
      </c>
      <c r="T16" s="37" t="b">
        <f>IFERROR(__xludf.DUMMYFUNCTION("if(isblank(A16),,REGEXMATCH(B16,""^((N ?\+ ?(D ?I|I ?D))|((D ?I|I ?D) ?\+ ?N)) *$""))"),FALSE)</f>
        <v>0</v>
      </c>
      <c r="U16" s="37" t="b">
        <f>IFERROR(__xludf.DUMMYFUNCTION("if(isblank(A16),,REGEXMATCH(B16,""^((I ?\+ ?(U ?I|I ?U))|((I ?U|U ?I) ?\+ ?I)) *$""))"),FALSE)</f>
        <v>0</v>
      </c>
      <c r="V16" s="37" t="b">
        <f>IFERROR(__xludf.DUMMYFUNCTION("if(isblank(A16),,REGEXMATCH(B16,""^((D ?\+ ?(U ?I|I ?U))|((I ?U|U ?I) ?\+ ?D)) *$""))"),FALSE)</f>
        <v>0</v>
      </c>
      <c r="W16" s="37" t="b">
        <f>IFERROR(__xludf.DUMMYFUNCTION("if(isblank(A16),,REGEXMATCH(B16,""^((U ?\+ ?(U ?I|I ?U))|((I ?U|U ?I) ?\+ ?U)) *$""))"),FALSE)</f>
        <v>0</v>
      </c>
      <c r="X16" s="37" t="b">
        <f>IFERROR(__xludf.DUMMYFUNCTION("if(isblank(A16),,REGEXMATCH(B16,""^((N ?\+ ?(U ?I|I ?U))|((I ?U|U ?I) ?\+ ?N)) *$""))"),FALSE)</f>
        <v>0</v>
      </c>
      <c r="Y16" s="37" t="b">
        <f>IFERROR(__xludf.DUMMYFUNCTION("if(isblank(A16),,REGEXMATCH(B16,""^((I ?\+ ?(U ?D|D ?U))|((D ?U|U ?D) ?\+ ?I)) *$""))"),FALSE)</f>
        <v>0</v>
      </c>
      <c r="Z16" s="37" t="b">
        <f>IFERROR(__xludf.DUMMYFUNCTION("if(isblank(A16),,REGEXMATCH(B16,""^((D ?\+ ?(U ?D|D ?U))|((D ?U|U ?D) ?\+ ?D)) *$""))"),FALSE)</f>
        <v>0</v>
      </c>
      <c r="AA16" s="37" t="b">
        <f>IFERROR(__xludf.DUMMYFUNCTION("if(isblank(A16),,REGEXMATCH(B16,""^((U ?\+ ?(U ?D|D ?U))|((D ?U|U ?D) ?\+ ?U)) *$""))"),FALSE)</f>
        <v>0</v>
      </c>
      <c r="AB16" s="37" t="b">
        <f>IFERROR(__xludf.DUMMYFUNCTION("if(isblank(A16),,REGEXMATCH(B16,""^((D ?I|I ?D) ?\+ ?(D ?I|I ?D)) *$""))"),FALSE)</f>
        <v>0</v>
      </c>
      <c r="AC16" s="37" t="b">
        <f>IFERROR(__xludf.DUMMYFUNCTION("if(isblank(A16),,REGEXMATCH(B16,""^((D ?I|I ?D) ?\+ ?(U ?I|I ?U))|((U ?I|I ?U) ?\+ ?(D ?I|I ?D)) *$""))"),FALSE)</f>
        <v>0</v>
      </c>
      <c r="AD16" s="37" t="b">
        <f>IFERROR(__xludf.DUMMYFUNCTION("if(isblank(A16),,REGEXMATCH(B16,""^I *vs\. I *$""))"),FALSE)</f>
        <v>0</v>
      </c>
      <c r="AE16" s="37" t="b">
        <f>IFERROR(__xludf.DUMMYFUNCTION("if(isblank(A16),,REGEXMATCH(B16,""(^I *vs\. D *$)|(^D *vs\. I *$)""))"),FALSE)</f>
        <v>0</v>
      </c>
      <c r="AF16" s="37" t="b">
        <f>IFERROR(__xludf.DUMMYFUNCTION("if(isblank(A16),,REGEXMATCH(B16,""(^I *vs\. U *$)|(^U *vs\. I *$)""))"),FALSE)</f>
        <v>0</v>
      </c>
      <c r="AG16" s="37" t="b">
        <f>IFERROR(__xludf.DUMMYFUNCTION("if(isblank(A16),,REGEXMATCH(B16,""^D *vs\. D *$""))"),FALSE)</f>
        <v>0</v>
      </c>
      <c r="AH16" s="37" t="b">
        <f>IFERROR(__xludf.DUMMYFUNCTION("if(isblank(A16),,REGEXMATCH(B16,""(^U *vs\. D *$)|(^D *vs\. U *$)""))"),FALSE)</f>
        <v>0</v>
      </c>
      <c r="AI16" s="37" t="b">
        <f>IFERROR(__xludf.DUMMYFUNCTION("if(isblank(A16),,REGEXMATCH(B16,""^U *vs\. U *$""))"),FALSE)</f>
        <v>0</v>
      </c>
      <c r="AJ16" s="37" t="b">
        <f>IFERROR(__xludf.DUMMYFUNCTION("if(isblank(A16),,REGEXMATCH(B16,""^((I ?vs\. ?(D ?I|I ?D))|((D ?I|I ?D) ?vs\. ?I)) *$""))"),FALSE)</f>
        <v>0</v>
      </c>
      <c r="AK16" s="37" t="b">
        <f>IFERROR(__xludf.DUMMYFUNCTION("if(isblank(A16),,REGEXMATCH(B16,""^((D ?vs\. ?(D ?I|I ?D))|((D ?I|I ?D) ?vs\. ?D)) *$""))"),FALSE)</f>
        <v>0</v>
      </c>
      <c r="AL16" s="37" t="b">
        <f>IFERROR(__xludf.DUMMYFUNCTION("if(isblank(A16),,REGEXMATCH(B16,""^((U ?vs\. ?(D ?I|I ?D))|((D ?I|I ?D) ?vs\. ?U)) *$""))"),FALSE)</f>
        <v>0</v>
      </c>
      <c r="AM16" s="37" t="b">
        <f>IFERROR(__xludf.DUMMYFUNCTION("if(isblank(A16),,REGEXMATCH(B16,""^((I ?vs\. ?(U ?I|I ?U))|((U ?I|I ?U) ?vs\. ?I)) *$""))"),FALSE)</f>
        <v>0</v>
      </c>
      <c r="AN16" s="37" t="b">
        <f>IFERROR(__xludf.DUMMYFUNCTION("if(isblank(A16),,REGEXMATCH(B16,""^((D ?vs\. ?(U ?I|I ?U))|((U ?I|I ?U) ?vs\. ?D)) *$""))"),FALSE)</f>
        <v>0</v>
      </c>
      <c r="AO16" s="37" t="b">
        <f>IFERROR(__xludf.DUMMYFUNCTION("if(isblank(A16),,REGEXMATCH(B16,""^((U ?vs\. ?(U ?I|I ?U))|((U ?I|I ?U) ?vs\. ?U)) *$""))"),FALSE)</f>
        <v>0</v>
      </c>
      <c r="AP16" s="37" t="b">
        <f>IFERROR(__xludf.DUMMYFUNCTION("if(isblank(A16),,REGEXMATCH(B16,""^((I ?vs\. ?(U ?D|D ?U))|((D ?U|U ?D) ?vs\. ?I)) *$""))"),FALSE)</f>
        <v>0</v>
      </c>
      <c r="AQ16" s="37" t="b">
        <f>IFERROR(__xludf.DUMMYFUNCTION("if(isblank(A16),,REGEXMATCH(B16,""^((D ?vs\. ?(U ?D|D ?U))|((D ?U|U ?D) ?vs\. ?D)) *$""))"),FALSE)</f>
        <v>0</v>
      </c>
      <c r="AR16" s="37" t="b">
        <f>IFERROR(__xludf.DUMMYFUNCTION("if(isblank(A16),,REGEXMATCH(B16,""^((U ?vs\. ?(U ?D|D ?U))|((D ?U|U ?D) ?vs\. ?U)) *$""))"),FALSE)</f>
        <v>0</v>
      </c>
      <c r="AS16" s="37" t="b">
        <f>IFERROR(__xludf.DUMMYFUNCTION("if(isblank(A16),,REGEXMATCH(B16,""^((D ?I|I ?D) ?vs\. ?(D ?I|I ?D)) *$""))"),FALSE)</f>
        <v>0</v>
      </c>
      <c r="AT16" s="37" t="b">
        <f>IFERROR(__xludf.DUMMYFUNCTION("if(isblank(A16),,REGEXMATCH(B16,""^((D ?I|I ?D) ?vs\. ?(U ?I|I ?U))|((U ?I|I ?U) ?vs\. ?(D ?I|I ?D)) *$""))"),FALSE)</f>
        <v>0</v>
      </c>
      <c r="AU16" s="37" t="b">
        <f>IFERROR(__xludf.DUMMYFUNCTION("if(isblank(A16),,REGEXMATCH(B16,""^((D ?I|I ?D) ?vs\. ?(U ?D|D ?U))|((U ?D|D ?U) ?vs\. ?(D ?I|I ?D)) *$""))"),FALSE)</f>
        <v>0</v>
      </c>
      <c r="AV16" s="37" t="b">
        <f>IFERROR(__xludf.DUMMYFUNCTION("if(isblank(A16),,REGEXMATCH(B16,""^((U ?I|I ?U) ?vs\. ?(U ?I|I ?U)) *$""))"),FALSE)</f>
        <v>0</v>
      </c>
    </row>
    <row r="17" ht="26.25" customHeight="1">
      <c r="A17" s="79" t="str">
        <f>Paper_Textual_Conflict!M17</f>
        <v>D + I (delete Java code + insert comment)</v>
      </c>
      <c r="B17" s="37" t="str">
        <f>IFERROR(__xludf.DUMMYFUNCTION("if(isblank(A17),,regexextract(REGEXEXTRACT(A17,""^.*""),""^[^(]*""))"),"D + I ")</f>
        <v>D + I </v>
      </c>
      <c r="C17" s="37" t="b">
        <f>IFERROR(__xludf.DUMMYFUNCTION("if(isblank(A17),,REGEXMATCH(B17,"".*\+.*"") )"),TRUE)</f>
        <v>1</v>
      </c>
      <c r="D17" s="37" t="b">
        <f>IFERROR(__xludf.DUMMYFUNCTION("if(isblank(A17),,REGEXMATCH(B17,"".*vs.*"") )"),FALSE)</f>
        <v>0</v>
      </c>
      <c r="E17" s="37" t="b">
        <f>Paper_Textual_Conflict!H17</f>
        <v>0</v>
      </c>
      <c r="F17" s="37" t="str">
        <f>Paper_Textual_Conflict!Q17</f>
        <v>Java</v>
      </c>
      <c r="G17" s="33">
        <v>17.0</v>
      </c>
      <c r="H17" s="37" t="b">
        <f>IFERROR(__xludf.DUMMYFUNCTION("if(isblank(A17),,REGEXMATCH(B17,""^I *\+ I *$""))"),FALSE)</f>
        <v>0</v>
      </c>
      <c r="I17" s="37" t="b">
        <f>IFERROR(__xludf.DUMMYFUNCTION("if(isblank(A17),,REGEXMATCH(B17,""(^I *\+ D *$)|(^D *\+ I *$)""))"),TRUE)</f>
        <v>1</v>
      </c>
      <c r="J17" s="37" t="b">
        <f>IFERROR(__xludf.DUMMYFUNCTION("if(isblank(A17),,REGEXMATCH(B17,""(^I *\+ U *$)|(^U *\+ I *$)""))"),FALSE)</f>
        <v>0</v>
      </c>
      <c r="K17" s="37" t="b">
        <f>IFERROR(__xludf.DUMMYFUNCTION("if(isblank(A17),,REGEXMATCH(B17,""(^I *\+ N *$)|(^N *\+ I *$)"") )"),FALSE)</f>
        <v>0</v>
      </c>
      <c r="L17" s="37" t="b">
        <f>IFERROR(__xludf.DUMMYFUNCTION("if(isblank(A17),,REGEXMATCH(B17,""^D *\+ D *$""))"),FALSE)</f>
        <v>0</v>
      </c>
      <c r="M17" s="37" t="b">
        <f>IFERROR(__xludf.DUMMYFUNCTION("if(isblank(A17),,REGEXMATCH(B17,""(^U *\+ D *$)|(^D *\+ U *$)""))"),FALSE)</f>
        <v>0</v>
      </c>
      <c r="N17" s="37" t="b">
        <f>IFERROR(__xludf.DUMMYFUNCTION("if(isblank(A17),,REGEXMATCH(B17,""(^N *\+ D *$)|(^D *\+ N *$)""))"),FALSE)</f>
        <v>0</v>
      </c>
      <c r="O17" s="37" t="b">
        <f>IFERROR(__xludf.DUMMYFUNCTION("if(isblank(A17),,REGEXMATCH(B17,""^U *\+ U *$""))"),FALSE)</f>
        <v>0</v>
      </c>
      <c r="P17" s="37" t="b">
        <f>IFERROR(__xludf.DUMMYFUNCTION("if(isblank(A17),,REGEXMATCH(B17,""(^U *\+ N *$)|(^N *\+ U *$)""))"),FALSE)</f>
        <v>0</v>
      </c>
      <c r="Q17" s="37" t="b">
        <f>IFERROR(__xludf.DUMMYFUNCTION("if(isblank(A17),,REGEXMATCH(B17,""^((I ?\+ ?(D ?I|I ?D))|((D ?I|I ?D) ?\+ ?I)) *$""))"),FALSE)</f>
        <v>0</v>
      </c>
      <c r="R17" s="37" t="b">
        <f>IFERROR(__xludf.DUMMYFUNCTION("if(isblank(A17),,REGEXMATCH(B17,""^((D ?\+ ?(D ?I|I ?D))|((D ?I|I ?D) ?\+ ?D)) *$""))"),FALSE)</f>
        <v>0</v>
      </c>
      <c r="S17" s="37" t="b">
        <f>IFERROR(__xludf.DUMMYFUNCTION("if(isblank(A17),,REGEXMATCH(B17,""^((U ?\+ ?(D ?I|I ?D))|((D ?I|I ?D) ?\+ ?U)) *$""))"),FALSE)</f>
        <v>0</v>
      </c>
      <c r="T17" s="37" t="b">
        <f>IFERROR(__xludf.DUMMYFUNCTION("if(isblank(A17),,REGEXMATCH(B17,""^((N ?\+ ?(D ?I|I ?D))|((D ?I|I ?D) ?\+ ?N)) *$""))"),FALSE)</f>
        <v>0</v>
      </c>
      <c r="U17" s="37" t="b">
        <f>IFERROR(__xludf.DUMMYFUNCTION("if(isblank(A17),,REGEXMATCH(B17,""^((I ?\+ ?(U ?I|I ?U))|((I ?U|U ?I) ?\+ ?I)) *$""))"),FALSE)</f>
        <v>0</v>
      </c>
      <c r="V17" s="37" t="b">
        <f>IFERROR(__xludf.DUMMYFUNCTION("if(isblank(A17),,REGEXMATCH(B17,""^((D ?\+ ?(U ?I|I ?U))|((I ?U|U ?I) ?\+ ?D)) *$""))"),FALSE)</f>
        <v>0</v>
      </c>
      <c r="W17" s="37" t="b">
        <f>IFERROR(__xludf.DUMMYFUNCTION("if(isblank(A17),,REGEXMATCH(B17,""^((U ?\+ ?(U ?I|I ?U))|((I ?U|U ?I) ?\+ ?U)) *$""))"),FALSE)</f>
        <v>0</v>
      </c>
      <c r="X17" s="37" t="b">
        <f>IFERROR(__xludf.DUMMYFUNCTION("if(isblank(A17),,REGEXMATCH(B17,""^((N ?\+ ?(U ?I|I ?U))|((I ?U|U ?I) ?\+ ?N)) *$""))"),FALSE)</f>
        <v>0</v>
      </c>
      <c r="Y17" s="37" t="b">
        <f>IFERROR(__xludf.DUMMYFUNCTION("if(isblank(A17),,REGEXMATCH(B17,""^((I ?\+ ?(U ?D|D ?U))|((D ?U|U ?D) ?\+ ?I)) *$""))"),FALSE)</f>
        <v>0</v>
      </c>
      <c r="Z17" s="37" t="b">
        <f>IFERROR(__xludf.DUMMYFUNCTION("if(isblank(A17),,REGEXMATCH(B17,""^((D ?\+ ?(U ?D|D ?U))|((D ?U|U ?D) ?\+ ?D)) *$""))"),FALSE)</f>
        <v>0</v>
      </c>
      <c r="AA17" s="37" t="b">
        <f>IFERROR(__xludf.DUMMYFUNCTION("if(isblank(A17),,REGEXMATCH(B17,""^((U ?\+ ?(U ?D|D ?U))|((D ?U|U ?D) ?\+ ?U)) *$""))"),FALSE)</f>
        <v>0</v>
      </c>
      <c r="AB17" s="37" t="b">
        <f>IFERROR(__xludf.DUMMYFUNCTION("if(isblank(A17),,REGEXMATCH(B17,""^((D ?I|I ?D) ?\+ ?(D ?I|I ?D)) *$""))"),FALSE)</f>
        <v>0</v>
      </c>
      <c r="AC17" s="37" t="b">
        <f>IFERROR(__xludf.DUMMYFUNCTION("if(isblank(A17),,REGEXMATCH(B17,""^((D ?I|I ?D) ?\+ ?(U ?I|I ?U))|((U ?I|I ?U) ?\+ ?(D ?I|I ?D)) *$""))"),FALSE)</f>
        <v>0</v>
      </c>
      <c r="AD17" s="37" t="b">
        <f>IFERROR(__xludf.DUMMYFUNCTION("if(isblank(A17),,REGEXMATCH(B17,""^I *vs\. I *$""))"),FALSE)</f>
        <v>0</v>
      </c>
      <c r="AE17" s="37" t="b">
        <f>IFERROR(__xludf.DUMMYFUNCTION("if(isblank(A17),,REGEXMATCH(B17,""(^I *vs\. D *$)|(^D *vs\. I *$)""))"),FALSE)</f>
        <v>0</v>
      </c>
      <c r="AF17" s="37" t="b">
        <f>IFERROR(__xludf.DUMMYFUNCTION("if(isblank(A17),,REGEXMATCH(B17,""(^I *vs\. U *$)|(^U *vs\. I *$)""))"),FALSE)</f>
        <v>0</v>
      </c>
      <c r="AG17" s="37" t="b">
        <f>IFERROR(__xludf.DUMMYFUNCTION("if(isblank(A17),,REGEXMATCH(B17,""^D *vs\. D *$""))"),FALSE)</f>
        <v>0</v>
      </c>
      <c r="AH17" s="37" t="b">
        <f>IFERROR(__xludf.DUMMYFUNCTION("if(isblank(A17),,REGEXMATCH(B17,""(^U *vs\. D *$)|(^D *vs\. U *$)""))"),FALSE)</f>
        <v>0</v>
      </c>
      <c r="AI17" s="37" t="b">
        <f>IFERROR(__xludf.DUMMYFUNCTION("if(isblank(A17),,REGEXMATCH(B17,""^U *vs\. U *$""))"),FALSE)</f>
        <v>0</v>
      </c>
      <c r="AJ17" s="37" t="b">
        <f>IFERROR(__xludf.DUMMYFUNCTION("if(isblank(A17),,REGEXMATCH(B17,""^((I ?vs\. ?(D ?I|I ?D))|((D ?I|I ?D) ?vs\. ?I)) *$""))"),FALSE)</f>
        <v>0</v>
      </c>
      <c r="AK17" s="37" t="b">
        <f>IFERROR(__xludf.DUMMYFUNCTION("if(isblank(A17),,REGEXMATCH(B17,""^((D ?vs\. ?(D ?I|I ?D))|((D ?I|I ?D) ?vs\. ?D)) *$""))"),FALSE)</f>
        <v>0</v>
      </c>
      <c r="AL17" s="37" t="b">
        <f>IFERROR(__xludf.DUMMYFUNCTION("if(isblank(A17),,REGEXMATCH(B17,""^((U ?vs\. ?(D ?I|I ?D))|((D ?I|I ?D) ?vs\. ?U)) *$""))"),FALSE)</f>
        <v>0</v>
      </c>
      <c r="AM17" s="37" t="b">
        <f>IFERROR(__xludf.DUMMYFUNCTION("if(isblank(A17),,REGEXMATCH(B17,""^((I ?vs\. ?(U ?I|I ?U))|((U ?I|I ?U) ?vs\. ?I)) *$""))"),FALSE)</f>
        <v>0</v>
      </c>
      <c r="AN17" s="37" t="b">
        <f>IFERROR(__xludf.DUMMYFUNCTION("if(isblank(A17),,REGEXMATCH(B17,""^((D ?vs\. ?(U ?I|I ?U))|((U ?I|I ?U) ?vs\. ?D)) *$""))"),FALSE)</f>
        <v>0</v>
      </c>
      <c r="AO17" s="37" t="b">
        <f>IFERROR(__xludf.DUMMYFUNCTION("if(isblank(A17),,REGEXMATCH(B17,""^((U ?vs\. ?(U ?I|I ?U))|((U ?I|I ?U) ?vs\. ?U)) *$""))"),FALSE)</f>
        <v>0</v>
      </c>
      <c r="AP17" s="37" t="b">
        <f>IFERROR(__xludf.DUMMYFUNCTION("if(isblank(A17),,REGEXMATCH(B17,""^((I ?vs\. ?(U ?D|D ?U))|((D ?U|U ?D) ?vs\. ?I)) *$""))"),FALSE)</f>
        <v>0</v>
      </c>
      <c r="AQ17" s="37" t="b">
        <f>IFERROR(__xludf.DUMMYFUNCTION("if(isblank(A17),,REGEXMATCH(B17,""^((D ?vs\. ?(U ?D|D ?U))|((D ?U|U ?D) ?vs\. ?D)) *$""))"),FALSE)</f>
        <v>0</v>
      </c>
      <c r="AR17" s="37" t="b">
        <f>IFERROR(__xludf.DUMMYFUNCTION("if(isblank(A17),,REGEXMATCH(B17,""^((U ?vs\. ?(U ?D|D ?U))|((D ?U|U ?D) ?vs\. ?U)) *$""))"),FALSE)</f>
        <v>0</v>
      </c>
      <c r="AS17" s="37" t="b">
        <f>IFERROR(__xludf.DUMMYFUNCTION("if(isblank(A17),,REGEXMATCH(B17,""^((D ?I|I ?D) ?vs\. ?(D ?I|I ?D)) *$""))"),FALSE)</f>
        <v>0</v>
      </c>
      <c r="AT17" s="37" t="b">
        <f>IFERROR(__xludf.DUMMYFUNCTION("if(isblank(A17),,REGEXMATCH(B17,""^((D ?I|I ?D) ?vs\. ?(U ?I|I ?U))|((U ?I|I ?U) ?vs\. ?(D ?I|I ?D)) *$""))"),FALSE)</f>
        <v>0</v>
      </c>
      <c r="AU17" s="37" t="b">
        <f>IFERROR(__xludf.DUMMYFUNCTION("if(isblank(A17),,REGEXMATCH(B17,""^((D ?I|I ?D) ?vs\. ?(U ?D|D ?U))|((U ?D|D ?U) ?vs\. ?(D ?I|I ?D)) *$""))"),FALSE)</f>
        <v>0</v>
      </c>
      <c r="AV17" s="37" t="b">
        <f>IFERROR(__xludf.DUMMYFUNCTION("if(isblank(A17),,REGEXMATCH(B17,""^((U ?I|I ?U) ?vs\. ?(U ?I|I ?U)) *$""))"),FALSE)</f>
        <v>0</v>
      </c>
    </row>
    <row r="18" ht="26.25" customHeight="1">
      <c r="A18" s="79" t="str">
        <f>Paper_Textual_Conflict!M18</f>
        <v>U I vs. U(Java code)</v>
      </c>
      <c r="B18" s="37" t="str">
        <f>IFERROR(__xludf.DUMMYFUNCTION("if(isblank(A18),,regexextract(REGEXEXTRACT(A18,""^.*""),""^[^(]*""))"),"U I vs. U")</f>
        <v>U I vs. U</v>
      </c>
      <c r="C18" s="37" t="b">
        <f>IFERROR(__xludf.DUMMYFUNCTION("if(isblank(A18),,REGEXMATCH(B18,"".*\+.*"") )"),FALSE)</f>
        <v>0</v>
      </c>
      <c r="D18" s="37" t="b">
        <f>IFERROR(__xludf.DUMMYFUNCTION("if(isblank(A18),,REGEXMATCH(B18,"".*vs.*"") )"),TRUE)</f>
        <v>1</v>
      </c>
      <c r="E18" s="37" t="b">
        <f>Paper_Textual_Conflict!H18</f>
        <v>1</v>
      </c>
      <c r="F18" s="37" t="str">
        <f>Paper_Textual_Conflict!Q18</f>
        <v>Java</v>
      </c>
      <c r="G18" s="33">
        <v>18.0</v>
      </c>
      <c r="H18" s="37" t="b">
        <f>IFERROR(__xludf.DUMMYFUNCTION("if(isblank(A18),,REGEXMATCH(B18,""^I *\+ I *$""))"),FALSE)</f>
        <v>0</v>
      </c>
      <c r="I18" s="37" t="b">
        <f>IFERROR(__xludf.DUMMYFUNCTION("if(isblank(A18),,REGEXMATCH(B18,""(^I *\+ D *$)|(^D *\+ I *$)""))"),FALSE)</f>
        <v>0</v>
      </c>
      <c r="J18" s="37" t="b">
        <f>IFERROR(__xludf.DUMMYFUNCTION("if(isblank(A18),,REGEXMATCH(B18,""(^I *\+ U *$)|(^U *\+ I *$)""))"),FALSE)</f>
        <v>0</v>
      </c>
      <c r="K18" s="37" t="b">
        <f>IFERROR(__xludf.DUMMYFUNCTION("if(isblank(A18),,REGEXMATCH(B18,""(^I *\+ N *$)|(^N *\+ I *$)"") )"),FALSE)</f>
        <v>0</v>
      </c>
      <c r="L18" s="37" t="b">
        <f>IFERROR(__xludf.DUMMYFUNCTION("if(isblank(A18),,REGEXMATCH(B18,""^D *\+ D *$""))"),FALSE)</f>
        <v>0</v>
      </c>
      <c r="M18" s="37" t="b">
        <f>IFERROR(__xludf.DUMMYFUNCTION("if(isblank(A18),,REGEXMATCH(B18,""(^U *\+ D *$)|(^D *\+ U *$)""))"),FALSE)</f>
        <v>0</v>
      </c>
      <c r="N18" s="37" t="b">
        <f>IFERROR(__xludf.DUMMYFUNCTION("if(isblank(A18),,REGEXMATCH(B18,""(^N *\+ D *$)|(^D *\+ N *$)""))"),FALSE)</f>
        <v>0</v>
      </c>
      <c r="O18" s="37" t="b">
        <f>IFERROR(__xludf.DUMMYFUNCTION("if(isblank(A18),,REGEXMATCH(B18,""^U *\+ U *$""))"),FALSE)</f>
        <v>0</v>
      </c>
      <c r="P18" s="37" t="b">
        <f>IFERROR(__xludf.DUMMYFUNCTION("if(isblank(A18),,REGEXMATCH(B18,""(^U *\+ N *$)|(^N *\+ U *$)""))"),FALSE)</f>
        <v>0</v>
      </c>
      <c r="Q18" s="37" t="b">
        <f>IFERROR(__xludf.DUMMYFUNCTION("if(isblank(A18),,REGEXMATCH(B18,""^((I ?\+ ?(D ?I|I ?D))|((D ?I|I ?D) ?\+ ?I)) *$""))"),FALSE)</f>
        <v>0</v>
      </c>
      <c r="R18" s="37" t="b">
        <f>IFERROR(__xludf.DUMMYFUNCTION("if(isblank(A18),,REGEXMATCH(B18,""^((D ?\+ ?(D ?I|I ?D))|((D ?I|I ?D) ?\+ ?D)) *$""))"),FALSE)</f>
        <v>0</v>
      </c>
      <c r="S18" s="37" t="b">
        <f>IFERROR(__xludf.DUMMYFUNCTION("if(isblank(A18),,REGEXMATCH(B18,""^((U ?\+ ?(D ?I|I ?D))|((D ?I|I ?D) ?\+ ?U)) *$""))"),FALSE)</f>
        <v>0</v>
      </c>
      <c r="T18" s="37" t="b">
        <f>IFERROR(__xludf.DUMMYFUNCTION("if(isblank(A18),,REGEXMATCH(B18,""^((N ?\+ ?(D ?I|I ?D))|((D ?I|I ?D) ?\+ ?N)) *$""))"),FALSE)</f>
        <v>0</v>
      </c>
      <c r="U18" s="37" t="b">
        <f>IFERROR(__xludf.DUMMYFUNCTION("if(isblank(A18),,REGEXMATCH(B18,""^((I ?\+ ?(U ?I|I ?U))|((I ?U|U ?I) ?\+ ?I)) *$""))"),FALSE)</f>
        <v>0</v>
      </c>
      <c r="V18" s="37" t="b">
        <f>IFERROR(__xludf.DUMMYFUNCTION("if(isblank(A18),,REGEXMATCH(B18,""^((D ?\+ ?(U ?I|I ?U))|((I ?U|U ?I) ?\+ ?D)) *$""))"),FALSE)</f>
        <v>0</v>
      </c>
      <c r="W18" s="37" t="b">
        <f>IFERROR(__xludf.DUMMYFUNCTION("if(isblank(A18),,REGEXMATCH(B18,""^((U ?\+ ?(U ?I|I ?U))|((I ?U|U ?I) ?\+ ?U)) *$""))"),FALSE)</f>
        <v>0</v>
      </c>
      <c r="X18" s="37" t="b">
        <f>IFERROR(__xludf.DUMMYFUNCTION("if(isblank(A18),,REGEXMATCH(B18,""^((N ?\+ ?(U ?I|I ?U))|((I ?U|U ?I) ?\+ ?N)) *$""))"),FALSE)</f>
        <v>0</v>
      </c>
      <c r="Y18" s="37" t="b">
        <f>IFERROR(__xludf.DUMMYFUNCTION("if(isblank(A18),,REGEXMATCH(B18,""^((I ?\+ ?(U ?D|D ?U))|((D ?U|U ?D) ?\+ ?I)) *$""))"),FALSE)</f>
        <v>0</v>
      </c>
      <c r="Z18" s="37" t="b">
        <f>IFERROR(__xludf.DUMMYFUNCTION("if(isblank(A18),,REGEXMATCH(B18,""^((D ?\+ ?(U ?D|D ?U))|((D ?U|U ?D) ?\+ ?D)) *$""))"),FALSE)</f>
        <v>0</v>
      </c>
      <c r="AA18" s="37" t="b">
        <f>IFERROR(__xludf.DUMMYFUNCTION("if(isblank(A18),,REGEXMATCH(B18,""^((U ?\+ ?(U ?D|D ?U))|((D ?U|U ?D) ?\+ ?U)) *$""))"),FALSE)</f>
        <v>0</v>
      </c>
      <c r="AB18" s="37" t="b">
        <f>IFERROR(__xludf.DUMMYFUNCTION("if(isblank(A18),,REGEXMATCH(B18,""^((D ?I|I ?D) ?\+ ?(D ?I|I ?D)) *$""))"),FALSE)</f>
        <v>0</v>
      </c>
      <c r="AC18" s="37" t="b">
        <f>IFERROR(__xludf.DUMMYFUNCTION("if(isblank(A18),,REGEXMATCH(B18,""^((D ?I|I ?D) ?\+ ?(U ?I|I ?U))|((U ?I|I ?U) ?\+ ?(D ?I|I ?D)) *$""))"),FALSE)</f>
        <v>0</v>
      </c>
      <c r="AD18" s="37" t="b">
        <f>IFERROR(__xludf.DUMMYFUNCTION("if(isblank(A18),,REGEXMATCH(B18,""^I *vs\. I *$""))"),FALSE)</f>
        <v>0</v>
      </c>
      <c r="AE18" s="37" t="b">
        <f>IFERROR(__xludf.DUMMYFUNCTION("if(isblank(A18),,REGEXMATCH(B18,""(^I *vs\. D *$)|(^D *vs\. I *$)""))"),FALSE)</f>
        <v>0</v>
      </c>
      <c r="AF18" s="37" t="b">
        <f>IFERROR(__xludf.DUMMYFUNCTION("if(isblank(A18),,REGEXMATCH(B18,""(^I *vs\. U *$)|(^U *vs\. I *$)""))"),FALSE)</f>
        <v>0</v>
      </c>
      <c r="AG18" s="37" t="b">
        <f>IFERROR(__xludf.DUMMYFUNCTION("if(isblank(A18),,REGEXMATCH(B18,""^D *vs\. D *$""))"),FALSE)</f>
        <v>0</v>
      </c>
      <c r="AH18" s="37" t="b">
        <f>IFERROR(__xludf.DUMMYFUNCTION("if(isblank(A18),,REGEXMATCH(B18,""(^U *vs\. D *$)|(^D *vs\. U *$)""))"),FALSE)</f>
        <v>0</v>
      </c>
      <c r="AI18" s="37" t="b">
        <f>IFERROR(__xludf.DUMMYFUNCTION("if(isblank(A18),,REGEXMATCH(B18,""^U *vs\. U *$""))"),FALSE)</f>
        <v>0</v>
      </c>
      <c r="AJ18" s="37" t="b">
        <f>IFERROR(__xludf.DUMMYFUNCTION("if(isblank(A18),,REGEXMATCH(B18,""^((I ?vs\. ?(D ?I|I ?D))|((D ?I|I ?D) ?vs\. ?I)) *$""))"),FALSE)</f>
        <v>0</v>
      </c>
      <c r="AK18" s="37" t="b">
        <f>IFERROR(__xludf.DUMMYFUNCTION("if(isblank(A18),,REGEXMATCH(B18,""^((D ?vs\. ?(D ?I|I ?D))|((D ?I|I ?D) ?vs\. ?D)) *$""))"),FALSE)</f>
        <v>0</v>
      </c>
      <c r="AL18" s="37" t="b">
        <f>IFERROR(__xludf.DUMMYFUNCTION("if(isblank(A18),,REGEXMATCH(B18,""^((U ?vs\. ?(D ?I|I ?D))|((D ?I|I ?D) ?vs\. ?U)) *$""))"),FALSE)</f>
        <v>0</v>
      </c>
      <c r="AM18" s="37" t="b">
        <f>IFERROR(__xludf.DUMMYFUNCTION("if(isblank(A18),,REGEXMATCH(B18,""^((I ?vs\. ?(U ?I|I ?U))|((U ?I|I ?U) ?vs\. ?I)) *$""))"),FALSE)</f>
        <v>0</v>
      </c>
      <c r="AN18" s="37" t="b">
        <f>IFERROR(__xludf.DUMMYFUNCTION("if(isblank(A18),,REGEXMATCH(B18,""^((D ?vs\. ?(U ?I|I ?U))|((U ?I|I ?U) ?vs\. ?D)) *$""))"),FALSE)</f>
        <v>0</v>
      </c>
      <c r="AO18" s="37" t="b">
        <f>IFERROR(__xludf.DUMMYFUNCTION("if(isblank(A18),,REGEXMATCH(B18,""^((U ?vs\. ?(U ?I|I ?U))|((U ?I|I ?U) ?vs\. ?U)) *$""))"),TRUE)</f>
        <v>1</v>
      </c>
      <c r="AP18" s="37" t="b">
        <f>IFERROR(__xludf.DUMMYFUNCTION("if(isblank(A18),,REGEXMATCH(B18,""^((I ?vs\. ?(U ?D|D ?U))|((D ?U|U ?D) ?vs\. ?I)) *$""))"),FALSE)</f>
        <v>0</v>
      </c>
      <c r="AQ18" s="37" t="b">
        <f>IFERROR(__xludf.DUMMYFUNCTION("if(isblank(A18),,REGEXMATCH(B18,""^((D ?vs\. ?(U ?D|D ?U))|((D ?U|U ?D) ?vs\. ?D)) *$""))"),FALSE)</f>
        <v>0</v>
      </c>
      <c r="AR18" s="37" t="b">
        <f>IFERROR(__xludf.DUMMYFUNCTION("if(isblank(A18),,REGEXMATCH(B18,""^((U ?vs\. ?(U ?D|D ?U))|((D ?U|U ?D) ?vs\. ?U)) *$""))"),FALSE)</f>
        <v>0</v>
      </c>
      <c r="AS18" s="37" t="b">
        <f>IFERROR(__xludf.DUMMYFUNCTION("if(isblank(A18),,REGEXMATCH(B18,""^((D ?I|I ?D) ?vs\. ?(D ?I|I ?D)) *$""))"),FALSE)</f>
        <v>0</v>
      </c>
      <c r="AT18" s="37" t="b">
        <f>IFERROR(__xludf.DUMMYFUNCTION("if(isblank(A18),,REGEXMATCH(B18,""^((D ?I|I ?D) ?vs\. ?(U ?I|I ?U))|((U ?I|I ?U) ?vs\. ?(D ?I|I ?D)) *$""))"),FALSE)</f>
        <v>0</v>
      </c>
      <c r="AU18" s="37" t="b">
        <f>IFERROR(__xludf.DUMMYFUNCTION("if(isblank(A18),,REGEXMATCH(B18,""^((D ?I|I ?D) ?vs\. ?(U ?D|D ?U))|((U ?D|D ?U) ?vs\. ?(D ?I|I ?D)) *$""))"),FALSE)</f>
        <v>0</v>
      </c>
      <c r="AV18" s="37" t="b">
        <f>IFERROR(__xludf.DUMMYFUNCTION("if(isblank(A18),,REGEXMATCH(B18,""^((U ?I|I ?U) ?vs\. ?(U ?I|I ?U)) *$""))"),FALSE)</f>
        <v>0</v>
      </c>
    </row>
    <row r="19" ht="26.25" customHeight="1">
      <c r="A19" s="79" t="str">
        <f>Paper_Textual_Conflict!M19</f>
        <v>I + U (import)</v>
      </c>
      <c r="B19" s="37" t="str">
        <f>IFERROR(__xludf.DUMMYFUNCTION("if(isblank(A19),,regexextract(REGEXEXTRACT(A19,""^.*""),""^[^(]*""))"),"I + U ")</f>
        <v>I + U </v>
      </c>
      <c r="C19" s="37" t="b">
        <f>IFERROR(__xludf.DUMMYFUNCTION("if(isblank(A19),,REGEXMATCH(B19,"".*\+.*"") )"),TRUE)</f>
        <v>1</v>
      </c>
      <c r="D19" s="37" t="b">
        <f>IFERROR(__xludf.DUMMYFUNCTION("if(isblank(A19),,REGEXMATCH(B19,"".*vs.*"") )"),FALSE)</f>
        <v>0</v>
      </c>
      <c r="E19" s="37" t="b">
        <f>Paper_Textual_Conflict!H19</f>
        <v>0</v>
      </c>
      <c r="F19" s="37" t="str">
        <f>Paper_Textual_Conflict!Q19</f>
        <v>Java</v>
      </c>
      <c r="G19" s="33">
        <v>19.0</v>
      </c>
      <c r="H19" s="37" t="b">
        <f>IFERROR(__xludf.DUMMYFUNCTION("if(isblank(A19),,REGEXMATCH(B19,""^I *\+ I *$""))"),FALSE)</f>
        <v>0</v>
      </c>
      <c r="I19" s="37" t="b">
        <f>IFERROR(__xludf.DUMMYFUNCTION("if(isblank(A19),,REGEXMATCH(B19,""(^I *\+ D *$)|(^D *\+ I *$)""))"),FALSE)</f>
        <v>0</v>
      </c>
      <c r="J19" s="37" t="b">
        <f>IFERROR(__xludf.DUMMYFUNCTION("if(isblank(A19),,REGEXMATCH(B19,""(^I *\+ U *$)|(^U *\+ I *$)""))"),TRUE)</f>
        <v>1</v>
      </c>
      <c r="K19" s="37" t="b">
        <f>IFERROR(__xludf.DUMMYFUNCTION("if(isblank(A19),,REGEXMATCH(B19,""(^I *\+ N *$)|(^N *\+ I *$)"") )"),FALSE)</f>
        <v>0</v>
      </c>
      <c r="L19" s="37" t="b">
        <f>IFERROR(__xludf.DUMMYFUNCTION("if(isblank(A19),,REGEXMATCH(B19,""^D *\+ D *$""))"),FALSE)</f>
        <v>0</v>
      </c>
      <c r="M19" s="37" t="b">
        <f>IFERROR(__xludf.DUMMYFUNCTION("if(isblank(A19),,REGEXMATCH(B19,""(^U *\+ D *$)|(^D *\+ U *$)""))"),FALSE)</f>
        <v>0</v>
      </c>
      <c r="N19" s="37" t="b">
        <f>IFERROR(__xludf.DUMMYFUNCTION("if(isblank(A19),,REGEXMATCH(B19,""(^N *\+ D *$)|(^D *\+ N *$)""))"),FALSE)</f>
        <v>0</v>
      </c>
      <c r="O19" s="37" t="b">
        <f>IFERROR(__xludf.DUMMYFUNCTION("if(isblank(A19),,REGEXMATCH(B19,""^U *\+ U *$""))"),FALSE)</f>
        <v>0</v>
      </c>
      <c r="P19" s="37" t="b">
        <f>IFERROR(__xludf.DUMMYFUNCTION("if(isblank(A19),,REGEXMATCH(B19,""(^U *\+ N *$)|(^N *\+ U *$)""))"),FALSE)</f>
        <v>0</v>
      </c>
      <c r="Q19" s="37" t="b">
        <f>IFERROR(__xludf.DUMMYFUNCTION("if(isblank(A19),,REGEXMATCH(B19,""^((I ?\+ ?(D ?I|I ?D))|((D ?I|I ?D) ?\+ ?I)) *$""))"),FALSE)</f>
        <v>0</v>
      </c>
      <c r="R19" s="37" t="b">
        <f>IFERROR(__xludf.DUMMYFUNCTION("if(isblank(A19),,REGEXMATCH(B19,""^((D ?\+ ?(D ?I|I ?D))|((D ?I|I ?D) ?\+ ?D)) *$""))"),FALSE)</f>
        <v>0</v>
      </c>
      <c r="S19" s="37" t="b">
        <f>IFERROR(__xludf.DUMMYFUNCTION("if(isblank(A19),,REGEXMATCH(B19,""^((U ?\+ ?(D ?I|I ?D))|((D ?I|I ?D) ?\+ ?U)) *$""))"),FALSE)</f>
        <v>0</v>
      </c>
      <c r="T19" s="37" t="b">
        <f>IFERROR(__xludf.DUMMYFUNCTION("if(isblank(A19),,REGEXMATCH(B19,""^((N ?\+ ?(D ?I|I ?D))|((D ?I|I ?D) ?\+ ?N)) *$""))"),FALSE)</f>
        <v>0</v>
      </c>
      <c r="U19" s="37" t="b">
        <f>IFERROR(__xludf.DUMMYFUNCTION("if(isblank(A19),,REGEXMATCH(B19,""^((I ?\+ ?(U ?I|I ?U))|((I ?U|U ?I) ?\+ ?I)) *$""))"),FALSE)</f>
        <v>0</v>
      </c>
      <c r="V19" s="37" t="b">
        <f>IFERROR(__xludf.DUMMYFUNCTION("if(isblank(A19),,REGEXMATCH(B19,""^((D ?\+ ?(U ?I|I ?U))|((I ?U|U ?I) ?\+ ?D)) *$""))"),FALSE)</f>
        <v>0</v>
      </c>
      <c r="W19" s="37" t="b">
        <f>IFERROR(__xludf.DUMMYFUNCTION("if(isblank(A19),,REGEXMATCH(B19,""^((U ?\+ ?(U ?I|I ?U))|((I ?U|U ?I) ?\+ ?U)) *$""))"),FALSE)</f>
        <v>0</v>
      </c>
      <c r="X19" s="37" t="b">
        <f>IFERROR(__xludf.DUMMYFUNCTION("if(isblank(A19),,REGEXMATCH(B19,""^((N ?\+ ?(U ?I|I ?U))|((I ?U|U ?I) ?\+ ?N)) *$""))"),FALSE)</f>
        <v>0</v>
      </c>
      <c r="Y19" s="37" t="b">
        <f>IFERROR(__xludf.DUMMYFUNCTION("if(isblank(A19),,REGEXMATCH(B19,""^((I ?\+ ?(U ?D|D ?U))|((D ?U|U ?D) ?\+ ?I)) *$""))"),FALSE)</f>
        <v>0</v>
      </c>
      <c r="Z19" s="37" t="b">
        <f>IFERROR(__xludf.DUMMYFUNCTION("if(isblank(A19),,REGEXMATCH(B19,""^((D ?\+ ?(U ?D|D ?U))|((D ?U|U ?D) ?\+ ?D)) *$""))"),FALSE)</f>
        <v>0</v>
      </c>
      <c r="AA19" s="37" t="b">
        <f>IFERROR(__xludf.DUMMYFUNCTION("if(isblank(A19),,REGEXMATCH(B19,""^((U ?\+ ?(U ?D|D ?U))|((D ?U|U ?D) ?\+ ?U)) *$""))"),FALSE)</f>
        <v>0</v>
      </c>
      <c r="AB19" s="37" t="b">
        <f>IFERROR(__xludf.DUMMYFUNCTION("if(isblank(A19),,REGEXMATCH(B19,""^((D ?I|I ?D) ?\+ ?(D ?I|I ?D)) *$""))"),FALSE)</f>
        <v>0</v>
      </c>
      <c r="AC19" s="37" t="b">
        <f>IFERROR(__xludf.DUMMYFUNCTION("if(isblank(A19),,REGEXMATCH(B19,""^((D ?I|I ?D) ?\+ ?(U ?I|I ?U))|((U ?I|I ?U) ?\+ ?(D ?I|I ?D)) *$""))"),FALSE)</f>
        <v>0</v>
      </c>
      <c r="AD19" s="37" t="b">
        <f>IFERROR(__xludf.DUMMYFUNCTION("if(isblank(A19),,REGEXMATCH(B19,""^I *vs\. I *$""))"),FALSE)</f>
        <v>0</v>
      </c>
      <c r="AE19" s="37" t="b">
        <f>IFERROR(__xludf.DUMMYFUNCTION("if(isblank(A19),,REGEXMATCH(B19,""(^I *vs\. D *$)|(^D *vs\. I *$)""))"),FALSE)</f>
        <v>0</v>
      </c>
      <c r="AF19" s="37" t="b">
        <f>IFERROR(__xludf.DUMMYFUNCTION("if(isblank(A19),,REGEXMATCH(B19,""(^I *vs\. U *$)|(^U *vs\. I *$)""))"),FALSE)</f>
        <v>0</v>
      </c>
      <c r="AG19" s="37" t="b">
        <f>IFERROR(__xludf.DUMMYFUNCTION("if(isblank(A19),,REGEXMATCH(B19,""^D *vs\. D *$""))"),FALSE)</f>
        <v>0</v>
      </c>
      <c r="AH19" s="37" t="b">
        <f>IFERROR(__xludf.DUMMYFUNCTION("if(isblank(A19),,REGEXMATCH(B19,""(^U *vs\. D *$)|(^D *vs\. U *$)""))"),FALSE)</f>
        <v>0</v>
      </c>
      <c r="AI19" s="37" t="b">
        <f>IFERROR(__xludf.DUMMYFUNCTION("if(isblank(A19),,REGEXMATCH(B19,""^U *vs\. U *$""))"),FALSE)</f>
        <v>0</v>
      </c>
      <c r="AJ19" s="37" t="b">
        <f>IFERROR(__xludf.DUMMYFUNCTION("if(isblank(A19),,REGEXMATCH(B19,""^((I ?vs\. ?(D ?I|I ?D))|((D ?I|I ?D) ?vs\. ?I)) *$""))"),FALSE)</f>
        <v>0</v>
      </c>
      <c r="AK19" s="37" t="b">
        <f>IFERROR(__xludf.DUMMYFUNCTION("if(isblank(A19),,REGEXMATCH(B19,""^((D ?vs\. ?(D ?I|I ?D))|((D ?I|I ?D) ?vs\. ?D)) *$""))"),FALSE)</f>
        <v>0</v>
      </c>
      <c r="AL19" s="37" t="b">
        <f>IFERROR(__xludf.DUMMYFUNCTION("if(isblank(A19),,REGEXMATCH(B19,""^((U ?vs\. ?(D ?I|I ?D))|((D ?I|I ?D) ?vs\. ?U)) *$""))"),FALSE)</f>
        <v>0</v>
      </c>
      <c r="AM19" s="37" t="b">
        <f>IFERROR(__xludf.DUMMYFUNCTION("if(isblank(A19),,REGEXMATCH(B19,""^((I ?vs\. ?(U ?I|I ?U))|((U ?I|I ?U) ?vs\. ?I)) *$""))"),FALSE)</f>
        <v>0</v>
      </c>
      <c r="AN19" s="37" t="b">
        <f>IFERROR(__xludf.DUMMYFUNCTION("if(isblank(A19),,REGEXMATCH(B19,""^((D ?vs\. ?(U ?I|I ?U))|((U ?I|I ?U) ?vs\. ?D)) *$""))"),FALSE)</f>
        <v>0</v>
      </c>
      <c r="AO19" s="37" t="b">
        <f>IFERROR(__xludf.DUMMYFUNCTION("if(isblank(A19),,REGEXMATCH(B19,""^((U ?vs\. ?(U ?I|I ?U))|((U ?I|I ?U) ?vs\. ?U)) *$""))"),FALSE)</f>
        <v>0</v>
      </c>
      <c r="AP19" s="37" t="b">
        <f>IFERROR(__xludf.DUMMYFUNCTION("if(isblank(A19),,REGEXMATCH(B19,""^((I ?vs\. ?(U ?D|D ?U))|((D ?U|U ?D) ?vs\. ?I)) *$""))"),FALSE)</f>
        <v>0</v>
      </c>
      <c r="AQ19" s="37" t="b">
        <f>IFERROR(__xludf.DUMMYFUNCTION("if(isblank(A19),,REGEXMATCH(B19,""^((D ?vs\. ?(U ?D|D ?U))|((D ?U|U ?D) ?vs\. ?D)) *$""))"),FALSE)</f>
        <v>0</v>
      </c>
      <c r="AR19" s="37" t="b">
        <f>IFERROR(__xludf.DUMMYFUNCTION("if(isblank(A19),,REGEXMATCH(B19,""^((U ?vs\. ?(U ?D|D ?U))|((D ?U|U ?D) ?vs\. ?U)) *$""))"),FALSE)</f>
        <v>0</v>
      </c>
      <c r="AS19" s="37" t="b">
        <f>IFERROR(__xludf.DUMMYFUNCTION("if(isblank(A19),,REGEXMATCH(B19,""^((D ?I|I ?D) ?vs\. ?(D ?I|I ?D)) *$""))"),FALSE)</f>
        <v>0</v>
      </c>
      <c r="AT19" s="37" t="b">
        <f>IFERROR(__xludf.DUMMYFUNCTION("if(isblank(A19),,REGEXMATCH(B19,""^((D ?I|I ?D) ?vs\. ?(U ?I|I ?U))|((U ?I|I ?U) ?vs\. ?(D ?I|I ?D)) *$""))"),FALSE)</f>
        <v>0</v>
      </c>
      <c r="AU19" s="37" t="b">
        <f>IFERROR(__xludf.DUMMYFUNCTION("if(isblank(A19),,REGEXMATCH(B19,""^((D ?I|I ?D) ?vs\. ?(U ?D|D ?U))|((U ?D|D ?U) ?vs\. ?(D ?I|I ?D)) *$""))"),FALSE)</f>
        <v>0</v>
      </c>
      <c r="AV19" s="37" t="b">
        <f>IFERROR(__xludf.DUMMYFUNCTION("if(isblank(A19),,REGEXMATCH(B19,""^((U ?I|I ?U) ?vs\. ?(U ?I|I ?U)) *$""))"),FALSE)</f>
        <v>0</v>
      </c>
    </row>
    <row r="20" ht="26.25" customHeight="1">
      <c r="A20" s="79" t="str">
        <f>Paper_Textual_Conflict!M20</f>
        <v>U vs. D I (Java code)
Origin(U vs. U)</v>
      </c>
      <c r="B20" s="37" t="str">
        <f>IFERROR(__xludf.DUMMYFUNCTION("if(isblank(A20),,regexextract(REGEXEXTRACT(A20,""^.*""),""^[^(]*""))"),"U vs. D I ")</f>
        <v>U vs. D I </v>
      </c>
      <c r="C20" s="37" t="b">
        <f>IFERROR(__xludf.DUMMYFUNCTION("if(isblank(A20),,REGEXMATCH(B20,"".*\+.*"") )"),FALSE)</f>
        <v>0</v>
      </c>
      <c r="D20" s="37" t="b">
        <f>IFERROR(__xludf.DUMMYFUNCTION("if(isblank(A20),,REGEXMATCH(B20,"".*vs.*"") )"),TRUE)</f>
        <v>1</v>
      </c>
      <c r="E20" s="37" t="b">
        <f>Paper_Textual_Conflict!H20</f>
        <v>1</v>
      </c>
      <c r="F20" s="37" t="str">
        <f>Paper_Textual_Conflict!Q20</f>
        <v>Java</v>
      </c>
      <c r="G20" s="33">
        <v>20.0</v>
      </c>
      <c r="H20" s="37" t="b">
        <f>IFERROR(__xludf.DUMMYFUNCTION("if(isblank(A20),,REGEXMATCH(B20,""^I *\+ I *$""))"),FALSE)</f>
        <v>0</v>
      </c>
      <c r="I20" s="37" t="b">
        <f>IFERROR(__xludf.DUMMYFUNCTION("if(isblank(A20),,REGEXMATCH(B20,""(^I *\+ D *$)|(^D *\+ I *$)""))"),FALSE)</f>
        <v>0</v>
      </c>
      <c r="J20" s="37" t="b">
        <f>IFERROR(__xludf.DUMMYFUNCTION("if(isblank(A20),,REGEXMATCH(B20,""(^I *\+ U *$)|(^U *\+ I *$)""))"),FALSE)</f>
        <v>0</v>
      </c>
      <c r="K20" s="37" t="b">
        <f>IFERROR(__xludf.DUMMYFUNCTION("if(isblank(A20),,REGEXMATCH(B20,""(^I *\+ N *$)|(^N *\+ I *$)"") )"),FALSE)</f>
        <v>0</v>
      </c>
      <c r="L20" s="37" t="b">
        <f>IFERROR(__xludf.DUMMYFUNCTION("if(isblank(A20),,REGEXMATCH(B20,""^D *\+ D *$""))"),FALSE)</f>
        <v>0</v>
      </c>
      <c r="M20" s="37" t="b">
        <f>IFERROR(__xludf.DUMMYFUNCTION("if(isblank(A20),,REGEXMATCH(B20,""(^U *\+ D *$)|(^D *\+ U *$)""))"),FALSE)</f>
        <v>0</v>
      </c>
      <c r="N20" s="37" t="b">
        <f>IFERROR(__xludf.DUMMYFUNCTION("if(isblank(A20),,REGEXMATCH(B20,""(^N *\+ D *$)|(^D *\+ N *$)""))"),FALSE)</f>
        <v>0</v>
      </c>
      <c r="O20" s="37" t="b">
        <f>IFERROR(__xludf.DUMMYFUNCTION("if(isblank(A20),,REGEXMATCH(B20,""^U *\+ U *$""))"),FALSE)</f>
        <v>0</v>
      </c>
      <c r="P20" s="37" t="b">
        <f>IFERROR(__xludf.DUMMYFUNCTION("if(isblank(A20),,REGEXMATCH(B20,""(^U *\+ N *$)|(^N *\+ U *$)""))"),FALSE)</f>
        <v>0</v>
      </c>
      <c r="Q20" s="37" t="b">
        <f>IFERROR(__xludf.DUMMYFUNCTION("if(isblank(A20),,REGEXMATCH(B20,""^((I ?\+ ?(D ?I|I ?D))|((D ?I|I ?D) ?\+ ?I)) *$""))"),FALSE)</f>
        <v>0</v>
      </c>
      <c r="R20" s="37" t="b">
        <f>IFERROR(__xludf.DUMMYFUNCTION("if(isblank(A20),,REGEXMATCH(B20,""^((D ?\+ ?(D ?I|I ?D))|((D ?I|I ?D) ?\+ ?D)) *$""))"),FALSE)</f>
        <v>0</v>
      </c>
      <c r="S20" s="37" t="b">
        <f>IFERROR(__xludf.DUMMYFUNCTION("if(isblank(A20),,REGEXMATCH(B20,""^((U ?\+ ?(D ?I|I ?D))|((D ?I|I ?D) ?\+ ?U)) *$""))"),FALSE)</f>
        <v>0</v>
      </c>
      <c r="T20" s="37" t="b">
        <f>IFERROR(__xludf.DUMMYFUNCTION("if(isblank(A20),,REGEXMATCH(B20,""^((N ?\+ ?(D ?I|I ?D))|((D ?I|I ?D) ?\+ ?N)) *$""))"),FALSE)</f>
        <v>0</v>
      </c>
      <c r="U20" s="37" t="b">
        <f>IFERROR(__xludf.DUMMYFUNCTION("if(isblank(A20),,REGEXMATCH(B20,""^((I ?\+ ?(U ?I|I ?U))|((I ?U|U ?I) ?\+ ?I)) *$""))"),FALSE)</f>
        <v>0</v>
      </c>
      <c r="V20" s="37" t="b">
        <f>IFERROR(__xludf.DUMMYFUNCTION("if(isblank(A20),,REGEXMATCH(B20,""^((D ?\+ ?(U ?I|I ?U))|((I ?U|U ?I) ?\+ ?D)) *$""))"),FALSE)</f>
        <v>0</v>
      </c>
      <c r="W20" s="37" t="b">
        <f>IFERROR(__xludf.DUMMYFUNCTION("if(isblank(A20),,REGEXMATCH(B20,""^((U ?\+ ?(U ?I|I ?U))|((I ?U|U ?I) ?\+ ?U)) *$""))"),FALSE)</f>
        <v>0</v>
      </c>
      <c r="X20" s="37" t="b">
        <f>IFERROR(__xludf.DUMMYFUNCTION("if(isblank(A20),,REGEXMATCH(B20,""^((N ?\+ ?(U ?I|I ?U))|((I ?U|U ?I) ?\+ ?N)) *$""))"),FALSE)</f>
        <v>0</v>
      </c>
      <c r="Y20" s="37" t="b">
        <f>IFERROR(__xludf.DUMMYFUNCTION("if(isblank(A20),,REGEXMATCH(B20,""^((I ?\+ ?(U ?D|D ?U))|((D ?U|U ?D) ?\+ ?I)) *$""))"),FALSE)</f>
        <v>0</v>
      </c>
      <c r="Z20" s="37" t="b">
        <f>IFERROR(__xludf.DUMMYFUNCTION("if(isblank(A20),,REGEXMATCH(B20,""^((D ?\+ ?(U ?D|D ?U))|((D ?U|U ?D) ?\+ ?D)) *$""))"),FALSE)</f>
        <v>0</v>
      </c>
      <c r="AA20" s="37" t="b">
        <f>IFERROR(__xludf.DUMMYFUNCTION("if(isblank(A20),,REGEXMATCH(B20,""^((U ?\+ ?(U ?D|D ?U))|((D ?U|U ?D) ?\+ ?U)) *$""))"),FALSE)</f>
        <v>0</v>
      </c>
      <c r="AB20" s="37" t="b">
        <f>IFERROR(__xludf.DUMMYFUNCTION("if(isblank(A20),,REGEXMATCH(B20,""^((D ?I|I ?D) ?\+ ?(D ?I|I ?D)) *$""))"),FALSE)</f>
        <v>0</v>
      </c>
      <c r="AC20" s="37" t="b">
        <f>IFERROR(__xludf.DUMMYFUNCTION("if(isblank(A20),,REGEXMATCH(B20,""^((D ?I|I ?D) ?\+ ?(U ?I|I ?U))|((U ?I|I ?U) ?\+ ?(D ?I|I ?D)) *$""))"),FALSE)</f>
        <v>0</v>
      </c>
      <c r="AD20" s="37" t="b">
        <f>IFERROR(__xludf.DUMMYFUNCTION("if(isblank(A20),,REGEXMATCH(B20,""^I *vs\. I *$""))"),FALSE)</f>
        <v>0</v>
      </c>
      <c r="AE20" s="37" t="b">
        <f>IFERROR(__xludf.DUMMYFUNCTION("if(isblank(A20),,REGEXMATCH(B20,""(^I *vs\. D *$)|(^D *vs\. I *$)""))"),FALSE)</f>
        <v>0</v>
      </c>
      <c r="AF20" s="37" t="b">
        <f>IFERROR(__xludf.DUMMYFUNCTION("if(isblank(A20),,REGEXMATCH(B20,""(^I *vs\. U *$)|(^U *vs\. I *$)""))"),FALSE)</f>
        <v>0</v>
      </c>
      <c r="AG20" s="37" t="b">
        <f>IFERROR(__xludf.DUMMYFUNCTION("if(isblank(A20),,REGEXMATCH(B20,""^D *vs\. D *$""))"),FALSE)</f>
        <v>0</v>
      </c>
      <c r="AH20" s="37" t="b">
        <f>IFERROR(__xludf.DUMMYFUNCTION("if(isblank(A20),,REGEXMATCH(B20,""(^U *vs\. D *$)|(^D *vs\. U *$)""))"),FALSE)</f>
        <v>0</v>
      </c>
      <c r="AI20" s="37" t="b">
        <f>IFERROR(__xludf.DUMMYFUNCTION("if(isblank(A20),,REGEXMATCH(B20,""^U *vs\. U *$""))"),FALSE)</f>
        <v>0</v>
      </c>
      <c r="AJ20" s="37" t="b">
        <f>IFERROR(__xludf.DUMMYFUNCTION("if(isblank(A20),,REGEXMATCH(B20,""^((I ?vs\. ?(D ?I|I ?D))|((D ?I|I ?D) ?vs\. ?I)) *$""))"),FALSE)</f>
        <v>0</v>
      </c>
      <c r="AK20" s="37" t="b">
        <f>IFERROR(__xludf.DUMMYFUNCTION("if(isblank(A20),,REGEXMATCH(B20,""^((D ?vs\. ?(D ?I|I ?D))|((D ?I|I ?D) ?vs\. ?D)) *$""))"),FALSE)</f>
        <v>0</v>
      </c>
      <c r="AL20" s="37" t="b">
        <f>IFERROR(__xludf.DUMMYFUNCTION("if(isblank(A20),,REGEXMATCH(B20,""^((U ?vs\. ?(D ?I|I ?D))|((D ?I|I ?D) ?vs\. ?U)) *$""))"),TRUE)</f>
        <v>1</v>
      </c>
      <c r="AM20" s="37" t="b">
        <f>IFERROR(__xludf.DUMMYFUNCTION("if(isblank(A20),,REGEXMATCH(B20,""^((I ?vs\. ?(U ?I|I ?U))|((U ?I|I ?U) ?vs\. ?I)) *$""))"),FALSE)</f>
        <v>0</v>
      </c>
      <c r="AN20" s="37" t="b">
        <f>IFERROR(__xludf.DUMMYFUNCTION("if(isblank(A20),,REGEXMATCH(B20,""^((D ?vs\. ?(U ?I|I ?U))|((U ?I|I ?U) ?vs\. ?D)) *$""))"),FALSE)</f>
        <v>0</v>
      </c>
      <c r="AO20" s="37" t="b">
        <f>IFERROR(__xludf.DUMMYFUNCTION("if(isblank(A20),,REGEXMATCH(B20,""^((U ?vs\. ?(U ?I|I ?U))|((U ?I|I ?U) ?vs\. ?U)) *$""))"),FALSE)</f>
        <v>0</v>
      </c>
      <c r="AP20" s="37" t="b">
        <f>IFERROR(__xludf.DUMMYFUNCTION("if(isblank(A20),,REGEXMATCH(B20,""^((I ?vs\. ?(U ?D|D ?U))|((D ?U|U ?D) ?vs\. ?I)) *$""))"),FALSE)</f>
        <v>0</v>
      </c>
      <c r="AQ20" s="37" t="b">
        <f>IFERROR(__xludf.DUMMYFUNCTION("if(isblank(A20),,REGEXMATCH(B20,""^((D ?vs\. ?(U ?D|D ?U))|((D ?U|U ?D) ?vs\. ?D)) *$""))"),FALSE)</f>
        <v>0</v>
      </c>
      <c r="AR20" s="37" t="b">
        <f>IFERROR(__xludf.DUMMYFUNCTION("if(isblank(A20),,REGEXMATCH(B20,""^((U ?vs\. ?(U ?D|D ?U))|((D ?U|U ?D) ?vs\. ?U)) *$""))"),FALSE)</f>
        <v>0</v>
      </c>
      <c r="AS20" s="37" t="b">
        <f>IFERROR(__xludf.DUMMYFUNCTION("if(isblank(A20),,REGEXMATCH(B20,""^((D ?I|I ?D) ?vs\. ?(D ?I|I ?D)) *$""))"),FALSE)</f>
        <v>0</v>
      </c>
      <c r="AT20" s="37" t="b">
        <f>IFERROR(__xludf.DUMMYFUNCTION("if(isblank(A20),,REGEXMATCH(B20,""^((D ?I|I ?D) ?vs\. ?(U ?I|I ?U))|((U ?I|I ?U) ?vs\. ?(D ?I|I ?D)) *$""))"),FALSE)</f>
        <v>0</v>
      </c>
      <c r="AU20" s="37" t="b">
        <f>IFERROR(__xludf.DUMMYFUNCTION("if(isblank(A20),,REGEXMATCH(B20,""^((D ?I|I ?D) ?vs\. ?(U ?D|D ?U))|((U ?D|D ?U) ?vs\. ?(D ?I|I ?D)) *$""))"),FALSE)</f>
        <v>0</v>
      </c>
      <c r="AV20" s="37" t="b">
        <f>IFERROR(__xludf.DUMMYFUNCTION("if(isblank(A20),,REGEXMATCH(B20,""^((U ?I|I ?U) ?vs\. ?(U ?I|I ?U)) *$""))"),FALSE)</f>
        <v>0</v>
      </c>
    </row>
    <row r="21" ht="26.25" customHeight="1">
      <c r="A21" s="79" t="str">
        <f>Paper_Textual_Conflict!M21</f>
        <v>I + U (Java code)</v>
      </c>
      <c r="B21" s="37" t="str">
        <f>IFERROR(__xludf.DUMMYFUNCTION("if(isblank(A21),,regexextract(REGEXEXTRACT(A21,""^.*""),""^[^(]*""))"),"I + U ")</f>
        <v>I + U </v>
      </c>
      <c r="C21" s="37" t="b">
        <f>IFERROR(__xludf.DUMMYFUNCTION("if(isblank(A21),,REGEXMATCH(B21,"".*\+.*"") )"),TRUE)</f>
        <v>1</v>
      </c>
      <c r="D21" s="37" t="b">
        <f>IFERROR(__xludf.DUMMYFUNCTION("if(isblank(A21),,REGEXMATCH(B21,"".*vs.*"") )"),FALSE)</f>
        <v>0</v>
      </c>
      <c r="E21" s="37" t="b">
        <f>Paper_Textual_Conflict!H21</f>
        <v>0</v>
      </c>
      <c r="F21" s="37" t="str">
        <f>Paper_Textual_Conflict!Q21</f>
        <v>Java</v>
      </c>
      <c r="G21" s="33">
        <v>21.0</v>
      </c>
      <c r="H21" s="37" t="b">
        <f>IFERROR(__xludf.DUMMYFUNCTION("if(isblank(A21),,REGEXMATCH(B21,""^I *\+ I *$""))"),FALSE)</f>
        <v>0</v>
      </c>
      <c r="I21" s="37" t="b">
        <f>IFERROR(__xludf.DUMMYFUNCTION("if(isblank(A21),,REGEXMATCH(B21,""(^I *\+ D *$)|(^D *\+ I *$)""))"),FALSE)</f>
        <v>0</v>
      </c>
      <c r="J21" s="37" t="b">
        <f>IFERROR(__xludf.DUMMYFUNCTION("if(isblank(A21),,REGEXMATCH(B21,""(^I *\+ U *$)|(^U *\+ I *$)""))"),TRUE)</f>
        <v>1</v>
      </c>
      <c r="K21" s="37" t="b">
        <f>IFERROR(__xludf.DUMMYFUNCTION("if(isblank(A21),,REGEXMATCH(B21,""(^I *\+ N *$)|(^N *\+ I *$)"") )"),FALSE)</f>
        <v>0</v>
      </c>
      <c r="L21" s="37" t="b">
        <f>IFERROR(__xludf.DUMMYFUNCTION("if(isblank(A21),,REGEXMATCH(B21,""^D *\+ D *$""))"),FALSE)</f>
        <v>0</v>
      </c>
      <c r="M21" s="37" t="b">
        <f>IFERROR(__xludf.DUMMYFUNCTION("if(isblank(A21),,REGEXMATCH(B21,""(^U *\+ D *$)|(^D *\+ U *$)""))"),FALSE)</f>
        <v>0</v>
      </c>
      <c r="N21" s="37" t="b">
        <f>IFERROR(__xludf.DUMMYFUNCTION("if(isblank(A21),,REGEXMATCH(B21,""(^N *\+ D *$)|(^D *\+ N *$)""))"),FALSE)</f>
        <v>0</v>
      </c>
      <c r="O21" s="37" t="b">
        <f>IFERROR(__xludf.DUMMYFUNCTION("if(isblank(A21),,REGEXMATCH(B21,""^U *\+ U *$""))"),FALSE)</f>
        <v>0</v>
      </c>
      <c r="P21" s="37" t="b">
        <f>IFERROR(__xludf.DUMMYFUNCTION("if(isblank(A21),,REGEXMATCH(B21,""(^U *\+ N *$)|(^N *\+ U *$)""))"),FALSE)</f>
        <v>0</v>
      </c>
      <c r="Q21" s="37" t="b">
        <f>IFERROR(__xludf.DUMMYFUNCTION("if(isblank(A21),,REGEXMATCH(B21,""^((I ?\+ ?(D ?I|I ?D))|((D ?I|I ?D) ?\+ ?I)) *$""))"),FALSE)</f>
        <v>0</v>
      </c>
      <c r="R21" s="37" t="b">
        <f>IFERROR(__xludf.DUMMYFUNCTION("if(isblank(A21),,REGEXMATCH(B21,""^((D ?\+ ?(D ?I|I ?D))|((D ?I|I ?D) ?\+ ?D)) *$""))"),FALSE)</f>
        <v>0</v>
      </c>
      <c r="S21" s="37" t="b">
        <f>IFERROR(__xludf.DUMMYFUNCTION("if(isblank(A21),,REGEXMATCH(B21,""^((U ?\+ ?(D ?I|I ?D))|((D ?I|I ?D) ?\+ ?U)) *$""))"),FALSE)</f>
        <v>0</v>
      </c>
      <c r="T21" s="37" t="b">
        <f>IFERROR(__xludf.DUMMYFUNCTION("if(isblank(A21),,REGEXMATCH(B21,""^((N ?\+ ?(D ?I|I ?D))|((D ?I|I ?D) ?\+ ?N)) *$""))"),FALSE)</f>
        <v>0</v>
      </c>
      <c r="U21" s="37" t="b">
        <f>IFERROR(__xludf.DUMMYFUNCTION("if(isblank(A21),,REGEXMATCH(B21,""^((I ?\+ ?(U ?I|I ?U))|((I ?U|U ?I) ?\+ ?I)) *$""))"),FALSE)</f>
        <v>0</v>
      </c>
      <c r="V21" s="37" t="b">
        <f>IFERROR(__xludf.DUMMYFUNCTION("if(isblank(A21),,REGEXMATCH(B21,""^((D ?\+ ?(U ?I|I ?U))|((I ?U|U ?I) ?\+ ?D)) *$""))"),FALSE)</f>
        <v>0</v>
      </c>
      <c r="W21" s="37" t="b">
        <f>IFERROR(__xludf.DUMMYFUNCTION("if(isblank(A21),,REGEXMATCH(B21,""^((U ?\+ ?(U ?I|I ?U))|((I ?U|U ?I) ?\+ ?U)) *$""))"),FALSE)</f>
        <v>0</v>
      </c>
      <c r="X21" s="37" t="b">
        <f>IFERROR(__xludf.DUMMYFUNCTION("if(isblank(A21),,REGEXMATCH(B21,""^((N ?\+ ?(U ?I|I ?U))|((I ?U|U ?I) ?\+ ?N)) *$""))"),FALSE)</f>
        <v>0</v>
      </c>
      <c r="Y21" s="37" t="b">
        <f>IFERROR(__xludf.DUMMYFUNCTION("if(isblank(A21),,REGEXMATCH(B21,""^((I ?\+ ?(U ?D|D ?U))|((D ?U|U ?D) ?\+ ?I)) *$""))"),FALSE)</f>
        <v>0</v>
      </c>
      <c r="Z21" s="37" t="b">
        <f>IFERROR(__xludf.DUMMYFUNCTION("if(isblank(A21),,REGEXMATCH(B21,""^((D ?\+ ?(U ?D|D ?U))|((D ?U|U ?D) ?\+ ?D)) *$""))"),FALSE)</f>
        <v>0</v>
      </c>
      <c r="AA21" s="37" t="b">
        <f>IFERROR(__xludf.DUMMYFUNCTION("if(isblank(A21),,REGEXMATCH(B21,""^((U ?\+ ?(U ?D|D ?U))|((D ?U|U ?D) ?\+ ?U)) *$""))"),FALSE)</f>
        <v>0</v>
      </c>
      <c r="AB21" s="37" t="b">
        <f>IFERROR(__xludf.DUMMYFUNCTION("if(isblank(A21),,REGEXMATCH(B21,""^((D ?I|I ?D) ?\+ ?(D ?I|I ?D)) *$""))"),FALSE)</f>
        <v>0</v>
      </c>
      <c r="AC21" s="37" t="b">
        <f>IFERROR(__xludf.DUMMYFUNCTION("if(isblank(A21),,REGEXMATCH(B21,""^((D ?I|I ?D) ?\+ ?(U ?I|I ?U))|((U ?I|I ?U) ?\+ ?(D ?I|I ?D)) *$""))"),FALSE)</f>
        <v>0</v>
      </c>
      <c r="AD21" s="37" t="b">
        <f>IFERROR(__xludf.DUMMYFUNCTION("if(isblank(A21),,REGEXMATCH(B21,""^I *vs\. I *$""))"),FALSE)</f>
        <v>0</v>
      </c>
      <c r="AE21" s="37" t="b">
        <f>IFERROR(__xludf.DUMMYFUNCTION("if(isblank(A21),,REGEXMATCH(B21,""(^I *vs\. D *$)|(^D *vs\. I *$)""))"),FALSE)</f>
        <v>0</v>
      </c>
      <c r="AF21" s="37" t="b">
        <f>IFERROR(__xludf.DUMMYFUNCTION("if(isblank(A21),,REGEXMATCH(B21,""(^I *vs\. U *$)|(^U *vs\. I *$)""))"),FALSE)</f>
        <v>0</v>
      </c>
      <c r="AG21" s="37" t="b">
        <f>IFERROR(__xludf.DUMMYFUNCTION("if(isblank(A21),,REGEXMATCH(B21,""^D *vs\. D *$""))"),FALSE)</f>
        <v>0</v>
      </c>
      <c r="AH21" s="37" t="b">
        <f>IFERROR(__xludf.DUMMYFUNCTION("if(isblank(A21),,REGEXMATCH(B21,""(^U *vs\. D *$)|(^D *vs\. U *$)""))"),FALSE)</f>
        <v>0</v>
      </c>
      <c r="AI21" s="37" t="b">
        <f>IFERROR(__xludf.DUMMYFUNCTION("if(isblank(A21),,REGEXMATCH(B21,""^U *vs\. U *$""))"),FALSE)</f>
        <v>0</v>
      </c>
      <c r="AJ21" s="37" t="b">
        <f>IFERROR(__xludf.DUMMYFUNCTION("if(isblank(A21),,REGEXMATCH(B21,""^((I ?vs\. ?(D ?I|I ?D))|((D ?I|I ?D) ?vs\. ?I)) *$""))"),FALSE)</f>
        <v>0</v>
      </c>
      <c r="AK21" s="37" t="b">
        <f>IFERROR(__xludf.DUMMYFUNCTION("if(isblank(A21),,REGEXMATCH(B21,""^((D ?vs\. ?(D ?I|I ?D))|((D ?I|I ?D) ?vs\. ?D)) *$""))"),FALSE)</f>
        <v>0</v>
      </c>
      <c r="AL21" s="37" t="b">
        <f>IFERROR(__xludf.DUMMYFUNCTION("if(isblank(A21),,REGEXMATCH(B21,""^((U ?vs\. ?(D ?I|I ?D))|((D ?I|I ?D) ?vs\. ?U)) *$""))"),FALSE)</f>
        <v>0</v>
      </c>
      <c r="AM21" s="37" t="b">
        <f>IFERROR(__xludf.DUMMYFUNCTION("if(isblank(A21),,REGEXMATCH(B21,""^((I ?vs\. ?(U ?I|I ?U))|((U ?I|I ?U) ?vs\. ?I)) *$""))"),FALSE)</f>
        <v>0</v>
      </c>
      <c r="AN21" s="37" t="b">
        <f>IFERROR(__xludf.DUMMYFUNCTION("if(isblank(A21),,REGEXMATCH(B21,""^((D ?vs\. ?(U ?I|I ?U))|((U ?I|I ?U) ?vs\. ?D)) *$""))"),FALSE)</f>
        <v>0</v>
      </c>
      <c r="AO21" s="37" t="b">
        <f>IFERROR(__xludf.DUMMYFUNCTION("if(isblank(A21),,REGEXMATCH(B21,""^((U ?vs\. ?(U ?I|I ?U))|((U ?I|I ?U) ?vs\. ?U)) *$""))"),FALSE)</f>
        <v>0</v>
      </c>
      <c r="AP21" s="37" t="b">
        <f>IFERROR(__xludf.DUMMYFUNCTION("if(isblank(A21),,REGEXMATCH(B21,""^((I ?vs\. ?(U ?D|D ?U))|((D ?U|U ?D) ?vs\. ?I)) *$""))"),FALSE)</f>
        <v>0</v>
      </c>
      <c r="AQ21" s="37" t="b">
        <f>IFERROR(__xludf.DUMMYFUNCTION("if(isblank(A21),,REGEXMATCH(B21,""^((D ?vs\. ?(U ?D|D ?U))|((D ?U|U ?D) ?vs\. ?D)) *$""))"),FALSE)</f>
        <v>0</v>
      </c>
      <c r="AR21" s="37" t="b">
        <f>IFERROR(__xludf.DUMMYFUNCTION("if(isblank(A21),,REGEXMATCH(B21,""^((U ?vs\. ?(U ?D|D ?U))|((D ?U|U ?D) ?vs\. ?U)) *$""))"),FALSE)</f>
        <v>0</v>
      </c>
      <c r="AS21" s="37" t="b">
        <f>IFERROR(__xludf.DUMMYFUNCTION("if(isblank(A21),,REGEXMATCH(B21,""^((D ?I|I ?D) ?vs\. ?(D ?I|I ?D)) *$""))"),FALSE)</f>
        <v>0</v>
      </c>
      <c r="AT21" s="37" t="b">
        <f>IFERROR(__xludf.DUMMYFUNCTION("if(isblank(A21),,REGEXMATCH(B21,""^((D ?I|I ?D) ?vs\. ?(U ?I|I ?U))|((U ?I|I ?U) ?vs\. ?(D ?I|I ?D)) *$""))"),FALSE)</f>
        <v>0</v>
      </c>
      <c r="AU21" s="37" t="b">
        <f>IFERROR(__xludf.DUMMYFUNCTION("if(isblank(A21),,REGEXMATCH(B21,""^((D ?I|I ?D) ?vs\. ?(U ?D|D ?U))|((U ?D|D ?U) ?vs\. ?(D ?I|I ?D)) *$""))"),FALSE)</f>
        <v>0</v>
      </c>
      <c r="AV21" s="37" t="b">
        <f>IFERROR(__xludf.DUMMYFUNCTION("if(isblank(A21),,REGEXMATCH(B21,""^((U ?I|I ?U) ?vs\. ?(U ?I|I ?U)) *$""))"),FALSE)</f>
        <v>0</v>
      </c>
    </row>
    <row r="22" ht="26.25" customHeight="1">
      <c r="A22" s="79" t="str">
        <f>Paper_Textual_Conflict!M22</f>
        <v>D I vs. D I (scala)
Origin(U vs. U)</v>
      </c>
      <c r="B22" s="37" t="str">
        <f>IFERROR(__xludf.DUMMYFUNCTION("if(isblank(A22),,regexextract(REGEXEXTRACT(A22,""^.*""),""^[^(]*""))"),"D I vs. D I ")</f>
        <v>D I vs. D I </v>
      </c>
      <c r="C22" s="37" t="b">
        <f>IFERROR(__xludf.DUMMYFUNCTION("if(isblank(A22),,REGEXMATCH(B22,"".*\+.*"") )"),FALSE)</f>
        <v>0</v>
      </c>
      <c r="D22" s="37" t="b">
        <f>IFERROR(__xludf.DUMMYFUNCTION("if(isblank(A22),,REGEXMATCH(B22,"".*vs.*"") )"),TRUE)</f>
        <v>1</v>
      </c>
      <c r="E22" s="37" t="b">
        <f>Paper_Textual_Conflict!H22</f>
        <v>1</v>
      </c>
      <c r="F22" s="37" t="str">
        <f>Paper_Textual_Conflict!Q22</f>
        <v>Non-Java</v>
      </c>
      <c r="G22" s="33">
        <v>22.0</v>
      </c>
      <c r="H22" s="37" t="b">
        <f>IFERROR(__xludf.DUMMYFUNCTION("if(isblank(A22),,REGEXMATCH(B22,""^I *\+ I *$""))"),FALSE)</f>
        <v>0</v>
      </c>
      <c r="I22" s="37" t="b">
        <f>IFERROR(__xludf.DUMMYFUNCTION("if(isblank(A22),,REGEXMATCH(B22,""(^I *\+ D *$)|(^D *\+ I *$)""))"),FALSE)</f>
        <v>0</v>
      </c>
      <c r="J22" s="37" t="b">
        <f>IFERROR(__xludf.DUMMYFUNCTION("if(isblank(A22),,REGEXMATCH(B22,""(^I *\+ U *$)|(^U *\+ I *$)""))"),FALSE)</f>
        <v>0</v>
      </c>
      <c r="K22" s="37" t="b">
        <f>IFERROR(__xludf.DUMMYFUNCTION("if(isblank(A22),,REGEXMATCH(B22,""(^I *\+ N *$)|(^N *\+ I *$)"") )"),FALSE)</f>
        <v>0</v>
      </c>
      <c r="L22" s="37" t="b">
        <f>IFERROR(__xludf.DUMMYFUNCTION("if(isblank(A22),,REGEXMATCH(B22,""^D *\+ D *$""))"),FALSE)</f>
        <v>0</v>
      </c>
      <c r="M22" s="37" t="b">
        <f>IFERROR(__xludf.DUMMYFUNCTION("if(isblank(A22),,REGEXMATCH(B22,""(^U *\+ D *$)|(^D *\+ U *$)""))"),FALSE)</f>
        <v>0</v>
      </c>
      <c r="N22" s="37" t="b">
        <f>IFERROR(__xludf.DUMMYFUNCTION("if(isblank(A22),,REGEXMATCH(B22,""(^N *\+ D *$)|(^D *\+ N *$)""))"),FALSE)</f>
        <v>0</v>
      </c>
      <c r="O22" s="37" t="b">
        <f>IFERROR(__xludf.DUMMYFUNCTION("if(isblank(A22),,REGEXMATCH(B22,""^U *\+ U *$""))"),FALSE)</f>
        <v>0</v>
      </c>
      <c r="P22" s="37" t="b">
        <f>IFERROR(__xludf.DUMMYFUNCTION("if(isblank(A22),,REGEXMATCH(B22,""(^U *\+ N *$)|(^N *\+ U *$)""))"),FALSE)</f>
        <v>0</v>
      </c>
      <c r="Q22" s="37" t="b">
        <f>IFERROR(__xludf.DUMMYFUNCTION("if(isblank(A22),,REGEXMATCH(B22,""^((I ?\+ ?(D ?I|I ?D))|((D ?I|I ?D) ?\+ ?I)) *$""))"),FALSE)</f>
        <v>0</v>
      </c>
      <c r="R22" s="37" t="b">
        <f>IFERROR(__xludf.DUMMYFUNCTION("if(isblank(A22),,REGEXMATCH(B22,""^((D ?\+ ?(D ?I|I ?D))|((D ?I|I ?D) ?\+ ?D)) *$""))"),FALSE)</f>
        <v>0</v>
      </c>
      <c r="S22" s="37" t="b">
        <f>IFERROR(__xludf.DUMMYFUNCTION("if(isblank(A22),,REGEXMATCH(B22,""^((U ?\+ ?(D ?I|I ?D))|((D ?I|I ?D) ?\+ ?U)) *$""))"),FALSE)</f>
        <v>0</v>
      </c>
      <c r="T22" s="37" t="b">
        <f>IFERROR(__xludf.DUMMYFUNCTION("if(isblank(A22),,REGEXMATCH(B22,""^((N ?\+ ?(D ?I|I ?D))|((D ?I|I ?D) ?\+ ?N)) *$""))"),FALSE)</f>
        <v>0</v>
      </c>
      <c r="U22" s="37" t="b">
        <f>IFERROR(__xludf.DUMMYFUNCTION("if(isblank(A22),,REGEXMATCH(B22,""^((I ?\+ ?(U ?I|I ?U))|((I ?U|U ?I) ?\+ ?I)) *$""))"),FALSE)</f>
        <v>0</v>
      </c>
      <c r="V22" s="37" t="b">
        <f>IFERROR(__xludf.DUMMYFUNCTION("if(isblank(A22),,REGEXMATCH(B22,""^((D ?\+ ?(U ?I|I ?U))|((I ?U|U ?I) ?\+ ?D)) *$""))"),FALSE)</f>
        <v>0</v>
      </c>
      <c r="W22" s="37" t="b">
        <f>IFERROR(__xludf.DUMMYFUNCTION("if(isblank(A22),,REGEXMATCH(B22,""^((U ?\+ ?(U ?I|I ?U))|((I ?U|U ?I) ?\+ ?U)) *$""))"),FALSE)</f>
        <v>0</v>
      </c>
      <c r="X22" s="37" t="b">
        <f>IFERROR(__xludf.DUMMYFUNCTION("if(isblank(A22),,REGEXMATCH(B22,""^((N ?\+ ?(U ?I|I ?U))|((I ?U|U ?I) ?\+ ?N)) *$""))"),FALSE)</f>
        <v>0</v>
      </c>
      <c r="Y22" s="37" t="b">
        <f>IFERROR(__xludf.DUMMYFUNCTION("if(isblank(A22),,REGEXMATCH(B22,""^((I ?\+ ?(U ?D|D ?U))|((D ?U|U ?D) ?\+ ?I)) *$""))"),FALSE)</f>
        <v>0</v>
      </c>
      <c r="Z22" s="37" t="b">
        <f>IFERROR(__xludf.DUMMYFUNCTION("if(isblank(A22),,REGEXMATCH(B22,""^((D ?\+ ?(U ?D|D ?U))|((D ?U|U ?D) ?\+ ?D)) *$""))"),FALSE)</f>
        <v>0</v>
      </c>
      <c r="AA22" s="37" t="b">
        <f>IFERROR(__xludf.DUMMYFUNCTION("if(isblank(A22),,REGEXMATCH(B22,""^((U ?\+ ?(U ?D|D ?U))|((D ?U|U ?D) ?\+ ?U)) *$""))"),FALSE)</f>
        <v>0</v>
      </c>
      <c r="AB22" s="37" t="b">
        <f>IFERROR(__xludf.DUMMYFUNCTION("if(isblank(A22),,REGEXMATCH(B22,""^((D ?I|I ?D) ?\+ ?(D ?I|I ?D)) *$""))"),FALSE)</f>
        <v>0</v>
      </c>
      <c r="AC22" s="37" t="b">
        <f>IFERROR(__xludf.DUMMYFUNCTION("if(isblank(A22),,REGEXMATCH(B22,""^((D ?I|I ?D) ?\+ ?(U ?I|I ?U))|((U ?I|I ?U) ?\+ ?(D ?I|I ?D)) *$""))"),FALSE)</f>
        <v>0</v>
      </c>
      <c r="AD22" s="37" t="b">
        <f>IFERROR(__xludf.DUMMYFUNCTION("if(isblank(A22),,REGEXMATCH(B22,""^I *vs\. I *$""))"),FALSE)</f>
        <v>0</v>
      </c>
      <c r="AE22" s="37" t="b">
        <f>IFERROR(__xludf.DUMMYFUNCTION("if(isblank(A22),,REGEXMATCH(B22,""(^I *vs\. D *$)|(^D *vs\. I *$)""))"),FALSE)</f>
        <v>0</v>
      </c>
      <c r="AF22" s="37" t="b">
        <f>IFERROR(__xludf.DUMMYFUNCTION("if(isblank(A22),,REGEXMATCH(B22,""(^I *vs\. U *$)|(^U *vs\. I *$)""))"),FALSE)</f>
        <v>0</v>
      </c>
      <c r="AG22" s="37" t="b">
        <f>IFERROR(__xludf.DUMMYFUNCTION("if(isblank(A22),,REGEXMATCH(B22,""^D *vs\. D *$""))"),FALSE)</f>
        <v>0</v>
      </c>
      <c r="AH22" s="37" t="b">
        <f>IFERROR(__xludf.DUMMYFUNCTION("if(isblank(A22),,REGEXMATCH(B22,""(^U *vs\. D *$)|(^D *vs\. U *$)""))"),FALSE)</f>
        <v>0</v>
      </c>
      <c r="AI22" s="37" t="b">
        <f>IFERROR(__xludf.DUMMYFUNCTION("if(isblank(A22),,REGEXMATCH(B22,""^U *vs\. U *$""))"),FALSE)</f>
        <v>0</v>
      </c>
      <c r="AJ22" s="37" t="b">
        <f>IFERROR(__xludf.DUMMYFUNCTION("if(isblank(A22),,REGEXMATCH(B22,""^((I ?vs\. ?(D ?I|I ?D))|((D ?I|I ?D) ?vs\. ?I)) *$""))"),FALSE)</f>
        <v>0</v>
      </c>
      <c r="AK22" s="37" t="b">
        <f>IFERROR(__xludf.DUMMYFUNCTION("if(isblank(A22),,REGEXMATCH(B22,""^((D ?vs\. ?(D ?I|I ?D))|((D ?I|I ?D) ?vs\. ?D)) *$""))"),FALSE)</f>
        <v>0</v>
      </c>
      <c r="AL22" s="37" t="b">
        <f>IFERROR(__xludf.DUMMYFUNCTION("if(isblank(A22),,REGEXMATCH(B22,""^((U ?vs\. ?(D ?I|I ?D))|((D ?I|I ?D) ?vs\. ?U)) *$""))"),FALSE)</f>
        <v>0</v>
      </c>
      <c r="AM22" s="37" t="b">
        <f>IFERROR(__xludf.DUMMYFUNCTION("if(isblank(A22),,REGEXMATCH(B22,""^((I ?vs\. ?(U ?I|I ?U))|((U ?I|I ?U) ?vs\. ?I)) *$""))"),FALSE)</f>
        <v>0</v>
      </c>
      <c r="AN22" s="37" t="b">
        <f>IFERROR(__xludf.DUMMYFUNCTION("if(isblank(A22),,REGEXMATCH(B22,""^((D ?vs\. ?(U ?I|I ?U))|((U ?I|I ?U) ?vs\. ?D)) *$""))"),FALSE)</f>
        <v>0</v>
      </c>
      <c r="AO22" s="37" t="b">
        <f>IFERROR(__xludf.DUMMYFUNCTION("if(isblank(A22),,REGEXMATCH(B22,""^((U ?vs\. ?(U ?I|I ?U))|((U ?I|I ?U) ?vs\. ?U)) *$""))"),FALSE)</f>
        <v>0</v>
      </c>
      <c r="AP22" s="37" t="b">
        <f>IFERROR(__xludf.DUMMYFUNCTION("if(isblank(A22),,REGEXMATCH(B22,""^((I ?vs\. ?(U ?D|D ?U))|((D ?U|U ?D) ?vs\. ?I)) *$""))"),FALSE)</f>
        <v>0</v>
      </c>
      <c r="AQ22" s="37" t="b">
        <f>IFERROR(__xludf.DUMMYFUNCTION("if(isblank(A22),,REGEXMATCH(B22,""^((D ?vs\. ?(U ?D|D ?U))|((D ?U|U ?D) ?vs\. ?D)) *$""))"),FALSE)</f>
        <v>0</v>
      </c>
      <c r="AR22" s="37" t="b">
        <f>IFERROR(__xludf.DUMMYFUNCTION("if(isblank(A22),,REGEXMATCH(B22,""^((U ?vs\. ?(U ?D|D ?U))|((D ?U|U ?D) ?vs\. ?U)) *$""))"),FALSE)</f>
        <v>0</v>
      </c>
      <c r="AS22" s="37" t="b">
        <f>IFERROR(__xludf.DUMMYFUNCTION("if(isblank(A22),,REGEXMATCH(B22,""^((D ?I|I ?D) ?vs\. ?(D ?I|I ?D)) *$""))"),TRUE)</f>
        <v>1</v>
      </c>
      <c r="AT22" s="37" t="b">
        <f>IFERROR(__xludf.DUMMYFUNCTION("if(isblank(A22),,REGEXMATCH(B22,""^((D ?I|I ?D) ?vs\. ?(U ?I|I ?U))|((U ?I|I ?U) ?vs\. ?(D ?I|I ?D)) *$""))"),FALSE)</f>
        <v>0</v>
      </c>
      <c r="AU22" s="37" t="b">
        <f>IFERROR(__xludf.DUMMYFUNCTION("if(isblank(A22),,REGEXMATCH(B22,""^((D ?I|I ?D) ?vs\. ?(U ?D|D ?U))|((U ?D|D ?U) ?vs\. ?(D ?I|I ?D)) *$""))"),FALSE)</f>
        <v>0</v>
      </c>
      <c r="AV22" s="37" t="b">
        <f>IFERROR(__xludf.DUMMYFUNCTION("if(isblank(A22),,REGEXMATCH(B22,""^((U ?I|I ?U) ?vs\. ?(U ?I|I ?U)) *$""))"),FALSE)</f>
        <v>0</v>
      </c>
    </row>
    <row r="23" ht="26.25" customHeight="1">
      <c r="A23" s="79" t="str">
        <f>Paper_Textual_Conflict!M23</f>
        <v>D vs. U (java file)</v>
      </c>
      <c r="B23" s="37" t="str">
        <f>IFERROR(__xludf.DUMMYFUNCTION("if(isblank(A23),,regexextract(REGEXEXTRACT(A23,""^.*""),""^[^(]*""))"),"D vs. U ")</f>
        <v>D vs. U </v>
      </c>
      <c r="C23" s="37" t="b">
        <f>IFERROR(__xludf.DUMMYFUNCTION("if(isblank(A23),,REGEXMATCH(B23,"".*\+.*"") )"),FALSE)</f>
        <v>0</v>
      </c>
      <c r="D23" s="37" t="b">
        <f>IFERROR(__xludf.DUMMYFUNCTION("if(isblank(A23),,REGEXMATCH(B23,"".*vs.*"") )"),TRUE)</f>
        <v>1</v>
      </c>
      <c r="E23" s="37" t="b">
        <f>Paper_Textual_Conflict!H23</f>
        <v>1</v>
      </c>
      <c r="F23" s="37" t="str">
        <f>Paper_Textual_Conflict!Q23</f>
        <v>Java</v>
      </c>
      <c r="G23" s="33">
        <v>23.0</v>
      </c>
      <c r="H23" s="37" t="b">
        <f>IFERROR(__xludf.DUMMYFUNCTION("if(isblank(A23),,REGEXMATCH(B23,""^I *\+ I *$""))"),FALSE)</f>
        <v>0</v>
      </c>
      <c r="I23" s="37" t="b">
        <f>IFERROR(__xludf.DUMMYFUNCTION("if(isblank(A23),,REGEXMATCH(B23,""(^I *\+ D *$)|(^D *\+ I *$)""))"),FALSE)</f>
        <v>0</v>
      </c>
      <c r="J23" s="37" t="b">
        <f>IFERROR(__xludf.DUMMYFUNCTION("if(isblank(A23),,REGEXMATCH(B23,""(^I *\+ U *$)|(^U *\+ I *$)""))"),FALSE)</f>
        <v>0</v>
      </c>
      <c r="K23" s="37" t="b">
        <f>IFERROR(__xludf.DUMMYFUNCTION("if(isblank(A23),,REGEXMATCH(B23,""(^I *\+ N *$)|(^N *\+ I *$)"") )"),FALSE)</f>
        <v>0</v>
      </c>
      <c r="L23" s="37" t="b">
        <f>IFERROR(__xludf.DUMMYFUNCTION("if(isblank(A23),,REGEXMATCH(B23,""^D *\+ D *$""))"),FALSE)</f>
        <v>0</v>
      </c>
      <c r="M23" s="37" t="b">
        <f>IFERROR(__xludf.DUMMYFUNCTION("if(isblank(A23),,REGEXMATCH(B23,""(^U *\+ D *$)|(^D *\+ U *$)""))"),FALSE)</f>
        <v>0</v>
      </c>
      <c r="N23" s="37" t="b">
        <f>IFERROR(__xludf.DUMMYFUNCTION("if(isblank(A23),,REGEXMATCH(B23,""(^N *\+ D *$)|(^D *\+ N *$)""))"),FALSE)</f>
        <v>0</v>
      </c>
      <c r="O23" s="37" t="b">
        <f>IFERROR(__xludf.DUMMYFUNCTION("if(isblank(A23),,REGEXMATCH(B23,""^U *\+ U *$""))"),FALSE)</f>
        <v>0</v>
      </c>
      <c r="P23" s="37" t="b">
        <f>IFERROR(__xludf.DUMMYFUNCTION("if(isblank(A23),,REGEXMATCH(B23,""(^U *\+ N *$)|(^N *\+ U *$)""))"),FALSE)</f>
        <v>0</v>
      </c>
      <c r="Q23" s="37" t="b">
        <f>IFERROR(__xludf.DUMMYFUNCTION("if(isblank(A23),,REGEXMATCH(B23,""^((I ?\+ ?(D ?I|I ?D))|((D ?I|I ?D) ?\+ ?I)) *$""))"),FALSE)</f>
        <v>0</v>
      </c>
      <c r="R23" s="37" t="b">
        <f>IFERROR(__xludf.DUMMYFUNCTION("if(isblank(A23),,REGEXMATCH(B23,""^((D ?\+ ?(D ?I|I ?D))|((D ?I|I ?D) ?\+ ?D)) *$""))"),FALSE)</f>
        <v>0</v>
      </c>
      <c r="S23" s="37" t="b">
        <f>IFERROR(__xludf.DUMMYFUNCTION("if(isblank(A23),,REGEXMATCH(B23,""^((U ?\+ ?(D ?I|I ?D))|((D ?I|I ?D) ?\+ ?U)) *$""))"),FALSE)</f>
        <v>0</v>
      </c>
      <c r="T23" s="37" t="b">
        <f>IFERROR(__xludf.DUMMYFUNCTION("if(isblank(A23),,REGEXMATCH(B23,""^((N ?\+ ?(D ?I|I ?D))|((D ?I|I ?D) ?\+ ?N)) *$""))"),FALSE)</f>
        <v>0</v>
      </c>
      <c r="U23" s="37" t="b">
        <f>IFERROR(__xludf.DUMMYFUNCTION("if(isblank(A23),,REGEXMATCH(B23,""^((I ?\+ ?(U ?I|I ?U))|((I ?U|U ?I) ?\+ ?I)) *$""))"),FALSE)</f>
        <v>0</v>
      </c>
      <c r="V23" s="37" t="b">
        <f>IFERROR(__xludf.DUMMYFUNCTION("if(isblank(A23),,REGEXMATCH(B23,""^((D ?\+ ?(U ?I|I ?U))|((I ?U|U ?I) ?\+ ?D)) *$""))"),FALSE)</f>
        <v>0</v>
      </c>
      <c r="W23" s="37" t="b">
        <f>IFERROR(__xludf.DUMMYFUNCTION("if(isblank(A23),,REGEXMATCH(B23,""^((U ?\+ ?(U ?I|I ?U))|((I ?U|U ?I) ?\+ ?U)) *$""))"),FALSE)</f>
        <v>0</v>
      </c>
      <c r="X23" s="37" t="b">
        <f>IFERROR(__xludf.DUMMYFUNCTION("if(isblank(A23),,REGEXMATCH(B23,""^((N ?\+ ?(U ?I|I ?U))|((I ?U|U ?I) ?\+ ?N)) *$""))"),FALSE)</f>
        <v>0</v>
      </c>
      <c r="Y23" s="37" t="b">
        <f>IFERROR(__xludf.DUMMYFUNCTION("if(isblank(A23),,REGEXMATCH(B23,""^((I ?\+ ?(U ?D|D ?U))|((D ?U|U ?D) ?\+ ?I)) *$""))"),FALSE)</f>
        <v>0</v>
      </c>
      <c r="Z23" s="37" t="b">
        <f>IFERROR(__xludf.DUMMYFUNCTION("if(isblank(A23),,REGEXMATCH(B23,""^((D ?\+ ?(U ?D|D ?U))|((D ?U|U ?D) ?\+ ?D)) *$""))"),FALSE)</f>
        <v>0</v>
      </c>
      <c r="AA23" s="37" t="b">
        <f>IFERROR(__xludf.DUMMYFUNCTION("if(isblank(A23),,REGEXMATCH(B23,""^((U ?\+ ?(U ?D|D ?U))|((D ?U|U ?D) ?\+ ?U)) *$""))"),FALSE)</f>
        <v>0</v>
      </c>
      <c r="AB23" s="37" t="b">
        <f>IFERROR(__xludf.DUMMYFUNCTION("if(isblank(A23),,REGEXMATCH(B23,""^((D ?I|I ?D) ?\+ ?(D ?I|I ?D)) *$""))"),FALSE)</f>
        <v>0</v>
      </c>
      <c r="AC23" s="37" t="b">
        <f>IFERROR(__xludf.DUMMYFUNCTION("if(isblank(A23),,REGEXMATCH(B23,""^((D ?I|I ?D) ?\+ ?(U ?I|I ?U))|((U ?I|I ?U) ?\+ ?(D ?I|I ?D)) *$""))"),FALSE)</f>
        <v>0</v>
      </c>
      <c r="AD23" s="37" t="b">
        <f>IFERROR(__xludf.DUMMYFUNCTION("if(isblank(A23),,REGEXMATCH(B23,""^I *vs\. I *$""))"),FALSE)</f>
        <v>0</v>
      </c>
      <c r="AE23" s="37" t="b">
        <f>IFERROR(__xludf.DUMMYFUNCTION("if(isblank(A23),,REGEXMATCH(B23,""(^I *vs\. D *$)|(^D *vs\. I *$)""))"),FALSE)</f>
        <v>0</v>
      </c>
      <c r="AF23" s="37" t="b">
        <f>IFERROR(__xludf.DUMMYFUNCTION("if(isblank(A23),,REGEXMATCH(B23,""(^I *vs\. U *$)|(^U *vs\. I *$)""))"),FALSE)</f>
        <v>0</v>
      </c>
      <c r="AG23" s="37" t="b">
        <f>IFERROR(__xludf.DUMMYFUNCTION("if(isblank(A23),,REGEXMATCH(B23,""^D *vs\. D *$""))"),FALSE)</f>
        <v>0</v>
      </c>
      <c r="AH23" s="37" t="b">
        <f>IFERROR(__xludf.DUMMYFUNCTION("if(isblank(A23),,REGEXMATCH(B23,""(^U *vs\. D *$)|(^D *vs\. U *$)""))"),TRUE)</f>
        <v>1</v>
      </c>
      <c r="AI23" s="37" t="b">
        <f>IFERROR(__xludf.DUMMYFUNCTION("if(isblank(A23),,REGEXMATCH(B23,""^U *vs\. U *$""))"),FALSE)</f>
        <v>0</v>
      </c>
      <c r="AJ23" s="37" t="b">
        <f>IFERROR(__xludf.DUMMYFUNCTION("if(isblank(A23),,REGEXMATCH(B23,""^((I ?vs\. ?(D ?I|I ?D))|((D ?I|I ?D) ?vs\. ?I)) *$""))"),FALSE)</f>
        <v>0</v>
      </c>
      <c r="AK23" s="37" t="b">
        <f>IFERROR(__xludf.DUMMYFUNCTION("if(isblank(A23),,REGEXMATCH(B23,""^((D ?vs\. ?(D ?I|I ?D))|((D ?I|I ?D) ?vs\. ?D)) *$""))"),FALSE)</f>
        <v>0</v>
      </c>
      <c r="AL23" s="37" t="b">
        <f>IFERROR(__xludf.DUMMYFUNCTION("if(isblank(A23),,REGEXMATCH(B23,""^((U ?vs\. ?(D ?I|I ?D))|((D ?I|I ?D) ?vs\. ?U)) *$""))"),FALSE)</f>
        <v>0</v>
      </c>
      <c r="AM23" s="37" t="b">
        <f>IFERROR(__xludf.DUMMYFUNCTION("if(isblank(A23),,REGEXMATCH(B23,""^((I ?vs\. ?(U ?I|I ?U))|((U ?I|I ?U) ?vs\. ?I)) *$""))"),FALSE)</f>
        <v>0</v>
      </c>
      <c r="AN23" s="37" t="b">
        <f>IFERROR(__xludf.DUMMYFUNCTION("if(isblank(A23),,REGEXMATCH(B23,""^((D ?vs\. ?(U ?I|I ?U))|((U ?I|I ?U) ?vs\. ?D)) *$""))"),FALSE)</f>
        <v>0</v>
      </c>
      <c r="AO23" s="37" t="b">
        <f>IFERROR(__xludf.DUMMYFUNCTION("if(isblank(A23),,REGEXMATCH(B23,""^((U ?vs\. ?(U ?I|I ?U))|((U ?I|I ?U) ?vs\. ?U)) *$""))"),FALSE)</f>
        <v>0</v>
      </c>
      <c r="AP23" s="37" t="b">
        <f>IFERROR(__xludf.DUMMYFUNCTION("if(isblank(A23),,REGEXMATCH(B23,""^((I ?vs\. ?(U ?D|D ?U))|((D ?U|U ?D) ?vs\. ?I)) *$""))"),FALSE)</f>
        <v>0</v>
      </c>
      <c r="AQ23" s="37" t="b">
        <f>IFERROR(__xludf.DUMMYFUNCTION("if(isblank(A23),,REGEXMATCH(B23,""^((D ?vs\. ?(U ?D|D ?U))|((D ?U|U ?D) ?vs\. ?D)) *$""))"),FALSE)</f>
        <v>0</v>
      </c>
      <c r="AR23" s="37" t="b">
        <f>IFERROR(__xludf.DUMMYFUNCTION("if(isblank(A23),,REGEXMATCH(B23,""^((U ?vs\. ?(U ?D|D ?U))|((D ?U|U ?D) ?vs\. ?U)) *$""))"),FALSE)</f>
        <v>0</v>
      </c>
      <c r="AS23" s="37" t="b">
        <f>IFERROR(__xludf.DUMMYFUNCTION("if(isblank(A23),,REGEXMATCH(B23,""^((D ?I|I ?D) ?vs\. ?(D ?I|I ?D)) *$""))"),FALSE)</f>
        <v>0</v>
      </c>
      <c r="AT23" s="37" t="b">
        <f>IFERROR(__xludf.DUMMYFUNCTION("if(isblank(A23),,REGEXMATCH(B23,""^((D ?I|I ?D) ?vs\. ?(U ?I|I ?U))|((U ?I|I ?U) ?vs\. ?(D ?I|I ?D)) *$""))"),FALSE)</f>
        <v>0</v>
      </c>
      <c r="AU23" s="37" t="b">
        <f>IFERROR(__xludf.DUMMYFUNCTION("if(isblank(A23),,REGEXMATCH(B23,""^((D ?I|I ?D) ?vs\. ?(U ?D|D ?U))|((U ?D|D ?U) ?vs\. ?(D ?I|I ?D)) *$""))"),FALSE)</f>
        <v>0</v>
      </c>
      <c r="AV23" s="37" t="b">
        <f>IFERROR(__xludf.DUMMYFUNCTION("if(isblank(A23),,REGEXMATCH(B23,""^((U ?I|I ?U) ?vs\. ?(U ?I|I ?U)) *$""))"),FALSE)</f>
        <v>0</v>
      </c>
    </row>
    <row r="24" ht="26.25" customHeight="1">
      <c r="A24" s="79" t="str">
        <f>Paper_Textual_Conflict!M24</f>
        <v>I vs. I (insert contributors)</v>
      </c>
      <c r="B24" s="37" t="str">
        <f>IFERROR(__xludf.DUMMYFUNCTION("if(isblank(A24),,regexextract(REGEXEXTRACT(A24,""^.*""),""^[^(]*""))"),"I vs. I ")</f>
        <v>I vs. I </v>
      </c>
      <c r="C24" s="37" t="b">
        <f>IFERROR(__xludf.DUMMYFUNCTION("if(isblank(A24),,REGEXMATCH(B24,"".*\+.*"") )"),FALSE)</f>
        <v>0</v>
      </c>
      <c r="D24" s="37" t="b">
        <f>IFERROR(__xludf.DUMMYFUNCTION("if(isblank(A24),,REGEXMATCH(B24,"".*vs.*"") )"),TRUE)</f>
        <v>1</v>
      </c>
      <c r="E24" s="37" t="b">
        <f>Paper_Textual_Conflict!H24</f>
        <v>1</v>
      </c>
      <c r="F24" s="37" t="str">
        <f>Paper_Textual_Conflict!Q24</f>
        <v>Non-Java</v>
      </c>
      <c r="G24" s="33">
        <v>24.0</v>
      </c>
      <c r="H24" s="37" t="b">
        <f>IFERROR(__xludf.DUMMYFUNCTION("if(isblank(A24),,REGEXMATCH(B24,""^I *\+ I *$""))"),FALSE)</f>
        <v>0</v>
      </c>
      <c r="I24" s="37" t="b">
        <f>IFERROR(__xludf.DUMMYFUNCTION("if(isblank(A24),,REGEXMATCH(B24,""(^I *\+ D *$)|(^D *\+ I *$)""))"),FALSE)</f>
        <v>0</v>
      </c>
      <c r="J24" s="37" t="b">
        <f>IFERROR(__xludf.DUMMYFUNCTION("if(isblank(A24),,REGEXMATCH(B24,""(^I *\+ U *$)|(^U *\+ I *$)""))"),FALSE)</f>
        <v>0</v>
      </c>
      <c r="K24" s="37" t="b">
        <f>IFERROR(__xludf.DUMMYFUNCTION("if(isblank(A24),,REGEXMATCH(B24,""(^I *\+ N *$)|(^N *\+ I *$)"") )"),FALSE)</f>
        <v>0</v>
      </c>
      <c r="L24" s="37" t="b">
        <f>IFERROR(__xludf.DUMMYFUNCTION("if(isblank(A24),,REGEXMATCH(B24,""^D *\+ D *$""))"),FALSE)</f>
        <v>0</v>
      </c>
      <c r="M24" s="37" t="b">
        <f>IFERROR(__xludf.DUMMYFUNCTION("if(isblank(A24),,REGEXMATCH(B24,""(^U *\+ D *$)|(^D *\+ U *$)""))"),FALSE)</f>
        <v>0</v>
      </c>
      <c r="N24" s="37" t="b">
        <f>IFERROR(__xludf.DUMMYFUNCTION("if(isblank(A24),,REGEXMATCH(B24,""(^N *\+ D *$)|(^D *\+ N *$)""))"),FALSE)</f>
        <v>0</v>
      </c>
      <c r="O24" s="37" t="b">
        <f>IFERROR(__xludf.DUMMYFUNCTION("if(isblank(A24),,REGEXMATCH(B24,""^U *\+ U *$""))"),FALSE)</f>
        <v>0</v>
      </c>
      <c r="P24" s="37" t="b">
        <f>IFERROR(__xludf.DUMMYFUNCTION("if(isblank(A24),,REGEXMATCH(B24,""(^U *\+ N *$)|(^N *\+ U *$)""))"),FALSE)</f>
        <v>0</v>
      </c>
      <c r="Q24" s="37" t="b">
        <f>IFERROR(__xludf.DUMMYFUNCTION("if(isblank(A24),,REGEXMATCH(B24,""^((I ?\+ ?(D ?I|I ?D))|((D ?I|I ?D) ?\+ ?I)) *$""))"),FALSE)</f>
        <v>0</v>
      </c>
      <c r="R24" s="37" t="b">
        <f>IFERROR(__xludf.DUMMYFUNCTION("if(isblank(A24),,REGEXMATCH(B24,""^((D ?\+ ?(D ?I|I ?D))|((D ?I|I ?D) ?\+ ?D)) *$""))"),FALSE)</f>
        <v>0</v>
      </c>
      <c r="S24" s="37" t="b">
        <f>IFERROR(__xludf.DUMMYFUNCTION("if(isblank(A24),,REGEXMATCH(B24,""^((U ?\+ ?(D ?I|I ?D))|((D ?I|I ?D) ?\+ ?U)) *$""))"),FALSE)</f>
        <v>0</v>
      </c>
      <c r="T24" s="37" t="b">
        <f>IFERROR(__xludf.DUMMYFUNCTION("if(isblank(A24),,REGEXMATCH(B24,""^((N ?\+ ?(D ?I|I ?D))|((D ?I|I ?D) ?\+ ?N)) *$""))"),FALSE)</f>
        <v>0</v>
      </c>
      <c r="U24" s="37" t="b">
        <f>IFERROR(__xludf.DUMMYFUNCTION("if(isblank(A24),,REGEXMATCH(B24,""^((I ?\+ ?(U ?I|I ?U))|((I ?U|U ?I) ?\+ ?I)) *$""))"),FALSE)</f>
        <v>0</v>
      </c>
      <c r="V24" s="37" t="b">
        <f>IFERROR(__xludf.DUMMYFUNCTION("if(isblank(A24),,REGEXMATCH(B24,""^((D ?\+ ?(U ?I|I ?U))|((I ?U|U ?I) ?\+ ?D)) *$""))"),FALSE)</f>
        <v>0</v>
      </c>
      <c r="W24" s="37" t="b">
        <f>IFERROR(__xludf.DUMMYFUNCTION("if(isblank(A24),,REGEXMATCH(B24,""^((U ?\+ ?(U ?I|I ?U))|((I ?U|U ?I) ?\+ ?U)) *$""))"),FALSE)</f>
        <v>0</v>
      </c>
      <c r="X24" s="37" t="b">
        <f>IFERROR(__xludf.DUMMYFUNCTION("if(isblank(A24),,REGEXMATCH(B24,""^((N ?\+ ?(U ?I|I ?U))|((I ?U|U ?I) ?\+ ?N)) *$""))"),FALSE)</f>
        <v>0</v>
      </c>
      <c r="Y24" s="37" t="b">
        <f>IFERROR(__xludf.DUMMYFUNCTION("if(isblank(A24),,REGEXMATCH(B24,""^((I ?\+ ?(U ?D|D ?U))|((D ?U|U ?D) ?\+ ?I)) *$""))"),FALSE)</f>
        <v>0</v>
      </c>
      <c r="Z24" s="37" t="b">
        <f>IFERROR(__xludf.DUMMYFUNCTION("if(isblank(A24),,REGEXMATCH(B24,""^((D ?\+ ?(U ?D|D ?U))|((D ?U|U ?D) ?\+ ?D)) *$""))"),FALSE)</f>
        <v>0</v>
      </c>
      <c r="AA24" s="37" t="b">
        <f>IFERROR(__xludf.DUMMYFUNCTION("if(isblank(A24),,REGEXMATCH(B24,""^((U ?\+ ?(U ?D|D ?U))|((D ?U|U ?D) ?\+ ?U)) *$""))"),FALSE)</f>
        <v>0</v>
      </c>
      <c r="AB24" s="37" t="b">
        <f>IFERROR(__xludf.DUMMYFUNCTION("if(isblank(A24),,REGEXMATCH(B24,""^((D ?I|I ?D) ?\+ ?(D ?I|I ?D)) *$""))"),FALSE)</f>
        <v>0</v>
      </c>
      <c r="AC24" s="37" t="b">
        <f>IFERROR(__xludf.DUMMYFUNCTION("if(isblank(A24),,REGEXMATCH(B24,""^((D ?I|I ?D) ?\+ ?(U ?I|I ?U))|((U ?I|I ?U) ?\+ ?(D ?I|I ?D)) *$""))"),FALSE)</f>
        <v>0</v>
      </c>
      <c r="AD24" s="37" t="b">
        <f>IFERROR(__xludf.DUMMYFUNCTION("if(isblank(A24),,REGEXMATCH(B24,""^I *vs\. I *$""))"),TRUE)</f>
        <v>1</v>
      </c>
      <c r="AE24" s="37" t="b">
        <f>IFERROR(__xludf.DUMMYFUNCTION("if(isblank(A24),,REGEXMATCH(B24,""(^I *vs\. D *$)|(^D *vs\. I *$)""))"),FALSE)</f>
        <v>0</v>
      </c>
      <c r="AF24" s="37" t="b">
        <f>IFERROR(__xludf.DUMMYFUNCTION("if(isblank(A24),,REGEXMATCH(B24,""(^I *vs\. U *$)|(^U *vs\. I *$)""))"),FALSE)</f>
        <v>0</v>
      </c>
      <c r="AG24" s="37" t="b">
        <f>IFERROR(__xludf.DUMMYFUNCTION("if(isblank(A24),,REGEXMATCH(B24,""^D *vs\. D *$""))"),FALSE)</f>
        <v>0</v>
      </c>
      <c r="AH24" s="37" t="b">
        <f>IFERROR(__xludf.DUMMYFUNCTION("if(isblank(A24),,REGEXMATCH(B24,""(^U *vs\. D *$)|(^D *vs\. U *$)""))"),FALSE)</f>
        <v>0</v>
      </c>
      <c r="AI24" s="37" t="b">
        <f>IFERROR(__xludf.DUMMYFUNCTION("if(isblank(A24),,REGEXMATCH(B24,""^U *vs\. U *$""))"),FALSE)</f>
        <v>0</v>
      </c>
      <c r="AJ24" s="37" t="b">
        <f>IFERROR(__xludf.DUMMYFUNCTION("if(isblank(A24),,REGEXMATCH(B24,""^((I ?vs\. ?(D ?I|I ?D))|((D ?I|I ?D) ?vs\. ?I)) *$""))"),FALSE)</f>
        <v>0</v>
      </c>
      <c r="AK24" s="37" t="b">
        <f>IFERROR(__xludf.DUMMYFUNCTION("if(isblank(A24),,REGEXMATCH(B24,""^((D ?vs\. ?(D ?I|I ?D))|((D ?I|I ?D) ?vs\. ?D)) *$""))"),FALSE)</f>
        <v>0</v>
      </c>
      <c r="AL24" s="37" t="b">
        <f>IFERROR(__xludf.DUMMYFUNCTION("if(isblank(A24),,REGEXMATCH(B24,""^((U ?vs\. ?(D ?I|I ?D))|((D ?I|I ?D) ?vs\. ?U)) *$""))"),FALSE)</f>
        <v>0</v>
      </c>
      <c r="AM24" s="37" t="b">
        <f>IFERROR(__xludf.DUMMYFUNCTION("if(isblank(A24),,REGEXMATCH(B24,""^((I ?vs\. ?(U ?I|I ?U))|((U ?I|I ?U) ?vs\. ?I)) *$""))"),FALSE)</f>
        <v>0</v>
      </c>
      <c r="AN24" s="37" t="b">
        <f>IFERROR(__xludf.DUMMYFUNCTION("if(isblank(A24),,REGEXMATCH(B24,""^((D ?vs\. ?(U ?I|I ?U))|((U ?I|I ?U) ?vs\. ?D)) *$""))"),FALSE)</f>
        <v>0</v>
      </c>
      <c r="AO24" s="37" t="b">
        <f>IFERROR(__xludf.DUMMYFUNCTION("if(isblank(A24),,REGEXMATCH(B24,""^((U ?vs\. ?(U ?I|I ?U))|((U ?I|I ?U) ?vs\. ?U)) *$""))"),FALSE)</f>
        <v>0</v>
      </c>
      <c r="AP24" s="37" t="b">
        <f>IFERROR(__xludf.DUMMYFUNCTION("if(isblank(A24),,REGEXMATCH(B24,""^((I ?vs\. ?(U ?D|D ?U))|((D ?U|U ?D) ?vs\. ?I)) *$""))"),FALSE)</f>
        <v>0</v>
      </c>
      <c r="AQ24" s="37" t="b">
        <f>IFERROR(__xludf.DUMMYFUNCTION("if(isblank(A24),,REGEXMATCH(B24,""^((D ?vs\. ?(U ?D|D ?U))|((D ?U|U ?D) ?vs\. ?D)) *$""))"),FALSE)</f>
        <v>0</v>
      </c>
      <c r="AR24" s="37" t="b">
        <f>IFERROR(__xludf.DUMMYFUNCTION("if(isblank(A24),,REGEXMATCH(B24,""^((U ?vs\. ?(U ?D|D ?U))|((D ?U|U ?D) ?vs\. ?U)) *$""))"),FALSE)</f>
        <v>0</v>
      </c>
      <c r="AS24" s="37" t="b">
        <f>IFERROR(__xludf.DUMMYFUNCTION("if(isblank(A24),,REGEXMATCH(B24,""^((D ?I|I ?D) ?vs\. ?(D ?I|I ?D)) *$""))"),FALSE)</f>
        <v>0</v>
      </c>
      <c r="AT24" s="37" t="b">
        <f>IFERROR(__xludf.DUMMYFUNCTION("if(isblank(A24),,REGEXMATCH(B24,""^((D ?I|I ?D) ?vs\. ?(U ?I|I ?U))|((U ?I|I ?U) ?vs\. ?(D ?I|I ?D)) *$""))"),FALSE)</f>
        <v>0</v>
      </c>
      <c r="AU24" s="37" t="b">
        <f>IFERROR(__xludf.DUMMYFUNCTION("if(isblank(A24),,REGEXMATCH(B24,""^((D ?I|I ?D) ?vs\. ?(U ?D|D ?U))|((U ?D|D ?U) ?vs\. ?(D ?I|I ?D)) *$""))"),FALSE)</f>
        <v>0</v>
      </c>
      <c r="AV24" s="37" t="b">
        <f>IFERROR(__xludf.DUMMYFUNCTION("if(isblank(A24),,REGEXMATCH(B24,""^((U ?I|I ?U) ?vs\. ?(U ?I|I ?U)) *$""))"),FALSE)</f>
        <v>0</v>
      </c>
    </row>
    <row r="25" ht="26.25" customHeight="1">
      <c r="A25" s="79" t="str">
        <f>Paper_Textual_Conflict!M25</f>
        <v>U I vs. D I (Java code)
Origin(U I vs. U)
</v>
      </c>
      <c r="B25" s="37" t="str">
        <f>IFERROR(__xludf.DUMMYFUNCTION("if(isblank(A25),,regexextract(REGEXEXTRACT(A25,""^.*""),""^[^(]*""))"),"U I vs. D I ")</f>
        <v>U I vs. D I </v>
      </c>
      <c r="C25" s="37" t="b">
        <f>IFERROR(__xludf.DUMMYFUNCTION("if(isblank(A25),,REGEXMATCH(B25,"".*\+.*"") )"),FALSE)</f>
        <v>0</v>
      </c>
      <c r="D25" s="37" t="b">
        <f>IFERROR(__xludf.DUMMYFUNCTION("if(isblank(A25),,REGEXMATCH(B25,"".*vs.*"") )"),TRUE)</f>
        <v>1</v>
      </c>
      <c r="E25" s="37" t="b">
        <f>Paper_Textual_Conflict!H25</f>
        <v>1</v>
      </c>
      <c r="F25" s="37" t="str">
        <f>Paper_Textual_Conflict!Q25</f>
        <v>Java</v>
      </c>
      <c r="G25" s="33">
        <v>25.0</v>
      </c>
      <c r="H25" s="37" t="b">
        <f>IFERROR(__xludf.DUMMYFUNCTION("if(isblank(A25),,REGEXMATCH(B25,""^I *\+ I *$""))"),FALSE)</f>
        <v>0</v>
      </c>
      <c r="I25" s="37" t="b">
        <f>IFERROR(__xludf.DUMMYFUNCTION("if(isblank(A25),,REGEXMATCH(B25,""(^I *\+ D *$)|(^D *\+ I *$)""))"),FALSE)</f>
        <v>0</v>
      </c>
      <c r="J25" s="37" t="b">
        <f>IFERROR(__xludf.DUMMYFUNCTION("if(isblank(A25),,REGEXMATCH(B25,""(^I *\+ U *$)|(^U *\+ I *$)""))"),FALSE)</f>
        <v>0</v>
      </c>
      <c r="K25" s="37" t="b">
        <f>IFERROR(__xludf.DUMMYFUNCTION("if(isblank(A25),,REGEXMATCH(B25,""(^I *\+ N *$)|(^N *\+ I *$)"") )"),FALSE)</f>
        <v>0</v>
      </c>
      <c r="L25" s="37" t="b">
        <f>IFERROR(__xludf.DUMMYFUNCTION("if(isblank(A25),,REGEXMATCH(B25,""^D *\+ D *$""))"),FALSE)</f>
        <v>0</v>
      </c>
      <c r="M25" s="37" t="b">
        <f>IFERROR(__xludf.DUMMYFUNCTION("if(isblank(A25),,REGEXMATCH(B25,""(^U *\+ D *$)|(^D *\+ U *$)""))"),FALSE)</f>
        <v>0</v>
      </c>
      <c r="N25" s="37" t="b">
        <f>IFERROR(__xludf.DUMMYFUNCTION("if(isblank(A25),,REGEXMATCH(B25,""(^N *\+ D *$)|(^D *\+ N *$)""))"),FALSE)</f>
        <v>0</v>
      </c>
      <c r="O25" s="37" t="b">
        <f>IFERROR(__xludf.DUMMYFUNCTION("if(isblank(A25),,REGEXMATCH(B25,""^U *\+ U *$""))"),FALSE)</f>
        <v>0</v>
      </c>
      <c r="P25" s="37" t="b">
        <f>IFERROR(__xludf.DUMMYFUNCTION("if(isblank(A25),,REGEXMATCH(B25,""(^U *\+ N *$)|(^N *\+ U *$)""))"),FALSE)</f>
        <v>0</v>
      </c>
      <c r="Q25" s="37" t="b">
        <f>IFERROR(__xludf.DUMMYFUNCTION("if(isblank(A25),,REGEXMATCH(B25,""^((I ?\+ ?(D ?I|I ?D))|((D ?I|I ?D) ?\+ ?I)) *$""))"),FALSE)</f>
        <v>0</v>
      </c>
      <c r="R25" s="37" t="b">
        <f>IFERROR(__xludf.DUMMYFUNCTION("if(isblank(A25),,REGEXMATCH(B25,""^((D ?\+ ?(D ?I|I ?D))|((D ?I|I ?D) ?\+ ?D)) *$""))"),FALSE)</f>
        <v>0</v>
      </c>
      <c r="S25" s="37" t="b">
        <f>IFERROR(__xludf.DUMMYFUNCTION("if(isblank(A25),,REGEXMATCH(B25,""^((U ?\+ ?(D ?I|I ?D))|((D ?I|I ?D) ?\+ ?U)) *$""))"),FALSE)</f>
        <v>0</v>
      </c>
      <c r="T25" s="37" t="b">
        <f>IFERROR(__xludf.DUMMYFUNCTION("if(isblank(A25),,REGEXMATCH(B25,""^((N ?\+ ?(D ?I|I ?D))|((D ?I|I ?D) ?\+ ?N)) *$""))"),FALSE)</f>
        <v>0</v>
      </c>
      <c r="U25" s="37" t="b">
        <f>IFERROR(__xludf.DUMMYFUNCTION("if(isblank(A25),,REGEXMATCH(B25,""^((I ?\+ ?(U ?I|I ?U))|((I ?U|U ?I) ?\+ ?I)) *$""))"),FALSE)</f>
        <v>0</v>
      </c>
      <c r="V25" s="37" t="b">
        <f>IFERROR(__xludf.DUMMYFUNCTION("if(isblank(A25),,REGEXMATCH(B25,""^((D ?\+ ?(U ?I|I ?U))|((I ?U|U ?I) ?\+ ?D)) *$""))"),FALSE)</f>
        <v>0</v>
      </c>
      <c r="W25" s="37" t="b">
        <f>IFERROR(__xludf.DUMMYFUNCTION("if(isblank(A25),,REGEXMATCH(B25,""^((U ?\+ ?(U ?I|I ?U))|((I ?U|U ?I) ?\+ ?U)) *$""))"),FALSE)</f>
        <v>0</v>
      </c>
      <c r="X25" s="37" t="b">
        <f>IFERROR(__xludf.DUMMYFUNCTION("if(isblank(A25),,REGEXMATCH(B25,""^((N ?\+ ?(U ?I|I ?U))|((I ?U|U ?I) ?\+ ?N)) *$""))"),FALSE)</f>
        <v>0</v>
      </c>
      <c r="Y25" s="37" t="b">
        <f>IFERROR(__xludf.DUMMYFUNCTION("if(isblank(A25),,REGEXMATCH(B25,""^((I ?\+ ?(U ?D|D ?U))|((D ?U|U ?D) ?\+ ?I)) *$""))"),FALSE)</f>
        <v>0</v>
      </c>
      <c r="Z25" s="37" t="b">
        <f>IFERROR(__xludf.DUMMYFUNCTION("if(isblank(A25),,REGEXMATCH(B25,""^((D ?\+ ?(U ?D|D ?U))|((D ?U|U ?D) ?\+ ?D)) *$""))"),FALSE)</f>
        <v>0</v>
      </c>
      <c r="AA25" s="37" t="b">
        <f>IFERROR(__xludf.DUMMYFUNCTION("if(isblank(A25),,REGEXMATCH(B25,""^((U ?\+ ?(U ?D|D ?U))|((D ?U|U ?D) ?\+ ?U)) *$""))"),FALSE)</f>
        <v>0</v>
      </c>
      <c r="AB25" s="37" t="b">
        <f>IFERROR(__xludf.DUMMYFUNCTION("if(isblank(A25),,REGEXMATCH(B25,""^((D ?I|I ?D) ?\+ ?(D ?I|I ?D)) *$""))"),FALSE)</f>
        <v>0</v>
      </c>
      <c r="AC25" s="37" t="b">
        <f>IFERROR(__xludf.DUMMYFUNCTION("if(isblank(A25),,REGEXMATCH(B25,""^((D ?I|I ?D) ?\+ ?(U ?I|I ?U))|((U ?I|I ?U) ?\+ ?(D ?I|I ?D)) *$""))"),FALSE)</f>
        <v>0</v>
      </c>
      <c r="AD25" s="37" t="b">
        <f>IFERROR(__xludf.DUMMYFUNCTION("if(isblank(A25),,REGEXMATCH(B25,""^I *vs\. I *$""))"),FALSE)</f>
        <v>0</v>
      </c>
      <c r="AE25" s="37" t="b">
        <f>IFERROR(__xludf.DUMMYFUNCTION("if(isblank(A25),,REGEXMATCH(B25,""(^I *vs\. D *$)|(^D *vs\. I *$)""))"),FALSE)</f>
        <v>0</v>
      </c>
      <c r="AF25" s="37" t="b">
        <f>IFERROR(__xludf.DUMMYFUNCTION("if(isblank(A25),,REGEXMATCH(B25,""(^I *vs\. U *$)|(^U *vs\. I *$)""))"),FALSE)</f>
        <v>0</v>
      </c>
      <c r="AG25" s="37" t="b">
        <f>IFERROR(__xludf.DUMMYFUNCTION("if(isblank(A25),,REGEXMATCH(B25,""^D *vs\. D *$""))"),FALSE)</f>
        <v>0</v>
      </c>
      <c r="AH25" s="37" t="b">
        <f>IFERROR(__xludf.DUMMYFUNCTION("if(isblank(A25),,REGEXMATCH(B25,""(^U *vs\. D *$)|(^D *vs\. U *$)""))"),FALSE)</f>
        <v>0</v>
      </c>
      <c r="AI25" s="37" t="b">
        <f>IFERROR(__xludf.DUMMYFUNCTION("if(isblank(A25),,REGEXMATCH(B25,""^U *vs\. U *$""))"),FALSE)</f>
        <v>0</v>
      </c>
      <c r="AJ25" s="37" t="b">
        <f>IFERROR(__xludf.DUMMYFUNCTION("if(isblank(A25),,REGEXMATCH(B25,""^((I ?vs\. ?(D ?I|I ?D))|((D ?I|I ?D) ?vs\. ?I)) *$""))"),FALSE)</f>
        <v>0</v>
      </c>
      <c r="AK25" s="37" t="b">
        <f>IFERROR(__xludf.DUMMYFUNCTION("if(isblank(A25),,REGEXMATCH(B25,""^((D ?vs\. ?(D ?I|I ?D))|((D ?I|I ?D) ?vs\. ?D)) *$""))"),FALSE)</f>
        <v>0</v>
      </c>
      <c r="AL25" s="37" t="b">
        <f>IFERROR(__xludf.DUMMYFUNCTION("if(isblank(A25),,REGEXMATCH(B25,""^((U ?vs\. ?(D ?I|I ?D))|((D ?I|I ?D) ?vs\. ?U)) *$""))"),FALSE)</f>
        <v>0</v>
      </c>
      <c r="AM25" s="37" t="b">
        <f>IFERROR(__xludf.DUMMYFUNCTION("if(isblank(A25),,REGEXMATCH(B25,""^((I ?vs\. ?(U ?I|I ?U))|((U ?I|I ?U) ?vs\. ?I)) *$""))"),FALSE)</f>
        <v>0</v>
      </c>
      <c r="AN25" s="37" t="b">
        <f>IFERROR(__xludf.DUMMYFUNCTION("if(isblank(A25),,REGEXMATCH(B25,""^((D ?vs\. ?(U ?I|I ?U))|((U ?I|I ?U) ?vs\. ?D)) *$""))"),FALSE)</f>
        <v>0</v>
      </c>
      <c r="AO25" s="37" t="b">
        <f>IFERROR(__xludf.DUMMYFUNCTION("if(isblank(A25),,REGEXMATCH(B25,""^((U ?vs\. ?(U ?I|I ?U))|((U ?I|I ?U) ?vs\. ?U)) *$""))"),FALSE)</f>
        <v>0</v>
      </c>
      <c r="AP25" s="37" t="b">
        <f>IFERROR(__xludf.DUMMYFUNCTION("if(isblank(A25),,REGEXMATCH(B25,""^((I ?vs\. ?(U ?D|D ?U))|((D ?U|U ?D) ?vs\. ?I)) *$""))"),FALSE)</f>
        <v>0</v>
      </c>
      <c r="AQ25" s="37" t="b">
        <f>IFERROR(__xludf.DUMMYFUNCTION("if(isblank(A25),,REGEXMATCH(B25,""^((D ?vs\. ?(U ?D|D ?U))|((D ?U|U ?D) ?vs\. ?D)) *$""))"),FALSE)</f>
        <v>0</v>
      </c>
      <c r="AR25" s="37" t="b">
        <f>IFERROR(__xludf.DUMMYFUNCTION("if(isblank(A25),,REGEXMATCH(B25,""^((U ?vs\. ?(U ?D|D ?U))|((D ?U|U ?D) ?vs\. ?U)) *$""))"),FALSE)</f>
        <v>0</v>
      </c>
      <c r="AS25" s="37" t="b">
        <f>IFERROR(__xludf.DUMMYFUNCTION("if(isblank(A25),,REGEXMATCH(B25,""^((D ?I|I ?D) ?vs\. ?(D ?I|I ?D)) *$""))"),FALSE)</f>
        <v>0</v>
      </c>
      <c r="AT25" s="37" t="b">
        <f>IFERROR(__xludf.DUMMYFUNCTION("if(isblank(A25),,REGEXMATCH(B25,""^((D ?I|I ?D) ?vs\. ?(U ?I|I ?U))|((U ?I|I ?U) ?vs\. ?(D ?I|I ?D)) *$""))"),TRUE)</f>
        <v>1</v>
      </c>
      <c r="AU25" s="37" t="b">
        <f>IFERROR(__xludf.DUMMYFUNCTION("if(isblank(A25),,REGEXMATCH(B25,""^((D ?I|I ?D) ?vs\. ?(U ?D|D ?U))|((U ?D|D ?U) ?vs\. ?(D ?I|I ?D)) *$""))"),FALSE)</f>
        <v>0</v>
      </c>
      <c r="AV25" s="37" t="b">
        <f>IFERROR(__xludf.DUMMYFUNCTION("if(isblank(A25),,REGEXMATCH(B25,""^((U ?I|I ?U) ?vs\. ?(U ?I|I ?U)) *$""))"),FALSE)</f>
        <v>0</v>
      </c>
    </row>
    <row r="26" ht="26.25" customHeight="1">
      <c r="A26" s="79" t="str">
        <f>Paper_Textual_Conflict!M26</f>
        <v>U vs. U (pom.xml) L &gt; R version</v>
      </c>
      <c r="B26" s="37" t="str">
        <f>IFERROR(__xludf.DUMMYFUNCTION("if(isblank(A26),,regexextract(REGEXEXTRACT(A26,""^.*""),""^[^(]*""))"),"U vs. U ")</f>
        <v>U vs. U </v>
      </c>
      <c r="C26" s="37" t="b">
        <f>IFERROR(__xludf.DUMMYFUNCTION("if(isblank(A26),,REGEXMATCH(B26,"".*\+.*"") )"),FALSE)</f>
        <v>0</v>
      </c>
      <c r="D26" s="37" t="b">
        <f>IFERROR(__xludf.DUMMYFUNCTION("if(isblank(A26),,REGEXMATCH(B26,"".*vs.*"") )"),TRUE)</f>
        <v>1</v>
      </c>
      <c r="E26" s="37" t="b">
        <f>Paper_Textual_Conflict!H26</f>
        <v>1</v>
      </c>
      <c r="F26" s="37" t="str">
        <f>Paper_Textual_Conflict!Q26</f>
        <v>Non-Java</v>
      </c>
      <c r="G26" s="33">
        <v>26.0</v>
      </c>
      <c r="H26" s="37" t="b">
        <f>IFERROR(__xludf.DUMMYFUNCTION("if(isblank(A26),,REGEXMATCH(B26,""^I *\+ I *$""))"),FALSE)</f>
        <v>0</v>
      </c>
      <c r="I26" s="37" t="b">
        <f>IFERROR(__xludf.DUMMYFUNCTION("if(isblank(A26),,REGEXMATCH(B26,""(^I *\+ D *$)|(^D *\+ I *$)""))"),FALSE)</f>
        <v>0</v>
      </c>
      <c r="J26" s="37" t="b">
        <f>IFERROR(__xludf.DUMMYFUNCTION("if(isblank(A26),,REGEXMATCH(B26,""(^I *\+ U *$)|(^U *\+ I *$)""))"),FALSE)</f>
        <v>0</v>
      </c>
      <c r="K26" s="37" t="b">
        <f>IFERROR(__xludf.DUMMYFUNCTION("if(isblank(A26),,REGEXMATCH(B26,""(^I *\+ N *$)|(^N *\+ I *$)"") )"),FALSE)</f>
        <v>0</v>
      </c>
      <c r="L26" s="37" t="b">
        <f>IFERROR(__xludf.DUMMYFUNCTION("if(isblank(A26),,REGEXMATCH(B26,""^D *\+ D *$""))"),FALSE)</f>
        <v>0</v>
      </c>
      <c r="M26" s="37" t="b">
        <f>IFERROR(__xludf.DUMMYFUNCTION("if(isblank(A26),,REGEXMATCH(B26,""(^U *\+ D *$)|(^D *\+ U *$)""))"),FALSE)</f>
        <v>0</v>
      </c>
      <c r="N26" s="37" t="b">
        <f>IFERROR(__xludf.DUMMYFUNCTION("if(isblank(A26),,REGEXMATCH(B26,""(^N *\+ D *$)|(^D *\+ N *$)""))"),FALSE)</f>
        <v>0</v>
      </c>
      <c r="O26" s="37" t="b">
        <f>IFERROR(__xludf.DUMMYFUNCTION("if(isblank(A26),,REGEXMATCH(B26,""^U *\+ U *$""))"),FALSE)</f>
        <v>0</v>
      </c>
      <c r="P26" s="37" t="b">
        <f>IFERROR(__xludf.DUMMYFUNCTION("if(isblank(A26),,REGEXMATCH(B26,""(^U *\+ N *$)|(^N *\+ U *$)""))"),FALSE)</f>
        <v>0</v>
      </c>
      <c r="Q26" s="37" t="b">
        <f>IFERROR(__xludf.DUMMYFUNCTION("if(isblank(A26),,REGEXMATCH(B26,""^((I ?\+ ?(D ?I|I ?D))|((D ?I|I ?D) ?\+ ?I)) *$""))"),FALSE)</f>
        <v>0</v>
      </c>
      <c r="R26" s="37" t="b">
        <f>IFERROR(__xludf.DUMMYFUNCTION("if(isblank(A26),,REGEXMATCH(B26,""^((D ?\+ ?(D ?I|I ?D))|((D ?I|I ?D) ?\+ ?D)) *$""))"),FALSE)</f>
        <v>0</v>
      </c>
      <c r="S26" s="37" t="b">
        <f>IFERROR(__xludf.DUMMYFUNCTION("if(isblank(A26),,REGEXMATCH(B26,""^((U ?\+ ?(D ?I|I ?D))|((D ?I|I ?D) ?\+ ?U)) *$""))"),FALSE)</f>
        <v>0</v>
      </c>
      <c r="T26" s="37" t="b">
        <f>IFERROR(__xludf.DUMMYFUNCTION("if(isblank(A26),,REGEXMATCH(B26,""^((N ?\+ ?(D ?I|I ?D))|((D ?I|I ?D) ?\+ ?N)) *$""))"),FALSE)</f>
        <v>0</v>
      </c>
      <c r="U26" s="37" t="b">
        <f>IFERROR(__xludf.DUMMYFUNCTION("if(isblank(A26),,REGEXMATCH(B26,""^((I ?\+ ?(U ?I|I ?U))|((I ?U|U ?I) ?\+ ?I)) *$""))"),FALSE)</f>
        <v>0</v>
      </c>
      <c r="V26" s="37" t="b">
        <f>IFERROR(__xludf.DUMMYFUNCTION("if(isblank(A26),,REGEXMATCH(B26,""^((D ?\+ ?(U ?I|I ?U))|((I ?U|U ?I) ?\+ ?D)) *$""))"),FALSE)</f>
        <v>0</v>
      </c>
      <c r="W26" s="37" t="b">
        <f>IFERROR(__xludf.DUMMYFUNCTION("if(isblank(A26),,REGEXMATCH(B26,""^((U ?\+ ?(U ?I|I ?U))|((I ?U|U ?I) ?\+ ?U)) *$""))"),FALSE)</f>
        <v>0</v>
      </c>
      <c r="X26" s="37" t="b">
        <f>IFERROR(__xludf.DUMMYFUNCTION("if(isblank(A26),,REGEXMATCH(B26,""^((N ?\+ ?(U ?I|I ?U))|((I ?U|U ?I) ?\+ ?N)) *$""))"),FALSE)</f>
        <v>0</v>
      </c>
      <c r="Y26" s="37" t="b">
        <f>IFERROR(__xludf.DUMMYFUNCTION("if(isblank(A26),,REGEXMATCH(B26,""^((I ?\+ ?(U ?D|D ?U))|((D ?U|U ?D) ?\+ ?I)) *$""))"),FALSE)</f>
        <v>0</v>
      </c>
      <c r="Z26" s="37" t="b">
        <f>IFERROR(__xludf.DUMMYFUNCTION("if(isblank(A26),,REGEXMATCH(B26,""^((D ?\+ ?(U ?D|D ?U))|((D ?U|U ?D) ?\+ ?D)) *$""))"),FALSE)</f>
        <v>0</v>
      </c>
      <c r="AA26" s="37" t="b">
        <f>IFERROR(__xludf.DUMMYFUNCTION("if(isblank(A26),,REGEXMATCH(B26,""^((U ?\+ ?(U ?D|D ?U))|((D ?U|U ?D) ?\+ ?U)) *$""))"),FALSE)</f>
        <v>0</v>
      </c>
      <c r="AB26" s="37" t="b">
        <f>IFERROR(__xludf.DUMMYFUNCTION("if(isblank(A26),,REGEXMATCH(B26,""^((D ?I|I ?D) ?\+ ?(D ?I|I ?D)) *$""))"),FALSE)</f>
        <v>0</v>
      </c>
      <c r="AC26" s="37" t="b">
        <f>IFERROR(__xludf.DUMMYFUNCTION("if(isblank(A26),,REGEXMATCH(B26,""^((D ?I|I ?D) ?\+ ?(U ?I|I ?U))|((U ?I|I ?U) ?\+ ?(D ?I|I ?D)) *$""))"),FALSE)</f>
        <v>0</v>
      </c>
      <c r="AD26" s="37" t="b">
        <f>IFERROR(__xludf.DUMMYFUNCTION("if(isblank(A26),,REGEXMATCH(B26,""^I *vs\. I *$""))"),FALSE)</f>
        <v>0</v>
      </c>
      <c r="AE26" s="37" t="b">
        <f>IFERROR(__xludf.DUMMYFUNCTION("if(isblank(A26),,REGEXMATCH(B26,""(^I *vs\. D *$)|(^D *vs\. I *$)""))"),FALSE)</f>
        <v>0</v>
      </c>
      <c r="AF26" s="37" t="b">
        <f>IFERROR(__xludf.DUMMYFUNCTION("if(isblank(A26),,REGEXMATCH(B26,""(^I *vs\. U *$)|(^U *vs\. I *$)""))"),FALSE)</f>
        <v>0</v>
      </c>
      <c r="AG26" s="37" t="b">
        <f>IFERROR(__xludf.DUMMYFUNCTION("if(isblank(A26),,REGEXMATCH(B26,""^D *vs\. D *$""))"),FALSE)</f>
        <v>0</v>
      </c>
      <c r="AH26" s="37" t="b">
        <f>IFERROR(__xludf.DUMMYFUNCTION("if(isblank(A26),,REGEXMATCH(B26,""(^U *vs\. D *$)|(^D *vs\. U *$)""))"),FALSE)</f>
        <v>0</v>
      </c>
      <c r="AI26" s="37" t="b">
        <f>IFERROR(__xludf.DUMMYFUNCTION("if(isblank(A26),,REGEXMATCH(B26,""^U *vs\. U *$""))"),TRUE)</f>
        <v>1</v>
      </c>
      <c r="AJ26" s="37" t="b">
        <f>IFERROR(__xludf.DUMMYFUNCTION("if(isblank(A26),,REGEXMATCH(B26,""^((I ?vs\. ?(D ?I|I ?D))|((D ?I|I ?D) ?vs\. ?I)) *$""))"),FALSE)</f>
        <v>0</v>
      </c>
      <c r="AK26" s="37" t="b">
        <f>IFERROR(__xludf.DUMMYFUNCTION("if(isblank(A26),,REGEXMATCH(B26,""^((D ?vs\. ?(D ?I|I ?D))|((D ?I|I ?D) ?vs\. ?D)) *$""))"),FALSE)</f>
        <v>0</v>
      </c>
      <c r="AL26" s="37" t="b">
        <f>IFERROR(__xludf.DUMMYFUNCTION("if(isblank(A26),,REGEXMATCH(B26,""^((U ?vs\. ?(D ?I|I ?D))|((D ?I|I ?D) ?vs\. ?U)) *$""))"),FALSE)</f>
        <v>0</v>
      </c>
      <c r="AM26" s="37" t="b">
        <f>IFERROR(__xludf.DUMMYFUNCTION("if(isblank(A26),,REGEXMATCH(B26,""^((I ?vs\. ?(U ?I|I ?U))|((U ?I|I ?U) ?vs\. ?I)) *$""))"),FALSE)</f>
        <v>0</v>
      </c>
      <c r="AN26" s="37" t="b">
        <f>IFERROR(__xludf.DUMMYFUNCTION("if(isblank(A26),,REGEXMATCH(B26,""^((D ?vs\. ?(U ?I|I ?U))|((U ?I|I ?U) ?vs\. ?D)) *$""))"),FALSE)</f>
        <v>0</v>
      </c>
      <c r="AO26" s="37" t="b">
        <f>IFERROR(__xludf.DUMMYFUNCTION("if(isblank(A26),,REGEXMATCH(B26,""^((U ?vs\. ?(U ?I|I ?U))|((U ?I|I ?U) ?vs\. ?U)) *$""))"),FALSE)</f>
        <v>0</v>
      </c>
      <c r="AP26" s="37" t="b">
        <f>IFERROR(__xludf.DUMMYFUNCTION("if(isblank(A26),,REGEXMATCH(B26,""^((I ?vs\. ?(U ?D|D ?U))|((D ?U|U ?D) ?vs\. ?I)) *$""))"),FALSE)</f>
        <v>0</v>
      </c>
      <c r="AQ26" s="37" t="b">
        <f>IFERROR(__xludf.DUMMYFUNCTION("if(isblank(A26),,REGEXMATCH(B26,""^((D ?vs\. ?(U ?D|D ?U))|((D ?U|U ?D) ?vs\. ?D)) *$""))"),FALSE)</f>
        <v>0</v>
      </c>
      <c r="AR26" s="37" t="b">
        <f>IFERROR(__xludf.DUMMYFUNCTION("if(isblank(A26),,REGEXMATCH(B26,""^((U ?vs\. ?(U ?D|D ?U))|((D ?U|U ?D) ?vs\. ?U)) *$""))"),FALSE)</f>
        <v>0</v>
      </c>
      <c r="AS26" s="37" t="b">
        <f>IFERROR(__xludf.DUMMYFUNCTION("if(isblank(A26),,REGEXMATCH(B26,""^((D ?I|I ?D) ?vs\. ?(D ?I|I ?D)) *$""))"),FALSE)</f>
        <v>0</v>
      </c>
      <c r="AT26" s="37" t="b">
        <f>IFERROR(__xludf.DUMMYFUNCTION("if(isblank(A26),,REGEXMATCH(B26,""^((D ?I|I ?D) ?vs\. ?(U ?I|I ?U))|((U ?I|I ?U) ?vs\. ?(D ?I|I ?D)) *$""))"),FALSE)</f>
        <v>0</v>
      </c>
      <c r="AU26" s="37" t="b">
        <f>IFERROR(__xludf.DUMMYFUNCTION("if(isblank(A26),,REGEXMATCH(B26,""^((D ?I|I ?D) ?vs\. ?(U ?D|D ?U))|((U ?D|D ?U) ?vs\. ?(D ?I|I ?D)) *$""))"),FALSE)</f>
        <v>0</v>
      </c>
      <c r="AV26" s="37" t="b">
        <f>IFERROR(__xludf.DUMMYFUNCTION("if(isblank(A26),,REGEXMATCH(B26,""^((U ?I|I ?U) ?vs\. ?(U ?I|I ?U)) *$""))"),FALSE)</f>
        <v>0</v>
      </c>
    </row>
    <row r="27" ht="26.25" customHeight="1">
      <c r="A27" s="79" t="str">
        <f>Paper_Textual_Conflict!M27</f>
        <v>D vs. U(import)
</v>
      </c>
      <c r="B27" s="37" t="str">
        <f>IFERROR(__xludf.DUMMYFUNCTION("if(isblank(A27),,regexextract(REGEXEXTRACT(A27,""^.*""),""^[^(]*""))"),"D vs. U")</f>
        <v>D vs. U</v>
      </c>
      <c r="C27" s="37" t="b">
        <f>IFERROR(__xludf.DUMMYFUNCTION("if(isblank(A27),,REGEXMATCH(B27,"".*\+.*"") )"),FALSE)</f>
        <v>0</v>
      </c>
      <c r="D27" s="37" t="b">
        <f>IFERROR(__xludf.DUMMYFUNCTION("if(isblank(A27),,REGEXMATCH(B27,"".*vs.*"") )"),TRUE)</f>
        <v>1</v>
      </c>
      <c r="E27" s="37" t="b">
        <f>Paper_Textual_Conflict!H27</f>
        <v>1</v>
      </c>
      <c r="F27" s="37" t="str">
        <f>Paper_Textual_Conflict!Q27</f>
        <v>Java</v>
      </c>
      <c r="G27" s="33">
        <v>27.0</v>
      </c>
      <c r="H27" s="37" t="b">
        <f>IFERROR(__xludf.DUMMYFUNCTION("if(isblank(A27),,REGEXMATCH(B27,""^I *\+ I *$""))"),FALSE)</f>
        <v>0</v>
      </c>
      <c r="I27" s="37" t="b">
        <f>IFERROR(__xludf.DUMMYFUNCTION("if(isblank(A27),,REGEXMATCH(B27,""(^I *\+ D *$)|(^D *\+ I *$)""))"),FALSE)</f>
        <v>0</v>
      </c>
      <c r="J27" s="37" t="b">
        <f>IFERROR(__xludf.DUMMYFUNCTION("if(isblank(A27),,REGEXMATCH(B27,""(^I *\+ U *$)|(^U *\+ I *$)""))"),FALSE)</f>
        <v>0</v>
      </c>
      <c r="K27" s="37" t="b">
        <f>IFERROR(__xludf.DUMMYFUNCTION("if(isblank(A27),,REGEXMATCH(B27,""(^I *\+ N *$)|(^N *\+ I *$)"") )"),FALSE)</f>
        <v>0</v>
      </c>
      <c r="L27" s="37" t="b">
        <f>IFERROR(__xludf.DUMMYFUNCTION("if(isblank(A27),,REGEXMATCH(B27,""^D *\+ D *$""))"),FALSE)</f>
        <v>0</v>
      </c>
      <c r="M27" s="37" t="b">
        <f>IFERROR(__xludf.DUMMYFUNCTION("if(isblank(A27),,REGEXMATCH(B27,""(^U *\+ D *$)|(^D *\+ U *$)""))"),FALSE)</f>
        <v>0</v>
      </c>
      <c r="N27" s="37" t="b">
        <f>IFERROR(__xludf.DUMMYFUNCTION("if(isblank(A27),,REGEXMATCH(B27,""(^N *\+ D *$)|(^D *\+ N *$)""))"),FALSE)</f>
        <v>0</v>
      </c>
      <c r="O27" s="37" t="b">
        <f>IFERROR(__xludf.DUMMYFUNCTION("if(isblank(A27),,REGEXMATCH(B27,""^U *\+ U *$""))"),FALSE)</f>
        <v>0</v>
      </c>
      <c r="P27" s="37" t="b">
        <f>IFERROR(__xludf.DUMMYFUNCTION("if(isblank(A27),,REGEXMATCH(B27,""(^U *\+ N *$)|(^N *\+ U *$)""))"),FALSE)</f>
        <v>0</v>
      </c>
      <c r="Q27" s="37" t="b">
        <f>IFERROR(__xludf.DUMMYFUNCTION("if(isblank(A27),,REGEXMATCH(B27,""^((I ?\+ ?(D ?I|I ?D))|((D ?I|I ?D) ?\+ ?I)) *$""))"),FALSE)</f>
        <v>0</v>
      </c>
      <c r="R27" s="37" t="b">
        <f>IFERROR(__xludf.DUMMYFUNCTION("if(isblank(A27),,REGEXMATCH(B27,""^((D ?\+ ?(D ?I|I ?D))|((D ?I|I ?D) ?\+ ?D)) *$""))"),FALSE)</f>
        <v>0</v>
      </c>
      <c r="S27" s="37" t="b">
        <f>IFERROR(__xludf.DUMMYFUNCTION("if(isblank(A27),,REGEXMATCH(B27,""^((U ?\+ ?(D ?I|I ?D))|((D ?I|I ?D) ?\+ ?U)) *$""))"),FALSE)</f>
        <v>0</v>
      </c>
      <c r="T27" s="37" t="b">
        <f>IFERROR(__xludf.DUMMYFUNCTION("if(isblank(A27),,REGEXMATCH(B27,""^((N ?\+ ?(D ?I|I ?D))|((D ?I|I ?D) ?\+ ?N)) *$""))"),FALSE)</f>
        <v>0</v>
      </c>
      <c r="U27" s="37" t="b">
        <f>IFERROR(__xludf.DUMMYFUNCTION("if(isblank(A27),,REGEXMATCH(B27,""^((I ?\+ ?(U ?I|I ?U))|((I ?U|U ?I) ?\+ ?I)) *$""))"),FALSE)</f>
        <v>0</v>
      </c>
      <c r="V27" s="37" t="b">
        <f>IFERROR(__xludf.DUMMYFUNCTION("if(isblank(A27),,REGEXMATCH(B27,""^((D ?\+ ?(U ?I|I ?U))|((I ?U|U ?I) ?\+ ?D)) *$""))"),FALSE)</f>
        <v>0</v>
      </c>
      <c r="W27" s="37" t="b">
        <f>IFERROR(__xludf.DUMMYFUNCTION("if(isblank(A27),,REGEXMATCH(B27,""^((U ?\+ ?(U ?I|I ?U))|((I ?U|U ?I) ?\+ ?U)) *$""))"),FALSE)</f>
        <v>0</v>
      </c>
      <c r="X27" s="37" t="b">
        <f>IFERROR(__xludf.DUMMYFUNCTION("if(isblank(A27),,REGEXMATCH(B27,""^((N ?\+ ?(U ?I|I ?U))|((I ?U|U ?I) ?\+ ?N)) *$""))"),FALSE)</f>
        <v>0</v>
      </c>
      <c r="Y27" s="37" t="b">
        <f>IFERROR(__xludf.DUMMYFUNCTION("if(isblank(A27),,REGEXMATCH(B27,""^((I ?\+ ?(U ?D|D ?U))|((D ?U|U ?D) ?\+ ?I)) *$""))"),FALSE)</f>
        <v>0</v>
      </c>
      <c r="Z27" s="37" t="b">
        <f>IFERROR(__xludf.DUMMYFUNCTION("if(isblank(A27),,REGEXMATCH(B27,""^((D ?\+ ?(U ?D|D ?U))|((D ?U|U ?D) ?\+ ?D)) *$""))"),FALSE)</f>
        <v>0</v>
      </c>
      <c r="AA27" s="37" t="b">
        <f>IFERROR(__xludf.DUMMYFUNCTION("if(isblank(A27),,REGEXMATCH(B27,""^((U ?\+ ?(U ?D|D ?U))|((D ?U|U ?D) ?\+ ?U)) *$""))"),FALSE)</f>
        <v>0</v>
      </c>
      <c r="AB27" s="37" t="b">
        <f>IFERROR(__xludf.DUMMYFUNCTION("if(isblank(A27),,REGEXMATCH(B27,""^((D ?I|I ?D) ?\+ ?(D ?I|I ?D)) *$""))"),FALSE)</f>
        <v>0</v>
      </c>
      <c r="AC27" s="37" t="b">
        <f>IFERROR(__xludf.DUMMYFUNCTION("if(isblank(A27),,REGEXMATCH(B27,""^((D ?I|I ?D) ?\+ ?(U ?I|I ?U))|((U ?I|I ?U) ?\+ ?(D ?I|I ?D)) *$""))"),FALSE)</f>
        <v>0</v>
      </c>
      <c r="AD27" s="37" t="b">
        <f>IFERROR(__xludf.DUMMYFUNCTION("if(isblank(A27),,REGEXMATCH(B27,""^I *vs\. I *$""))"),FALSE)</f>
        <v>0</v>
      </c>
      <c r="AE27" s="37" t="b">
        <f>IFERROR(__xludf.DUMMYFUNCTION("if(isblank(A27),,REGEXMATCH(B27,""(^I *vs\. D *$)|(^D *vs\. I *$)""))"),FALSE)</f>
        <v>0</v>
      </c>
      <c r="AF27" s="37" t="b">
        <f>IFERROR(__xludf.DUMMYFUNCTION("if(isblank(A27),,REGEXMATCH(B27,""(^I *vs\. U *$)|(^U *vs\. I *$)""))"),FALSE)</f>
        <v>0</v>
      </c>
      <c r="AG27" s="37" t="b">
        <f>IFERROR(__xludf.DUMMYFUNCTION("if(isblank(A27),,REGEXMATCH(B27,""^D *vs\. D *$""))"),FALSE)</f>
        <v>0</v>
      </c>
      <c r="AH27" s="37" t="b">
        <f>IFERROR(__xludf.DUMMYFUNCTION("if(isblank(A27),,REGEXMATCH(B27,""(^U *vs\. D *$)|(^D *vs\. U *$)""))"),TRUE)</f>
        <v>1</v>
      </c>
      <c r="AI27" s="37" t="b">
        <f>IFERROR(__xludf.DUMMYFUNCTION("if(isblank(A27),,REGEXMATCH(B27,""^U *vs\. U *$""))"),FALSE)</f>
        <v>0</v>
      </c>
      <c r="AJ27" s="37" t="b">
        <f>IFERROR(__xludf.DUMMYFUNCTION("if(isblank(A27),,REGEXMATCH(B27,""^((I ?vs\. ?(D ?I|I ?D))|((D ?I|I ?D) ?vs\. ?I)) *$""))"),FALSE)</f>
        <v>0</v>
      </c>
      <c r="AK27" s="37" t="b">
        <f>IFERROR(__xludf.DUMMYFUNCTION("if(isblank(A27),,REGEXMATCH(B27,""^((D ?vs\. ?(D ?I|I ?D))|((D ?I|I ?D) ?vs\. ?D)) *$""))"),FALSE)</f>
        <v>0</v>
      </c>
      <c r="AL27" s="37" t="b">
        <f>IFERROR(__xludf.DUMMYFUNCTION("if(isblank(A27),,REGEXMATCH(B27,""^((U ?vs\. ?(D ?I|I ?D))|((D ?I|I ?D) ?vs\. ?U)) *$""))"),FALSE)</f>
        <v>0</v>
      </c>
      <c r="AM27" s="37" t="b">
        <f>IFERROR(__xludf.DUMMYFUNCTION("if(isblank(A27),,REGEXMATCH(B27,""^((I ?vs\. ?(U ?I|I ?U))|((U ?I|I ?U) ?vs\. ?I)) *$""))"),FALSE)</f>
        <v>0</v>
      </c>
      <c r="AN27" s="37" t="b">
        <f>IFERROR(__xludf.DUMMYFUNCTION("if(isblank(A27),,REGEXMATCH(B27,""^((D ?vs\. ?(U ?I|I ?U))|((U ?I|I ?U) ?vs\. ?D)) *$""))"),FALSE)</f>
        <v>0</v>
      </c>
      <c r="AO27" s="37" t="b">
        <f>IFERROR(__xludf.DUMMYFUNCTION("if(isblank(A27),,REGEXMATCH(B27,""^((U ?vs\. ?(U ?I|I ?U))|((U ?I|I ?U) ?vs\. ?U)) *$""))"),FALSE)</f>
        <v>0</v>
      </c>
      <c r="AP27" s="37" t="b">
        <f>IFERROR(__xludf.DUMMYFUNCTION("if(isblank(A27),,REGEXMATCH(B27,""^((I ?vs\. ?(U ?D|D ?U))|((D ?U|U ?D) ?vs\. ?I)) *$""))"),FALSE)</f>
        <v>0</v>
      </c>
      <c r="AQ27" s="37" t="b">
        <f>IFERROR(__xludf.DUMMYFUNCTION("if(isblank(A27),,REGEXMATCH(B27,""^((D ?vs\. ?(U ?D|D ?U))|((D ?U|U ?D) ?vs\. ?D)) *$""))"),FALSE)</f>
        <v>0</v>
      </c>
      <c r="AR27" s="37" t="b">
        <f>IFERROR(__xludf.DUMMYFUNCTION("if(isblank(A27),,REGEXMATCH(B27,""^((U ?vs\. ?(U ?D|D ?U))|((D ?U|U ?D) ?vs\. ?U)) *$""))"),FALSE)</f>
        <v>0</v>
      </c>
      <c r="AS27" s="37" t="b">
        <f>IFERROR(__xludf.DUMMYFUNCTION("if(isblank(A27),,REGEXMATCH(B27,""^((D ?I|I ?D) ?vs\. ?(D ?I|I ?D)) *$""))"),FALSE)</f>
        <v>0</v>
      </c>
      <c r="AT27" s="37" t="b">
        <f>IFERROR(__xludf.DUMMYFUNCTION("if(isblank(A27),,REGEXMATCH(B27,""^((D ?I|I ?D) ?vs\. ?(U ?I|I ?U))|((U ?I|I ?U) ?vs\. ?(D ?I|I ?D)) *$""))"),FALSE)</f>
        <v>0</v>
      </c>
      <c r="AU27" s="37" t="b">
        <f>IFERROR(__xludf.DUMMYFUNCTION("if(isblank(A27),,REGEXMATCH(B27,""^((D ?I|I ?D) ?vs\. ?(U ?D|D ?U))|((U ?D|D ?U) ?vs\. ?(D ?I|I ?D)) *$""))"),FALSE)</f>
        <v>0</v>
      </c>
      <c r="AV27" s="37" t="b">
        <f>IFERROR(__xludf.DUMMYFUNCTION("if(isblank(A27),,REGEXMATCH(B27,""^((U ?I|I ?U) ?vs\. ?(U ?I|I ?U)) *$""))"),FALSE)</f>
        <v>0</v>
      </c>
    </row>
    <row r="28" ht="26.25" customHeight="1">
      <c r="A28" s="79" t="str">
        <f>Paper_Textual_Conflict!M28</f>
        <v>I vs. I (xml)</v>
      </c>
      <c r="B28" s="37" t="str">
        <f>IFERROR(__xludf.DUMMYFUNCTION("if(isblank(A28),,regexextract(REGEXEXTRACT(A28,""^.*""),""^[^(]*""))"),"I vs. I ")</f>
        <v>I vs. I </v>
      </c>
      <c r="C28" s="37" t="b">
        <f>IFERROR(__xludf.DUMMYFUNCTION("if(isblank(A28),,REGEXMATCH(B28,"".*\+.*"") )"),FALSE)</f>
        <v>0</v>
      </c>
      <c r="D28" s="37" t="b">
        <f>IFERROR(__xludf.DUMMYFUNCTION("if(isblank(A28),,REGEXMATCH(B28,"".*vs.*"") )"),TRUE)</f>
        <v>1</v>
      </c>
      <c r="E28" s="37" t="b">
        <f>Paper_Textual_Conflict!H28</f>
        <v>1</v>
      </c>
      <c r="F28" s="37" t="str">
        <f>Paper_Textual_Conflict!Q28</f>
        <v>Non-Java</v>
      </c>
      <c r="G28" s="33">
        <v>28.0</v>
      </c>
      <c r="H28" s="37" t="b">
        <f>IFERROR(__xludf.DUMMYFUNCTION("if(isblank(A28),,REGEXMATCH(B28,""^I *\+ I *$""))"),FALSE)</f>
        <v>0</v>
      </c>
      <c r="I28" s="37" t="b">
        <f>IFERROR(__xludf.DUMMYFUNCTION("if(isblank(A28),,REGEXMATCH(B28,""(^I *\+ D *$)|(^D *\+ I *$)""))"),FALSE)</f>
        <v>0</v>
      </c>
      <c r="J28" s="37" t="b">
        <f>IFERROR(__xludf.DUMMYFUNCTION("if(isblank(A28),,REGEXMATCH(B28,""(^I *\+ U *$)|(^U *\+ I *$)""))"),FALSE)</f>
        <v>0</v>
      </c>
      <c r="K28" s="37" t="b">
        <f>IFERROR(__xludf.DUMMYFUNCTION("if(isblank(A28),,REGEXMATCH(B28,""(^I *\+ N *$)|(^N *\+ I *$)"") )"),FALSE)</f>
        <v>0</v>
      </c>
      <c r="L28" s="37" t="b">
        <f>IFERROR(__xludf.DUMMYFUNCTION("if(isblank(A28),,REGEXMATCH(B28,""^D *\+ D *$""))"),FALSE)</f>
        <v>0</v>
      </c>
      <c r="M28" s="37" t="b">
        <f>IFERROR(__xludf.DUMMYFUNCTION("if(isblank(A28),,REGEXMATCH(B28,""(^U *\+ D *$)|(^D *\+ U *$)""))"),FALSE)</f>
        <v>0</v>
      </c>
      <c r="N28" s="37" t="b">
        <f>IFERROR(__xludf.DUMMYFUNCTION("if(isblank(A28),,REGEXMATCH(B28,""(^N *\+ D *$)|(^D *\+ N *$)""))"),FALSE)</f>
        <v>0</v>
      </c>
      <c r="O28" s="37" t="b">
        <f>IFERROR(__xludf.DUMMYFUNCTION("if(isblank(A28),,REGEXMATCH(B28,""^U *\+ U *$""))"),FALSE)</f>
        <v>0</v>
      </c>
      <c r="P28" s="37" t="b">
        <f>IFERROR(__xludf.DUMMYFUNCTION("if(isblank(A28),,REGEXMATCH(B28,""(^U *\+ N *$)|(^N *\+ U *$)""))"),FALSE)</f>
        <v>0</v>
      </c>
      <c r="Q28" s="37" t="b">
        <f>IFERROR(__xludf.DUMMYFUNCTION("if(isblank(A28),,REGEXMATCH(B28,""^((I ?\+ ?(D ?I|I ?D))|((D ?I|I ?D) ?\+ ?I)) *$""))"),FALSE)</f>
        <v>0</v>
      </c>
      <c r="R28" s="37" t="b">
        <f>IFERROR(__xludf.DUMMYFUNCTION("if(isblank(A28),,REGEXMATCH(B28,""^((D ?\+ ?(D ?I|I ?D))|((D ?I|I ?D) ?\+ ?D)) *$""))"),FALSE)</f>
        <v>0</v>
      </c>
      <c r="S28" s="37" t="b">
        <f>IFERROR(__xludf.DUMMYFUNCTION("if(isblank(A28),,REGEXMATCH(B28,""^((U ?\+ ?(D ?I|I ?D))|((D ?I|I ?D) ?\+ ?U)) *$""))"),FALSE)</f>
        <v>0</v>
      </c>
      <c r="T28" s="37" t="b">
        <f>IFERROR(__xludf.DUMMYFUNCTION("if(isblank(A28),,REGEXMATCH(B28,""^((N ?\+ ?(D ?I|I ?D))|((D ?I|I ?D) ?\+ ?N)) *$""))"),FALSE)</f>
        <v>0</v>
      </c>
      <c r="U28" s="37" t="b">
        <f>IFERROR(__xludf.DUMMYFUNCTION("if(isblank(A28),,REGEXMATCH(B28,""^((I ?\+ ?(U ?I|I ?U))|((I ?U|U ?I) ?\+ ?I)) *$""))"),FALSE)</f>
        <v>0</v>
      </c>
      <c r="V28" s="37" t="b">
        <f>IFERROR(__xludf.DUMMYFUNCTION("if(isblank(A28),,REGEXMATCH(B28,""^((D ?\+ ?(U ?I|I ?U))|((I ?U|U ?I) ?\+ ?D)) *$""))"),FALSE)</f>
        <v>0</v>
      </c>
      <c r="W28" s="37" t="b">
        <f>IFERROR(__xludf.DUMMYFUNCTION("if(isblank(A28),,REGEXMATCH(B28,""^((U ?\+ ?(U ?I|I ?U))|((I ?U|U ?I) ?\+ ?U)) *$""))"),FALSE)</f>
        <v>0</v>
      </c>
      <c r="X28" s="37" t="b">
        <f>IFERROR(__xludf.DUMMYFUNCTION("if(isblank(A28),,REGEXMATCH(B28,""^((N ?\+ ?(U ?I|I ?U))|((I ?U|U ?I) ?\+ ?N)) *$""))"),FALSE)</f>
        <v>0</v>
      </c>
      <c r="Y28" s="37" t="b">
        <f>IFERROR(__xludf.DUMMYFUNCTION("if(isblank(A28),,REGEXMATCH(B28,""^((I ?\+ ?(U ?D|D ?U))|((D ?U|U ?D) ?\+ ?I)) *$""))"),FALSE)</f>
        <v>0</v>
      </c>
      <c r="Z28" s="37" t="b">
        <f>IFERROR(__xludf.DUMMYFUNCTION("if(isblank(A28),,REGEXMATCH(B28,""^((D ?\+ ?(U ?D|D ?U))|((D ?U|U ?D) ?\+ ?D)) *$""))"),FALSE)</f>
        <v>0</v>
      </c>
      <c r="AA28" s="37" t="b">
        <f>IFERROR(__xludf.DUMMYFUNCTION("if(isblank(A28),,REGEXMATCH(B28,""^((U ?\+ ?(U ?D|D ?U))|((D ?U|U ?D) ?\+ ?U)) *$""))"),FALSE)</f>
        <v>0</v>
      </c>
      <c r="AB28" s="37" t="b">
        <f>IFERROR(__xludf.DUMMYFUNCTION("if(isblank(A28),,REGEXMATCH(B28,""^((D ?I|I ?D) ?\+ ?(D ?I|I ?D)) *$""))"),FALSE)</f>
        <v>0</v>
      </c>
      <c r="AC28" s="37" t="b">
        <f>IFERROR(__xludf.DUMMYFUNCTION("if(isblank(A28),,REGEXMATCH(B28,""^((D ?I|I ?D) ?\+ ?(U ?I|I ?U))|((U ?I|I ?U) ?\+ ?(D ?I|I ?D)) *$""))"),FALSE)</f>
        <v>0</v>
      </c>
      <c r="AD28" s="37" t="b">
        <f>IFERROR(__xludf.DUMMYFUNCTION("if(isblank(A28),,REGEXMATCH(B28,""^I *vs\. I *$""))"),TRUE)</f>
        <v>1</v>
      </c>
      <c r="AE28" s="37" t="b">
        <f>IFERROR(__xludf.DUMMYFUNCTION("if(isblank(A28),,REGEXMATCH(B28,""(^I *vs\. D *$)|(^D *vs\. I *$)""))"),FALSE)</f>
        <v>0</v>
      </c>
      <c r="AF28" s="37" t="b">
        <f>IFERROR(__xludf.DUMMYFUNCTION("if(isblank(A28),,REGEXMATCH(B28,""(^I *vs\. U *$)|(^U *vs\. I *$)""))"),FALSE)</f>
        <v>0</v>
      </c>
      <c r="AG28" s="37" t="b">
        <f>IFERROR(__xludf.DUMMYFUNCTION("if(isblank(A28),,REGEXMATCH(B28,""^D *vs\. D *$""))"),FALSE)</f>
        <v>0</v>
      </c>
      <c r="AH28" s="37" t="b">
        <f>IFERROR(__xludf.DUMMYFUNCTION("if(isblank(A28),,REGEXMATCH(B28,""(^U *vs\. D *$)|(^D *vs\. U *$)""))"),FALSE)</f>
        <v>0</v>
      </c>
      <c r="AI28" s="37" t="b">
        <f>IFERROR(__xludf.DUMMYFUNCTION("if(isblank(A28),,REGEXMATCH(B28,""^U *vs\. U *$""))"),FALSE)</f>
        <v>0</v>
      </c>
      <c r="AJ28" s="37" t="b">
        <f>IFERROR(__xludf.DUMMYFUNCTION("if(isblank(A28),,REGEXMATCH(B28,""^((I ?vs\. ?(D ?I|I ?D))|((D ?I|I ?D) ?vs\. ?I)) *$""))"),FALSE)</f>
        <v>0</v>
      </c>
      <c r="AK28" s="37" t="b">
        <f>IFERROR(__xludf.DUMMYFUNCTION("if(isblank(A28),,REGEXMATCH(B28,""^((D ?vs\. ?(D ?I|I ?D))|((D ?I|I ?D) ?vs\. ?D)) *$""))"),FALSE)</f>
        <v>0</v>
      </c>
      <c r="AL28" s="37" t="b">
        <f>IFERROR(__xludf.DUMMYFUNCTION("if(isblank(A28),,REGEXMATCH(B28,""^((U ?vs\. ?(D ?I|I ?D))|((D ?I|I ?D) ?vs\. ?U)) *$""))"),FALSE)</f>
        <v>0</v>
      </c>
      <c r="AM28" s="37" t="b">
        <f>IFERROR(__xludf.DUMMYFUNCTION("if(isblank(A28),,REGEXMATCH(B28,""^((I ?vs\. ?(U ?I|I ?U))|((U ?I|I ?U) ?vs\. ?I)) *$""))"),FALSE)</f>
        <v>0</v>
      </c>
      <c r="AN28" s="37" t="b">
        <f>IFERROR(__xludf.DUMMYFUNCTION("if(isblank(A28),,REGEXMATCH(B28,""^((D ?vs\. ?(U ?I|I ?U))|((U ?I|I ?U) ?vs\. ?D)) *$""))"),FALSE)</f>
        <v>0</v>
      </c>
      <c r="AO28" s="37" t="b">
        <f>IFERROR(__xludf.DUMMYFUNCTION("if(isblank(A28),,REGEXMATCH(B28,""^((U ?vs\. ?(U ?I|I ?U))|((U ?I|I ?U) ?vs\. ?U)) *$""))"),FALSE)</f>
        <v>0</v>
      </c>
      <c r="AP28" s="37" t="b">
        <f>IFERROR(__xludf.DUMMYFUNCTION("if(isblank(A28),,REGEXMATCH(B28,""^((I ?vs\. ?(U ?D|D ?U))|((D ?U|U ?D) ?vs\. ?I)) *$""))"),FALSE)</f>
        <v>0</v>
      </c>
      <c r="AQ28" s="37" t="b">
        <f>IFERROR(__xludf.DUMMYFUNCTION("if(isblank(A28),,REGEXMATCH(B28,""^((D ?vs\. ?(U ?D|D ?U))|((D ?U|U ?D) ?vs\. ?D)) *$""))"),FALSE)</f>
        <v>0</v>
      </c>
      <c r="AR28" s="37" t="b">
        <f>IFERROR(__xludf.DUMMYFUNCTION("if(isblank(A28),,REGEXMATCH(B28,""^((U ?vs\. ?(U ?D|D ?U))|((D ?U|U ?D) ?vs\. ?U)) *$""))"),FALSE)</f>
        <v>0</v>
      </c>
      <c r="AS28" s="37" t="b">
        <f>IFERROR(__xludf.DUMMYFUNCTION("if(isblank(A28),,REGEXMATCH(B28,""^((D ?I|I ?D) ?vs\. ?(D ?I|I ?D)) *$""))"),FALSE)</f>
        <v>0</v>
      </c>
      <c r="AT28" s="37" t="b">
        <f>IFERROR(__xludf.DUMMYFUNCTION("if(isblank(A28),,REGEXMATCH(B28,""^((D ?I|I ?D) ?vs\. ?(U ?I|I ?U))|((U ?I|I ?U) ?vs\. ?(D ?I|I ?D)) *$""))"),FALSE)</f>
        <v>0</v>
      </c>
      <c r="AU28" s="37" t="b">
        <f>IFERROR(__xludf.DUMMYFUNCTION("if(isblank(A28),,REGEXMATCH(B28,""^((D ?I|I ?D) ?vs\. ?(U ?D|D ?U))|((U ?D|D ?U) ?vs\. ?(D ?I|I ?D)) *$""))"),FALSE)</f>
        <v>0</v>
      </c>
      <c r="AV28" s="37" t="b">
        <f>IFERROR(__xludf.DUMMYFUNCTION("if(isblank(A28),,REGEXMATCH(B28,""^((U ?I|I ?U) ?vs\. ?(U ?I|I ?U)) *$""))"),FALSE)</f>
        <v>0</v>
      </c>
    </row>
    <row r="29" ht="26.25" customHeight="1">
      <c r="A29" s="79" t="str">
        <f>Paper_Textual_Conflict!M29</f>
        <v>U vs. D I (md)</v>
      </c>
      <c r="B29" s="37" t="str">
        <f>IFERROR(__xludf.DUMMYFUNCTION("if(isblank(A29),,regexextract(REGEXEXTRACT(A29,""^.*""),""^[^(]*""))"),"U vs. D I ")</f>
        <v>U vs. D I </v>
      </c>
      <c r="C29" s="37" t="b">
        <f>IFERROR(__xludf.DUMMYFUNCTION("if(isblank(A29),,REGEXMATCH(B29,"".*\+.*"") )"),FALSE)</f>
        <v>0</v>
      </c>
      <c r="D29" s="37" t="b">
        <f>IFERROR(__xludf.DUMMYFUNCTION("if(isblank(A29),,REGEXMATCH(B29,"".*vs.*"") )"),TRUE)</f>
        <v>1</v>
      </c>
      <c r="E29" s="37" t="b">
        <f>Paper_Textual_Conflict!H29</f>
        <v>1</v>
      </c>
      <c r="F29" s="37" t="str">
        <f>Paper_Textual_Conflict!Q29</f>
        <v>Non-Java</v>
      </c>
      <c r="G29" s="33">
        <v>29.0</v>
      </c>
      <c r="H29" s="37" t="b">
        <f>IFERROR(__xludf.DUMMYFUNCTION("if(isblank(A29),,REGEXMATCH(B29,""^I *\+ I *$""))"),FALSE)</f>
        <v>0</v>
      </c>
      <c r="I29" s="37" t="b">
        <f>IFERROR(__xludf.DUMMYFUNCTION("if(isblank(A29),,REGEXMATCH(B29,""(^I *\+ D *$)|(^D *\+ I *$)""))"),FALSE)</f>
        <v>0</v>
      </c>
      <c r="J29" s="37" t="b">
        <f>IFERROR(__xludf.DUMMYFUNCTION("if(isblank(A29),,REGEXMATCH(B29,""(^I *\+ U *$)|(^U *\+ I *$)""))"),FALSE)</f>
        <v>0</v>
      </c>
      <c r="K29" s="37" t="b">
        <f>IFERROR(__xludf.DUMMYFUNCTION("if(isblank(A29),,REGEXMATCH(B29,""(^I *\+ N *$)|(^N *\+ I *$)"") )"),FALSE)</f>
        <v>0</v>
      </c>
      <c r="L29" s="37" t="b">
        <f>IFERROR(__xludf.DUMMYFUNCTION("if(isblank(A29),,REGEXMATCH(B29,""^D *\+ D *$""))"),FALSE)</f>
        <v>0</v>
      </c>
      <c r="M29" s="37" t="b">
        <f>IFERROR(__xludf.DUMMYFUNCTION("if(isblank(A29),,REGEXMATCH(B29,""(^U *\+ D *$)|(^D *\+ U *$)""))"),FALSE)</f>
        <v>0</v>
      </c>
      <c r="N29" s="37" t="b">
        <f>IFERROR(__xludf.DUMMYFUNCTION("if(isblank(A29),,REGEXMATCH(B29,""(^N *\+ D *$)|(^D *\+ N *$)""))"),FALSE)</f>
        <v>0</v>
      </c>
      <c r="O29" s="37" t="b">
        <f>IFERROR(__xludf.DUMMYFUNCTION("if(isblank(A29),,REGEXMATCH(B29,""^U *\+ U *$""))"),FALSE)</f>
        <v>0</v>
      </c>
      <c r="P29" s="37" t="b">
        <f>IFERROR(__xludf.DUMMYFUNCTION("if(isblank(A29),,REGEXMATCH(B29,""(^U *\+ N *$)|(^N *\+ U *$)""))"),FALSE)</f>
        <v>0</v>
      </c>
      <c r="Q29" s="37" t="b">
        <f>IFERROR(__xludf.DUMMYFUNCTION("if(isblank(A29),,REGEXMATCH(B29,""^((I ?\+ ?(D ?I|I ?D))|((D ?I|I ?D) ?\+ ?I)) *$""))"),FALSE)</f>
        <v>0</v>
      </c>
      <c r="R29" s="37" t="b">
        <f>IFERROR(__xludf.DUMMYFUNCTION("if(isblank(A29),,REGEXMATCH(B29,""^((D ?\+ ?(D ?I|I ?D))|((D ?I|I ?D) ?\+ ?D)) *$""))"),FALSE)</f>
        <v>0</v>
      </c>
      <c r="S29" s="37" t="b">
        <f>IFERROR(__xludf.DUMMYFUNCTION("if(isblank(A29),,REGEXMATCH(B29,""^((U ?\+ ?(D ?I|I ?D))|((D ?I|I ?D) ?\+ ?U)) *$""))"),FALSE)</f>
        <v>0</v>
      </c>
      <c r="T29" s="37" t="b">
        <f>IFERROR(__xludf.DUMMYFUNCTION("if(isblank(A29),,REGEXMATCH(B29,""^((N ?\+ ?(D ?I|I ?D))|((D ?I|I ?D) ?\+ ?N)) *$""))"),FALSE)</f>
        <v>0</v>
      </c>
      <c r="U29" s="37" t="b">
        <f>IFERROR(__xludf.DUMMYFUNCTION("if(isblank(A29),,REGEXMATCH(B29,""^((I ?\+ ?(U ?I|I ?U))|((I ?U|U ?I) ?\+ ?I)) *$""))"),FALSE)</f>
        <v>0</v>
      </c>
      <c r="V29" s="37" t="b">
        <f>IFERROR(__xludf.DUMMYFUNCTION("if(isblank(A29),,REGEXMATCH(B29,""^((D ?\+ ?(U ?I|I ?U))|((I ?U|U ?I) ?\+ ?D)) *$""))"),FALSE)</f>
        <v>0</v>
      </c>
      <c r="W29" s="37" t="b">
        <f>IFERROR(__xludf.DUMMYFUNCTION("if(isblank(A29),,REGEXMATCH(B29,""^((U ?\+ ?(U ?I|I ?U))|((I ?U|U ?I) ?\+ ?U)) *$""))"),FALSE)</f>
        <v>0</v>
      </c>
      <c r="X29" s="37" t="b">
        <f>IFERROR(__xludf.DUMMYFUNCTION("if(isblank(A29),,REGEXMATCH(B29,""^((N ?\+ ?(U ?I|I ?U))|((I ?U|U ?I) ?\+ ?N)) *$""))"),FALSE)</f>
        <v>0</v>
      </c>
      <c r="Y29" s="37" t="b">
        <f>IFERROR(__xludf.DUMMYFUNCTION("if(isblank(A29),,REGEXMATCH(B29,""^((I ?\+ ?(U ?D|D ?U))|((D ?U|U ?D) ?\+ ?I)) *$""))"),FALSE)</f>
        <v>0</v>
      </c>
      <c r="Z29" s="37" t="b">
        <f>IFERROR(__xludf.DUMMYFUNCTION("if(isblank(A29),,REGEXMATCH(B29,""^((D ?\+ ?(U ?D|D ?U))|((D ?U|U ?D) ?\+ ?D)) *$""))"),FALSE)</f>
        <v>0</v>
      </c>
      <c r="AA29" s="37" t="b">
        <f>IFERROR(__xludf.DUMMYFUNCTION("if(isblank(A29),,REGEXMATCH(B29,""^((U ?\+ ?(U ?D|D ?U))|((D ?U|U ?D) ?\+ ?U)) *$""))"),FALSE)</f>
        <v>0</v>
      </c>
      <c r="AB29" s="37" t="b">
        <f>IFERROR(__xludf.DUMMYFUNCTION("if(isblank(A29),,REGEXMATCH(B29,""^((D ?I|I ?D) ?\+ ?(D ?I|I ?D)) *$""))"),FALSE)</f>
        <v>0</v>
      </c>
      <c r="AC29" s="37" t="b">
        <f>IFERROR(__xludf.DUMMYFUNCTION("if(isblank(A29),,REGEXMATCH(B29,""^((D ?I|I ?D) ?\+ ?(U ?I|I ?U))|((U ?I|I ?U) ?\+ ?(D ?I|I ?D)) *$""))"),FALSE)</f>
        <v>0</v>
      </c>
      <c r="AD29" s="37" t="b">
        <f>IFERROR(__xludf.DUMMYFUNCTION("if(isblank(A29),,REGEXMATCH(B29,""^I *vs\. I *$""))"),FALSE)</f>
        <v>0</v>
      </c>
      <c r="AE29" s="37" t="b">
        <f>IFERROR(__xludf.DUMMYFUNCTION("if(isblank(A29),,REGEXMATCH(B29,""(^I *vs\. D *$)|(^D *vs\. I *$)""))"),FALSE)</f>
        <v>0</v>
      </c>
      <c r="AF29" s="37" t="b">
        <f>IFERROR(__xludf.DUMMYFUNCTION("if(isblank(A29),,REGEXMATCH(B29,""(^I *vs\. U *$)|(^U *vs\. I *$)""))"),FALSE)</f>
        <v>0</v>
      </c>
      <c r="AG29" s="37" t="b">
        <f>IFERROR(__xludf.DUMMYFUNCTION("if(isblank(A29),,REGEXMATCH(B29,""^D *vs\. D *$""))"),FALSE)</f>
        <v>0</v>
      </c>
      <c r="AH29" s="37" t="b">
        <f>IFERROR(__xludf.DUMMYFUNCTION("if(isblank(A29),,REGEXMATCH(B29,""(^U *vs\. D *$)|(^D *vs\. U *$)""))"),FALSE)</f>
        <v>0</v>
      </c>
      <c r="AI29" s="37" t="b">
        <f>IFERROR(__xludf.DUMMYFUNCTION("if(isblank(A29),,REGEXMATCH(B29,""^U *vs\. U *$""))"),FALSE)</f>
        <v>0</v>
      </c>
      <c r="AJ29" s="37" t="b">
        <f>IFERROR(__xludf.DUMMYFUNCTION("if(isblank(A29),,REGEXMATCH(B29,""^((I ?vs\. ?(D ?I|I ?D))|((D ?I|I ?D) ?vs\. ?I)) *$""))"),FALSE)</f>
        <v>0</v>
      </c>
      <c r="AK29" s="37" t="b">
        <f>IFERROR(__xludf.DUMMYFUNCTION("if(isblank(A29),,REGEXMATCH(B29,""^((D ?vs\. ?(D ?I|I ?D))|((D ?I|I ?D) ?vs\. ?D)) *$""))"),FALSE)</f>
        <v>0</v>
      </c>
      <c r="AL29" s="37" t="b">
        <f>IFERROR(__xludf.DUMMYFUNCTION("if(isblank(A29),,REGEXMATCH(B29,""^((U ?vs\. ?(D ?I|I ?D))|((D ?I|I ?D) ?vs\. ?U)) *$""))"),TRUE)</f>
        <v>1</v>
      </c>
      <c r="AM29" s="37" t="b">
        <f>IFERROR(__xludf.DUMMYFUNCTION("if(isblank(A29),,REGEXMATCH(B29,""^((I ?vs\. ?(U ?I|I ?U))|((U ?I|I ?U) ?vs\. ?I)) *$""))"),FALSE)</f>
        <v>0</v>
      </c>
      <c r="AN29" s="37" t="b">
        <f>IFERROR(__xludf.DUMMYFUNCTION("if(isblank(A29),,REGEXMATCH(B29,""^((D ?vs\. ?(U ?I|I ?U))|((U ?I|I ?U) ?vs\. ?D)) *$""))"),FALSE)</f>
        <v>0</v>
      </c>
      <c r="AO29" s="37" t="b">
        <f>IFERROR(__xludf.DUMMYFUNCTION("if(isblank(A29),,REGEXMATCH(B29,""^((U ?vs\. ?(U ?I|I ?U))|((U ?I|I ?U) ?vs\. ?U)) *$""))"),FALSE)</f>
        <v>0</v>
      </c>
      <c r="AP29" s="37" t="b">
        <f>IFERROR(__xludf.DUMMYFUNCTION("if(isblank(A29),,REGEXMATCH(B29,""^((I ?vs\. ?(U ?D|D ?U))|((D ?U|U ?D) ?vs\. ?I)) *$""))"),FALSE)</f>
        <v>0</v>
      </c>
      <c r="AQ29" s="37" t="b">
        <f>IFERROR(__xludf.DUMMYFUNCTION("if(isblank(A29),,REGEXMATCH(B29,""^((D ?vs\. ?(U ?D|D ?U))|((D ?U|U ?D) ?vs\. ?D)) *$""))"),FALSE)</f>
        <v>0</v>
      </c>
      <c r="AR29" s="37" t="b">
        <f>IFERROR(__xludf.DUMMYFUNCTION("if(isblank(A29),,REGEXMATCH(B29,""^((U ?vs\. ?(U ?D|D ?U))|((D ?U|U ?D) ?vs\. ?U)) *$""))"),FALSE)</f>
        <v>0</v>
      </c>
      <c r="AS29" s="37" t="b">
        <f>IFERROR(__xludf.DUMMYFUNCTION("if(isblank(A29),,REGEXMATCH(B29,""^((D ?I|I ?D) ?vs\. ?(D ?I|I ?D)) *$""))"),FALSE)</f>
        <v>0</v>
      </c>
      <c r="AT29" s="37" t="b">
        <f>IFERROR(__xludf.DUMMYFUNCTION("if(isblank(A29),,REGEXMATCH(B29,""^((D ?I|I ?D) ?vs\. ?(U ?I|I ?U))|((U ?I|I ?U) ?vs\. ?(D ?I|I ?D)) *$""))"),FALSE)</f>
        <v>0</v>
      </c>
      <c r="AU29" s="37" t="b">
        <f>IFERROR(__xludf.DUMMYFUNCTION("if(isblank(A29),,REGEXMATCH(B29,""^((D ?I|I ?D) ?vs\. ?(U ?D|D ?U))|((U ?D|D ?U) ?vs\. ?(D ?I|I ?D)) *$""))"),FALSE)</f>
        <v>0</v>
      </c>
      <c r="AV29" s="37" t="b">
        <f>IFERROR(__xludf.DUMMYFUNCTION("if(isblank(A29),,REGEXMATCH(B29,""^((U ?I|I ?U) ?vs\. ?(U ?I|I ?U)) *$""))"),FALSE)</f>
        <v>0</v>
      </c>
    </row>
    <row r="30" ht="26.25" customHeight="1">
      <c r="A30" s="79" t="str">
        <f>Paper_Textual_Conflict!M30</f>
        <v>I vs. I (import)</v>
      </c>
      <c r="B30" s="37" t="str">
        <f>IFERROR(__xludf.DUMMYFUNCTION("if(isblank(A30),,regexextract(REGEXEXTRACT(A30,""^.*""),""^[^(]*""))"),"I vs. I ")</f>
        <v>I vs. I </v>
      </c>
      <c r="C30" s="37" t="b">
        <f>IFERROR(__xludf.DUMMYFUNCTION("if(isblank(A30),,REGEXMATCH(B30,"".*\+.*"") )"),FALSE)</f>
        <v>0</v>
      </c>
      <c r="D30" s="37" t="b">
        <f>IFERROR(__xludf.DUMMYFUNCTION("if(isblank(A30),,REGEXMATCH(B30,"".*vs.*"") )"),TRUE)</f>
        <v>1</v>
      </c>
      <c r="E30" s="37" t="b">
        <f>Paper_Textual_Conflict!H30</f>
        <v>1</v>
      </c>
      <c r="F30" s="37" t="str">
        <f>Paper_Textual_Conflict!Q30</f>
        <v>Java</v>
      </c>
      <c r="G30" s="33">
        <v>30.0</v>
      </c>
      <c r="H30" s="37" t="b">
        <f>IFERROR(__xludf.DUMMYFUNCTION("if(isblank(A30),,REGEXMATCH(B30,""^I *\+ I *$""))"),FALSE)</f>
        <v>0</v>
      </c>
      <c r="I30" s="37" t="b">
        <f>IFERROR(__xludf.DUMMYFUNCTION("if(isblank(A30),,REGEXMATCH(B30,""(^I *\+ D *$)|(^D *\+ I *$)""))"),FALSE)</f>
        <v>0</v>
      </c>
      <c r="J30" s="37" t="b">
        <f>IFERROR(__xludf.DUMMYFUNCTION("if(isblank(A30),,REGEXMATCH(B30,""(^I *\+ U *$)|(^U *\+ I *$)""))"),FALSE)</f>
        <v>0</v>
      </c>
      <c r="K30" s="37" t="b">
        <f>IFERROR(__xludf.DUMMYFUNCTION("if(isblank(A30),,REGEXMATCH(B30,""(^I *\+ N *$)|(^N *\+ I *$)"") )"),FALSE)</f>
        <v>0</v>
      </c>
      <c r="L30" s="37" t="b">
        <f>IFERROR(__xludf.DUMMYFUNCTION("if(isblank(A30),,REGEXMATCH(B30,""^D *\+ D *$""))"),FALSE)</f>
        <v>0</v>
      </c>
      <c r="M30" s="37" t="b">
        <f>IFERROR(__xludf.DUMMYFUNCTION("if(isblank(A30),,REGEXMATCH(B30,""(^U *\+ D *$)|(^D *\+ U *$)""))"),FALSE)</f>
        <v>0</v>
      </c>
      <c r="N30" s="37" t="b">
        <f>IFERROR(__xludf.DUMMYFUNCTION("if(isblank(A30),,REGEXMATCH(B30,""(^N *\+ D *$)|(^D *\+ N *$)""))"),FALSE)</f>
        <v>0</v>
      </c>
      <c r="O30" s="37" t="b">
        <f>IFERROR(__xludf.DUMMYFUNCTION("if(isblank(A30),,REGEXMATCH(B30,""^U *\+ U *$""))"),FALSE)</f>
        <v>0</v>
      </c>
      <c r="P30" s="37" t="b">
        <f>IFERROR(__xludf.DUMMYFUNCTION("if(isblank(A30),,REGEXMATCH(B30,""(^U *\+ N *$)|(^N *\+ U *$)""))"),FALSE)</f>
        <v>0</v>
      </c>
      <c r="Q30" s="37" t="b">
        <f>IFERROR(__xludf.DUMMYFUNCTION("if(isblank(A30),,REGEXMATCH(B30,""^((I ?\+ ?(D ?I|I ?D))|((D ?I|I ?D) ?\+ ?I)) *$""))"),FALSE)</f>
        <v>0</v>
      </c>
      <c r="R30" s="37" t="b">
        <f>IFERROR(__xludf.DUMMYFUNCTION("if(isblank(A30),,REGEXMATCH(B30,""^((D ?\+ ?(D ?I|I ?D))|((D ?I|I ?D) ?\+ ?D)) *$""))"),FALSE)</f>
        <v>0</v>
      </c>
      <c r="S30" s="37" t="b">
        <f>IFERROR(__xludf.DUMMYFUNCTION("if(isblank(A30),,REGEXMATCH(B30,""^((U ?\+ ?(D ?I|I ?D))|((D ?I|I ?D) ?\+ ?U)) *$""))"),FALSE)</f>
        <v>0</v>
      </c>
      <c r="T30" s="37" t="b">
        <f>IFERROR(__xludf.DUMMYFUNCTION("if(isblank(A30),,REGEXMATCH(B30,""^((N ?\+ ?(D ?I|I ?D))|((D ?I|I ?D) ?\+ ?N)) *$""))"),FALSE)</f>
        <v>0</v>
      </c>
      <c r="U30" s="37" t="b">
        <f>IFERROR(__xludf.DUMMYFUNCTION("if(isblank(A30),,REGEXMATCH(B30,""^((I ?\+ ?(U ?I|I ?U))|((I ?U|U ?I) ?\+ ?I)) *$""))"),FALSE)</f>
        <v>0</v>
      </c>
      <c r="V30" s="37" t="b">
        <f>IFERROR(__xludf.DUMMYFUNCTION("if(isblank(A30),,REGEXMATCH(B30,""^((D ?\+ ?(U ?I|I ?U))|((I ?U|U ?I) ?\+ ?D)) *$""))"),FALSE)</f>
        <v>0</v>
      </c>
      <c r="W30" s="37" t="b">
        <f>IFERROR(__xludf.DUMMYFUNCTION("if(isblank(A30),,REGEXMATCH(B30,""^((U ?\+ ?(U ?I|I ?U))|((I ?U|U ?I) ?\+ ?U)) *$""))"),FALSE)</f>
        <v>0</v>
      </c>
      <c r="X30" s="37" t="b">
        <f>IFERROR(__xludf.DUMMYFUNCTION("if(isblank(A30),,REGEXMATCH(B30,""^((N ?\+ ?(U ?I|I ?U))|((I ?U|U ?I) ?\+ ?N)) *$""))"),FALSE)</f>
        <v>0</v>
      </c>
      <c r="Y30" s="37" t="b">
        <f>IFERROR(__xludf.DUMMYFUNCTION("if(isblank(A30),,REGEXMATCH(B30,""^((I ?\+ ?(U ?D|D ?U))|((D ?U|U ?D) ?\+ ?I)) *$""))"),FALSE)</f>
        <v>0</v>
      </c>
      <c r="Z30" s="37" t="b">
        <f>IFERROR(__xludf.DUMMYFUNCTION("if(isblank(A30),,REGEXMATCH(B30,""^((D ?\+ ?(U ?D|D ?U))|((D ?U|U ?D) ?\+ ?D)) *$""))"),FALSE)</f>
        <v>0</v>
      </c>
      <c r="AA30" s="37" t="b">
        <f>IFERROR(__xludf.DUMMYFUNCTION("if(isblank(A30),,REGEXMATCH(B30,""^((U ?\+ ?(U ?D|D ?U))|((D ?U|U ?D) ?\+ ?U)) *$""))"),FALSE)</f>
        <v>0</v>
      </c>
      <c r="AB30" s="37" t="b">
        <f>IFERROR(__xludf.DUMMYFUNCTION("if(isblank(A30),,REGEXMATCH(B30,""^((D ?I|I ?D) ?\+ ?(D ?I|I ?D)) *$""))"),FALSE)</f>
        <v>0</v>
      </c>
      <c r="AC30" s="37" t="b">
        <f>IFERROR(__xludf.DUMMYFUNCTION("if(isblank(A30),,REGEXMATCH(B30,""^((D ?I|I ?D) ?\+ ?(U ?I|I ?U))|((U ?I|I ?U) ?\+ ?(D ?I|I ?D)) *$""))"),FALSE)</f>
        <v>0</v>
      </c>
      <c r="AD30" s="37" t="b">
        <f>IFERROR(__xludf.DUMMYFUNCTION("if(isblank(A30),,REGEXMATCH(B30,""^I *vs\. I *$""))"),TRUE)</f>
        <v>1</v>
      </c>
      <c r="AE30" s="37" t="b">
        <f>IFERROR(__xludf.DUMMYFUNCTION("if(isblank(A30),,REGEXMATCH(B30,""(^I *vs\. D *$)|(^D *vs\. I *$)""))"),FALSE)</f>
        <v>0</v>
      </c>
      <c r="AF30" s="37" t="b">
        <f>IFERROR(__xludf.DUMMYFUNCTION("if(isblank(A30),,REGEXMATCH(B30,""(^I *vs\. U *$)|(^U *vs\. I *$)""))"),FALSE)</f>
        <v>0</v>
      </c>
      <c r="AG30" s="37" t="b">
        <f>IFERROR(__xludf.DUMMYFUNCTION("if(isblank(A30),,REGEXMATCH(B30,""^D *vs\. D *$""))"),FALSE)</f>
        <v>0</v>
      </c>
      <c r="AH30" s="37" t="b">
        <f>IFERROR(__xludf.DUMMYFUNCTION("if(isblank(A30),,REGEXMATCH(B30,""(^U *vs\. D *$)|(^D *vs\. U *$)""))"),FALSE)</f>
        <v>0</v>
      </c>
      <c r="AI30" s="37" t="b">
        <f>IFERROR(__xludf.DUMMYFUNCTION("if(isblank(A30),,REGEXMATCH(B30,""^U *vs\. U *$""))"),FALSE)</f>
        <v>0</v>
      </c>
      <c r="AJ30" s="37" t="b">
        <f>IFERROR(__xludf.DUMMYFUNCTION("if(isblank(A30),,REGEXMATCH(B30,""^((I ?vs\. ?(D ?I|I ?D))|((D ?I|I ?D) ?vs\. ?I)) *$""))"),FALSE)</f>
        <v>0</v>
      </c>
      <c r="AK30" s="37" t="b">
        <f>IFERROR(__xludf.DUMMYFUNCTION("if(isblank(A30),,REGEXMATCH(B30,""^((D ?vs\. ?(D ?I|I ?D))|((D ?I|I ?D) ?vs\. ?D)) *$""))"),FALSE)</f>
        <v>0</v>
      </c>
      <c r="AL30" s="37" t="b">
        <f>IFERROR(__xludf.DUMMYFUNCTION("if(isblank(A30),,REGEXMATCH(B30,""^((U ?vs\. ?(D ?I|I ?D))|((D ?I|I ?D) ?vs\. ?U)) *$""))"),FALSE)</f>
        <v>0</v>
      </c>
      <c r="AM30" s="37" t="b">
        <f>IFERROR(__xludf.DUMMYFUNCTION("if(isblank(A30),,REGEXMATCH(B30,""^((I ?vs\. ?(U ?I|I ?U))|((U ?I|I ?U) ?vs\. ?I)) *$""))"),FALSE)</f>
        <v>0</v>
      </c>
      <c r="AN30" s="37" t="b">
        <f>IFERROR(__xludf.DUMMYFUNCTION("if(isblank(A30),,REGEXMATCH(B30,""^((D ?vs\. ?(U ?I|I ?U))|((U ?I|I ?U) ?vs\. ?D)) *$""))"),FALSE)</f>
        <v>0</v>
      </c>
      <c r="AO30" s="37" t="b">
        <f>IFERROR(__xludf.DUMMYFUNCTION("if(isblank(A30),,REGEXMATCH(B30,""^((U ?vs\. ?(U ?I|I ?U))|((U ?I|I ?U) ?vs\. ?U)) *$""))"),FALSE)</f>
        <v>0</v>
      </c>
      <c r="AP30" s="37" t="b">
        <f>IFERROR(__xludf.DUMMYFUNCTION("if(isblank(A30),,REGEXMATCH(B30,""^((I ?vs\. ?(U ?D|D ?U))|((D ?U|U ?D) ?vs\. ?I)) *$""))"),FALSE)</f>
        <v>0</v>
      </c>
      <c r="AQ30" s="37" t="b">
        <f>IFERROR(__xludf.DUMMYFUNCTION("if(isblank(A30),,REGEXMATCH(B30,""^((D ?vs\. ?(U ?D|D ?U))|((D ?U|U ?D) ?vs\. ?D)) *$""))"),FALSE)</f>
        <v>0</v>
      </c>
      <c r="AR30" s="37" t="b">
        <f>IFERROR(__xludf.DUMMYFUNCTION("if(isblank(A30),,REGEXMATCH(B30,""^((U ?vs\. ?(U ?D|D ?U))|((D ?U|U ?D) ?vs\. ?U)) *$""))"),FALSE)</f>
        <v>0</v>
      </c>
      <c r="AS30" s="37" t="b">
        <f>IFERROR(__xludf.DUMMYFUNCTION("if(isblank(A30),,REGEXMATCH(B30,""^((D ?I|I ?D) ?vs\. ?(D ?I|I ?D)) *$""))"),FALSE)</f>
        <v>0</v>
      </c>
      <c r="AT30" s="37" t="b">
        <f>IFERROR(__xludf.DUMMYFUNCTION("if(isblank(A30),,REGEXMATCH(B30,""^((D ?I|I ?D) ?vs\. ?(U ?I|I ?U))|((U ?I|I ?U) ?vs\. ?(D ?I|I ?D)) *$""))"),FALSE)</f>
        <v>0</v>
      </c>
      <c r="AU30" s="37" t="b">
        <f>IFERROR(__xludf.DUMMYFUNCTION("if(isblank(A30),,REGEXMATCH(B30,""^((D ?I|I ?D) ?vs\. ?(U ?D|D ?U))|((U ?D|D ?U) ?vs\. ?(D ?I|I ?D)) *$""))"),FALSE)</f>
        <v>0</v>
      </c>
      <c r="AV30" s="37" t="b">
        <f>IFERROR(__xludf.DUMMYFUNCTION("if(isblank(A30),,REGEXMATCH(B30,""^((U ?I|I ?U) ?vs\. ?(U ?I|I ?U)) *$""))"),FALSE)</f>
        <v>0</v>
      </c>
    </row>
    <row r="31" ht="26.25" customHeight="1">
      <c r="A31" s="79" t="str">
        <f>Paper_Textual_Conflict!M31</f>
        <v>U vs. D (JS)</v>
      </c>
      <c r="B31" s="37" t="str">
        <f>IFERROR(__xludf.DUMMYFUNCTION("if(isblank(A31),,regexextract(REGEXEXTRACT(A31,""^.*""),""^[^(]*""))"),"U vs. D ")</f>
        <v>U vs. D </v>
      </c>
      <c r="C31" s="37" t="b">
        <f>IFERROR(__xludf.DUMMYFUNCTION("if(isblank(A31),,REGEXMATCH(B31,"".*\+.*"") )"),FALSE)</f>
        <v>0</v>
      </c>
      <c r="D31" s="37" t="b">
        <f>IFERROR(__xludf.DUMMYFUNCTION("if(isblank(A31),,REGEXMATCH(B31,"".*vs.*"") )"),TRUE)</f>
        <v>1</v>
      </c>
      <c r="E31" s="37" t="b">
        <f>Paper_Textual_Conflict!H31</f>
        <v>1</v>
      </c>
      <c r="F31" s="37" t="str">
        <f>Paper_Textual_Conflict!Q31</f>
        <v>Non-Java</v>
      </c>
      <c r="G31" s="33">
        <v>31.0</v>
      </c>
      <c r="H31" s="37" t="b">
        <f>IFERROR(__xludf.DUMMYFUNCTION("if(isblank(A31),,REGEXMATCH(B31,""^I *\+ I *$""))"),FALSE)</f>
        <v>0</v>
      </c>
      <c r="I31" s="37" t="b">
        <f>IFERROR(__xludf.DUMMYFUNCTION("if(isblank(A31),,REGEXMATCH(B31,""(^I *\+ D *$)|(^D *\+ I *$)""))"),FALSE)</f>
        <v>0</v>
      </c>
      <c r="J31" s="37" t="b">
        <f>IFERROR(__xludf.DUMMYFUNCTION("if(isblank(A31),,REGEXMATCH(B31,""(^I *\+ U *$)|(^U *\+ I *$)""))"),FALSE)</f>
        <v>0</v>
      </c>
      <c r="K31" s="37" t="b">
        <f>IFERROR(__xludf.DUMMYFUNCTION("if(isblank(A31),,REGEXMATCH(B31,""(^I *\+ N *$)|(^N *\+ I *$)"") )"),FALSE)</f>
        <v>0</v>
      </c>
      <c r="L31" s="37" t="b">
        <f>IFERROR(__xludf.DUMMYFUNCTION("if(isblank(A31),,REGEXMATCH(B31,""^D *\+ D *$""))"),FALSE)</f>
        <v>0</v>
      </c>
      <c r="M31" s="37" t="b">
        <f>IFERROR(__xludf.DUMMYFUNCTION("if(isblank(A31),,REGEXMATCH(B31,""(^U *\+ D *$)|(^D *\+ U *$)""))"),FALSE)</f>
        <v>0</v>
      </c>
      <c r="N31" s="37" t="b">
        <f>IFERROR(__xludf.DUMMYFUNCTION("if(isblank(A31),,REGEXMATCH(B31,""(^N *\+ D *$)|(^D *\+ N *$)""))"),FALSE)</f>
        <v>0</v>
      </c>
      <c r="O31" s="37" t="b">
        <f>IFERROR(__xludf.DUMMYFUNCTION("if(isblank(A31),,REGEXMATCH(B31,""^U *\+ U *$""))"),FALSE)</f>
        <v>0</v>
      </c>
      <c r="P31" s="37" t="b">
        <f>IFERROR(__xludf.DUMMYFUNCTION("if(isblank(A31),,REGEXMATCH(B31,""(^U *\+ N *$)|(^N *\+ U *$)""))"),FALSE)</f>
        <v>0</v>
      </c>
      <c r="Q31" s="37" t="b">
        <f>IFERROR(__xludf.DUMMYFUNCTION("if(isblank(A31),,REGEXMATCH(B31,""^((I ?\+ ?(D ?I|I ?D))|((D ?I|I ?D) ?\+ ?I)) *$""))"),FALSE)</f>
        <v>0</v>
      </c>
      <c r="R31" s="37" t="b">
        <f>IFERROR(__xludf.DUMMYFUNCTION("if(isblank(A31),,REGEXMATCH(B31,""^((D ?\+ ?(D ?I|I ?D))|((D ?I|I ?D) ?\+ ?D)) *$""))"),FALSE)</f>
        <v>0</v>
      </c>
      <c r="S31" s="37" t="b">
        <f>IFERROR(__xludf.DUMMYFUNCTION("if(isblank(A31),,REGEXMATCH(B31,""^((U ?\+ ?(D ?I|I ?D))|((D ?I|I ?D) ?\+ ?U)) *$""))"),FALSE)</f>
        <v>0</v>
      </c>
      <c r="T31" s="37" t="b">
        <f>IFERROR(__xludf.DUMMYFUNCTION("if(isblank(A31),,REGEXMATCH(B31,""^((N ?\+ ?(D ?I|I ?D))|((D ?I|I ?D) ?\+ ?N)) *$""))"),FALSE)</f>
        <v>0</v>
      </c>
      <c r="U31" s="37" t="b">
        <f>IFERROR(__xludf.DUMMYFUNCTION("if(isblank(A31),,REGEXMATCH(B31,""^((I ?\+ ?(U ?I|I ?U))|((I ?U|U ?I) ?\+ ?I)) *$""))"),FALSE)</f>
        <v>0</v>
      </c>
      <c r="V31" s="37" t="b">
        <f>IFERROR(__xludf.DUMMYFUNCTION("if(isblank(A31),,REGEXMATCH(B31,""^((D ?\+ ?(U ?I|I ?U))|((I ?U|U ?I) ?\+ ?D)) *$""))"),FALSE)</f>
        <v>0</v>
      </c>
      <c r="W31" s="37" t="b">
        <f>IFERROR(__xludf.DUMMYFUNCTION("if(isblank(A31),,REGEXMATCH(B31,""^((U ?\+ ?(U ?I|I ?U))|((I ?U|U ?I) ?\+ ?U)) *$""))"),FALSE)</f>
        <v>0</v>
      </c>
      <c r="X31" s="37" t="b">
        <f>IFERROR(__xludf.DUMMYFUNCTION("if(isblank(A31),,REGEXMATCH(B31,""^((N ?\+ ?(U ?I|I ?U))|((I ?U|U ?I) ?\+ ?N)) *$""))"),FALSE)</f>
        <v>0</v>
      </c>
      <c r="Y31" s="37" t="b">
        <f>IFERROR(__xludf.DUMMYFUNCTION("if(isblank(A31),,REGEXMATCH(B31,""^((I ?\+ ?(U ?D|D ?U))|((D ?U|U ?D) ?\+ ?I)) *$""))"),FALSE)</f>
        <v>0</v>
      </c>
      <c r="Z31" s="37" t="b">
        <f>IFERROR(__xludf.DUMMYFUNCTION("if(isblank(A31),,REGEXMATCH(B31,""^((D ?\+ ?(U ?D|D ?U))|((D ?U|U ?D) ?\+ ?D)) *$""))"),FALSE)</f>
        <v>0</v>
      </c>
      <c r="AA31" s="37" t="b">
        <f>IFERROR(__xludf.DUMMYFUNCTION("if(isblank(A31),,REGEXMATCH(B31,""^((U ?\+ ?(U ?D|D ?U))|((D ?U|U ?D) ?\+ ?U)) *$""))"),FALSE)</f>
        <v>0</v>
      </c>
      <c r="AB31" s="37" t="b">
        <f>IFERROR(__xludf.DUMMYFUNCTION("if(isblank(A31),,REGEXMATCH(B31,""^((D ?I|I ?D) ?\+ ?(D ?I|I ?D)) *$""))"),FALSE)</f>
        <v>0</v>
      </c>
      <c r="AC31" s="37" t="b">
        <f>IFERROR(__xludf.DUMMYFUNCTION("if(isblank(A31),,REGEXMATCH(B31,""^((D ?I|I ?D) ?\+ ?(U ?I|I ?U))|((U ?I|I ?U) ?\+ ?(D ?I|I ?D)) *$""))"),FALSE)</f>
        <v>0</v>
      </c>
      <c r="AD31" s="37" t="b">
        <f>IFERROR(__xludf.DUMMYFUNCTION("if(isblank(A31),,REGEXMATCH(B31,""^I *vs\. I *$""))"),FALSE)</f>
        <v>0</v>
      </c>
      <c r="AE31" s="37" t="b">
        <f>IFERROR(__xludf.DUMMYFUNCTION("if(isblank(A31),,REGEXMATCH(B31,""(^I *vs\. D *$)|(^D *vs\. I *$)""))"),FALSE)</f>
        <v>0</v>
      </c>
      <c r="AF31" s="37" t="b">
        <f>IFERROR(__xludf.DUMMYFUNCTION("if(isblank(A31),,REGEXMATCH(B31,""(^I *vs\. U *$)|(^U *vs\. I *$)""))"),FALSE)</f>
        <v>0</v>
      </c>
      <c r="AG31" s="37" t="b">
        <f>IFERROR(__xludf.DUMMYFUNCTION("if(isblank(A31),,REGEXMATCH(B31,""^D *vs\. D *$""))"),FALSE)</f>
        <v>0</v>
      </c>
      <c r="AH31" s="37" t="b">
        <f>IFERROR(__xludf.DUMMYFUNCTION("if(isblank(A31),,REGEXMATCH(B31,""(^U *vs\. D *$)|(^D *vs\. U *$)""))"),TRUE)</f>
        <v>1</v>
      </c>
      <c r="AI31" s="37" t="b">
        <f>IFERROR(__xludf.DUMMYFUNCTION("if(isblank(A31),,REGEXMATCH(B31,""^U *vs\. U *$""))"),FALSE)</f>
        <v>0</v>
      </c>
      <c r="AJ31" s="37" t="b">
        <f>IFERROR(__xludf.DUMMYFUNCTION("if(isblank(A31),,REGEXMATCH(B31,""^((I ?vs\. ?(D ?I|I ?D))|((D ?I|I ?D) ?vs\. ?I)) *$""))"),FALSE)</f>
        <v>0</v>
      </c>
      <c r="AK31" s="37" t="b">
        <f>IFERROR(__xludf.DUMMYFUNCTION("if(isblank(A31),,REGEXMATCH(B31,""^((D ?vs\. ?(D ?I|I ?D))|((D ?I|I ?D) ?vs\. ?D)) *$""))"),FALSE)</f>
        <v>0</v>
      </c>
      <c r="AL31" s="37" t="b">
        <f>IFERROR(__xludf.DUMMYFUNCTION("if(isblank(A31),,REGEXMATCH(B31,""^((U ?vs\. ?(D ?I|I ?D))|((D ?I|I ?D) ?vs\. ?U)) *$""))"),FALSE)</f>
        <v>0</v>
      </c>
      <c r="AM31" s="37" t="b">
        <f>IFERROR(__xludf.DUMMYFUNCTION("if(isblank(A31),,REGEXMATCH(B31,""^((I ?vs\. ?(U ?I|I ?U))|((U ?I|I ?U) ?vs\. ?I)) *$""))"),FALSE)</f>
        <v>0</v>
      </c>
      <c r="AN31" s="37" t="b">
        <f>IFERROR(__xludf.DUMMYFUNCTION("if(isblank(A31),,REGEXMATCH(B31,""^((D ?vs\. ?(U ?I|I ?U))|((U ?I|I ?U) ?vs\. ?D)) *$""))"),FALSE)</f>
        <v>0</v>
      </c>
      <c r="AO31" s="37" t="b">
        <f>IFERROR(__xludf.DUMMYFUNCTION("if(isblank(A31),,REGEXMATCH(B31,""^((U ?vs\. ?(U ?I|I ?U))|((U ?I|I ?U) ?vs\. ?U)) *$""))"),FALSE)</f>
        <v>0</v>
      </c>
      <c r="AP31" s="37" t="b">
        <f>IFERROR(__xludf.DUMMYFUNCTION("if(isblank(A31),,REGEXMATCH(B31,""^((I ?vs\. ?(U ?D|D ?U))|((D ?U|U ?D) ?vs\. ?I)) *$""))"),FALSE)</f>
        <v>0</v>
      </c>
      <c r="AQ31" s="37" t="b">
        <f>IFERROR(__xludf.DUMMYFUNCTION("if(isblank(A31),,REGEXMATCH(B31,""^((D ?vs\. ?(U ?D|D ?U))|((D ?U|U ?D) ?vs\. ?D)) *$""))"),FALSE)</f>
        <v>0</v>
      </c>
      <c r="AR31" s="37" t="b">
        <f>IFERROR(__xludf.DUMMYFUNCTION("if(isblank(A31),,REGEXMATCH(B31,""^((U ?vs\. ?(U ?D|D ?U))|((D ?U|U ?D) ?vs\. ?U)) *$""))"),FALSE)</f>
        <v>0</v>
      </c>
      <c r="AS31" s="37" t="b">
        <f>IFERROR(__xludf.DUMMYFUNCTION("if(isblank(A31),,REGEXMATCH(B31,""^((D ?I|I ?D) ?vs\. ?(D ?I|I ?D)) *$""))"),FALSE)</f>
        <v>0</v>
      </c>
      <c r="AT31" s="37" t="b">
        <f>IFERROR(__xludf.DUMMYFUNCTION("if(isblank(A31),,REGEXMATCH(B31,""^((D ?I|I ?D) ?vs\. ?(U ?I|I ?U))|((U ?I|I ?U) ?vs\. ?(D ?I|I ?D)) *$""))"),FALSE)</f>
        <v>0</v>
      </c>
      <c r="AU31" s="37" t="b">
        <f>IFERROR(__xludf.DUMMYFUNCTION("if(isblank(A31),,REGEXMATCH(B31,""^((D ?I|I ?D) ?vs\. ?(U ?D|D ?U))|((U ?D|D ?U) ?vs\. ?(D ?I|I ?D)) *$""))"),FALSE)</f>
        <v>0</v>
      </c>
      <c r="AV31" s="37" t="b">
        <f>IFERROR(__xludf.DUMMYFUNCTION("if(isblank(A31),,REGEXMATCH(B31,""^((U ?I|I ?U) ?vs\. ?(U ?I|I ?U)) *$""))"),FALSE)</f>
        <v>0</v>
      </c>
    </row>
    <row r="32" ht="26.25" customHeight="1">
      <c r="A32" s="79" t="str">
        <f>Paper_Textual_Conflict!M32</f>
        <v>U vs. U (expression, .choose(MimeType.ofAll(), false)...</v>
      </c>
      <c r="B32" s="37" t="str">
        <f>IFERROR(__xludf.DUMMYFUNCTION("if(isblank(A32),,regexextract(REGEXEXTRACT(A32,""^.*""),""^[^(]*""))"),"U vs. U ")</f>
        <v>U vs. U </v>
      </c>
      <c r="C32" s="37" t="b">
        <f>IFERROR(__xludf.DUMMYFUNCTION("if(isblank(A32),,REGEXMATCH(B32,"".*\+.*"") )"),FALSE)</f>
        <v>0</v>
      </c>
      <c r="D32" s="37" t="b">
        <f>IFERROR(__xludf.DUMMYFUNCTION("if(isblank(A32),,REGEXMATCH(B32,"".*vs.*"") )"),TRUE)</f>
        <v>1</v>
      </c>
      <c r="E32" s="37" t="b">
        <f>Paper_Textual_Conflict!H32</f>
        <v>1</v>
      </c>
      <c r="F32" s="37" t="str">
        <f>Paper_Textual_Conflict!Q32</f>
        <v>Java</v>
      </c>
      <c r="G32" s="33">
        <v>32.0</v>
      </c>
      <c r="H32" s="37" t="b">
        <f>IFERROR(__xludf.DUMMYFUNCTION("if(isblank(A32),,REGEXMATCH(B32,""^I *\+ I *$""))"),FALSE)</f>
        <v>0</v>
      </c>
      <c r="I32" s="37" t="b">
        <f>IFERROR(__xludf.DUMMYFUNCTION("if(isblank(A32),,REGEXMATCH(B32,""(^I *\+ D *$)|(^D *\+ I *$)""))"),FALSE)</f>
        <v>0</v>
      </c>
      <c r="J32" s="37" t="b">
        <f>IFERROR(__xludf.DUMMYFUNCTION("if(isblank(A32),,REGEXMATCH(B32,""(^I *\+ U *$)|(^U *\+ I *$)""))"),FALSE)</f>
        <v>0</v>
      </c>
      <c r="K32" s="37" t="b">
        <f>IFERROR(__xludf.DUMMYFUNCTION("if(isblank(A32),,REGEXMATCH(B32,""(^I *\+ N *$)|(^N *\+ I *$)"") )"),FALSE)</f>
        <v>0</v>
      </c>
      <c r="L32" s="37" t="b">
        <f>IFERROR(__xludf.DUMMYFUNCTION("if(isblank(A32),,REGEXMATCH(B32,""^D *\+ D *$""))"),FALSE)</f>
        <v>0</v>
      </c>
      <c r="M32" s="37" t="b">
        <f>IFERROR(__xludf.DUMMYFUNCTION("if(isblank(A32),,REGEXMATCH(B32,""(^U *\+ D *$)|(^D *\+ U *$)""))"),FALSE)</f>
        <v>0</v>
      </c>
      <c r="N32" s="37" t="b">
        <f>IFERROR(__xludf.DUMMYFUNCTION("if(isblank(A32),,REGEXMATCH(B32,""(^N *\+ D *$)|(^D *\+ N *$)""))"),FALSE)</f>
        <v>0</v>
      </c>
      <c r="O32" s="37" t="b">
        <f>IFERROR(__xludf.DUMMYFUNCTION("if(isblank(A32),,REGEXMATCH(B32,""^U *\+ U *$""))"),FALSE)</f>
        <v>0</v>
      </c>
      <c r="P32" s="37" t="b">
        <f>IFERROR(__xludf.DUMMYFUNCTION("if(isblank(A32),,REGEXMATCH(B32,""(^U *\+ N *$)|(^N *\+ U *$)""))"),FALSE)</f>
        <v>0</v>
      </c>
      <c r="Q32" s="37" t="b">
        <f>IFERROR(__xludf.DUMMYFUNCTION("if(isblank(A32),,REGEXMATCH(B32,""^((I ?\+ ?(D ?I|I ?D))|((D ?I|I ?D) ?\+ ?I)) *$""))"),FALSE)</f>
        <v>0</v>
      </c>
      <c r="R32" s="37" t="b">
        <f>IFERROR(__xludf.DUMMYFUNCTION("if(isblank(A32),,REGEXMATCH(B32,""^((D ?\+ ?(D ?I|I ?D))|((D ?I|I ?D) ?\+ ?D)) *$""))"),FALSE)</f>
        <v>0</v>
      </c>
      <c r="S32" s="37" t="b">
        <f>IFERROR(__xludf.DUMMYFUNCTION("if(isblank(A32),,REGEXMATCH(B32,""^((U ?\+ ?(D ?I|I ?D))|((D ?I|I ?D) ?\+ ?U)) *$""))"),FALSE)</f>
        <v>0</v>
      </c>
      <c r="T32" s="37" t="b">
        <f>IFERROR(__xludf.DUMMYFUNCTION("if(isblank(A32),,REGEXMATCH(B32,""^((N ?\+ ?(D ?I|I ?D))|((D ?I|I ?D) ?\+ ?N)) *$""))"),FALSE)</f>
        <v>0</v>
      </c>
      <c r="U32" s="37" t="b">
        <f>IFERROR(__xludf.DUMMYFUNCTION("if(isblank(A32),,REGEXMATCH(B32,""^((I ?\+ ?(U ?I|I ?U))|((I ?U|U ?I) ?\+ ?I)) *$""))"),FALSE)</f>
        <v>0</v>
      </c>
      <c r="V32" s="37" t="b">
        <f>IFERROR(__xludf.DUMMYFUNCTION("if(isblank(A32),,REGEXMATCH(B32,""^((D ?\+ ?(U ?I|I ?U))|((I ?U|U ?I) ?\+ ?D)) *$""))"),FALSE)</f>
        <v>0</v>
      </c>
      <c r="W32" s="37" t="b">
        <f>IFERROR(__xludf.DUMMYFUNCTION("if(isblank(A32),,REGEXMATCH(B32,""^((U ?\+ ?(U ?I|I ?U))|((I ?U|U ?I) ?\+ ?U)) *$""))"),FALSE)</f>
        <v>0</v>
      </c>
      <c r="X32" s="37" t="b">
        <f>IFERROR(__xludf.DUMMYFUNCTION("if(isblank(A32),,REGEXMATCH(B32,""^((N ?\+ ?(U ?I|I ?U))|((I ?U|U ?I) ?\+ ?N)) *$""))"),FALSE)</f>
        <v>0</v>
      </c>
      <c r="Y32" s="37" t="b">
        <f>IFERROR(__xludf.DUMMYFUNCTION("if(isblank(A32),,REGEXMATCH(B32,""^((I ?\+ ?(U ?D|D ?U))|((D ?U|U ?D) ?\+ ?I)) *$""))"),FALSE)</f>
        <v>0</v>
      </c>
      <c r="Z32" s="37" t="b">
        <f>IFERROR(__xludf.DUMMYFUNCTION("if(isblank(A32),,REGEXMATCH(B32,""^((D ?\+ ?(U ?D|D ?U))|((D ?U|U ?D) ?\+ ?D)) *$""))"),FALSE)</f>
        <v>0</v>
      </c>
      <c r="AA32" s="37" t="b">
        <f>IFERROR(__xludf.DUMMYFUNCTION("if(isblank(A32),,REGEXMATCH(B32,""^((U ?\+ ?(U ?D|D ?U))|((D ?U|U ?D) ?\+ ?U)) *$""))"),FALSE)</f>
        <v>0</v>
      </c>
      <c r="AB32" s="37" t="b">
        <f>IFERROR(__xludf.DUMMYFUNCTION("if(isblank(A32),,REGEXMATCH(B32,""^((D ?I|I ?D) ?\+ ?(D ?I|I ?D)) *$""))"),FALSE)</f>
        <v>0</v>
      </c>
      <c r="AC32" s="37" t="b">
        <f>IFERROR(__xludf.DUMMYFUNCTION("if(isblank(A32),,REGEXMATCH(B32,""^((D ?I|I ?D) ?\+ ?(U ?I|I ?U))|((U ?I|I ?U) ?\+ ?(D ?I|I ?D)) *$""))"),FALSE)</f>
        <v>0</v>
      </c>
      <c r="AD32" s="37" t="b">
        <f>IFERROR(__xludf.DUMMYFUNCTION("if(isblank(A32),,REGEXMATCH(B32,""^I *vs\. I *$""))"),FALSE)</f>
        <v>0</v>
      </c>
      <c r="AE32" s="37" t="b">
        <f>IFERROR(__xludf.DUMMYFUNCTION("if(isblank(A32),,REGEXMATCH(B32,""(^I *vs\. D *$)|(^D *vs\. I *$)""))"),FALSE)</f>
        <v>0</v>
      </c>
      <c r="AF32" s="37" t="b">
        <f>IFERROR(__xludf.DUMMYFUNCTION("if(isblank(A32),,REGEXMATCH(B32,""(^I *vs\. U *$)|(^U *vs\. I *$)""))"),FALSE)</f>
        <v>0</v>
      </c>
      <c r="AG32" s="37" t="b">
        <f>IFERROR(__xludf.DUMMYFUNCTION("if(isblank(A32),,REGEXMATCH(B32,""^D *vs\. D *$""))"),FALSE)</f>
        <v>0</v>
      </c>
      <c r="AH32" s="37" t="b">
        <f>IFERROR(__xludf.DUMMYFUNCTION("if(isblank(A32),,REGEXMATCH(B32,""(^U *vs\. D *$)|(^D *vs\. U *$)""))"),FALSE)</f>
        <v>0</v>
      </c>
      <c r="AI32" s="37" t="b">
        <f>IFERROR(__xludf.DUMMYFUNCTION("if(isblank(A32),,REGEXMATCH(B32,""^U *vs\. U *$""))"),TRUE)</f>
        <v>1</v>
      </c>
      <c r="AJ32" s="37" t="b">
        <f>IFERROR(__xludf.DUMMYFUNCTION("if(isblank(A32),,REGEXMATCH(B32,""^((I ?vs\. ?(D ?I|I ?D))|((D ?I|I ?D) ?vs\. ?I)) *$""))"),FALSE)</f>
        <v>0</v>
      </c>
      <c r="AK32" s="37" t="b">
        <f>IFERROR(__xludf.DUMMYFUNCTION("if(isblank(A32),,REGEXMATCH(B32,""^((D ?vs\. ?(D ?I|I ?D))|((D ?I|I ?D) ?vs\. ?D)) *$""))"),FALSE)</f>
        <v>0</v>
      </c>
      <c r="AL32" s="37" t="b">
        <f>IFERROR(__xludf.DUMMYFUNCTION("if(isblank(A32),,REGEXMATCH(B32,""^((U ?vs\. ?(D ?I|I ?D))|((D ?I|I ?D) ?vs\. ?U)) *$""))"),FALSE)</f>
        <v>0</v>
      </c>
      <c r="AM32" s="37" t="b">
        <f>IFERROR(__xludf.DUMMYFUNCTION("if(isblank(A32),,REGEXMATCH(B32,""^((I ?vs\. ?(U ?I|I ?U))|((U ?I|I ?U) ?vs\. ?I)) *$""))"),FALSE)</f>
        <v>0</v>
      </c>
      <c r="AN32" s="37" t="b">
        <f>IFERROR(__xludf.DUMMYFUNCTION("if(isblank(A32),,REGEXMATCH(B32,""^((D ?vs\. ?(U ?I|I ?U))|((U ?I|I ?U) ?vs\. ?D)) *$""))"),FALSE)</f>
        <v>0</v>
      </c>
      <c r="AO32" s="37" t="b">
        <f>IFERROR(__xludf.DUMMYFUNCTION("if(isblank(A32),,REGEXMATCH(B32,""^((U ?vs\. ?(U ?I|I ?U))|((U ?I|I ?U) ?vs\. ?U)) *$""))"),FALSE)</f>
        <v>0</v>
      </c>
      <c r="AP32" s="37" t="b">
        <f>IFERROR(__xludf.DUMMYFUNCTION("if(isblank(A32),,REGEXMATCH(B32,""^((I ?vs\. ?(U ?D|D ?U))|((D ?U|U ?D) ?vs\. ?I)) *$""))"),FALSE)</f>
        <v>0</v>
      </c>
      <c r="AQ32" s="37" t="b">
        <f>IFERROR(__xludf.DUMMYFUNCTION("if(isblank(A32),,REGEXMATCH(B32,""^((D ?vs\. ?(U ?D|D ?U))|((D ?U|U ?D) ?vs\. ?D)) *$""))"),FALSE)</f>
        <v>0</v>
      </c>
      <c r="AR32" s="37" t="b">
        <f>IFERROR(__xludf.DUMMYFUNCTION("if(isblank(A32),,REGEXMATCH(B32,""^((U ?vs\. ?(U ?D|D ?U))|((D ?U|U ?D) ?vs\. ?U)) *$""))"),FALSE)</f>
        <v>0</v>
      </c>
      <c r="AS32" s="37" t="b">
        <f>IFERROR(__xludf.DUMMYFUNCTION("if(isblank(A32),,REGEXMATCH(B32,""^((D ?I|I ?D) ?vs\. ?(D ?I|I ?D)) *$""))"),FALSE)</f>
        <v>0</v>
      </c>
      <c r="AT32" s="37" t="b">
        <f>IFERROR(__xludf.DUMMYFUNCTION("if(isblank(A32),,REGEXMATCH(B32,""^((D ?I|I ?D) ?vs\. ?(U ?I|I ?U))|((U ?I|I ?U) ?vs\. ?(D ?I|I ?D)) *$""))"),FALSE)</f>
        <v>0</v>
      </c>
      <c r="AU32" s="37" t="b">
        <f>IFERROR(__xludf.DUMMYFUNCTION("if(isblank(A32),,REGEXMATCH(B32,""^((D ?I|I ?D) ?vs\. ?(U ?D|D ?U))|((U ?D|D ?U) ?vs\. ?(D ?I|I ?D)) *$""))"),FALSE)</f>
        <v>0</v>
      </c>
      <c r="AV32" s="37" t="b">
        <f>IFERROR(__xludf.DUMMYFUNCTION("if(isblank(A32),,REGEXMATCH(B32,""^((U ?I|I ?U) ?vs\. ?(U ?I|I ?U)) *$""))"),FALSE)</f>
        <v>0</v>
      </c>
    </row>
    <row r="33" ht="26.25" customHeight="1">
      <c r="A33" s="79" t="str">
        <f>Paper_Textual_Conflict!M33</f>
        <v>I vs. I (sysproperty)</v>
      </c>
      <c r="B33" s="37" t="str">
        <f>IFERROR(__xludf.DUMMYFUNCTION("if(isblank(A33),,regexextract(REGEXEXTRACT(A33,""^.*""),""^[^(]*""))"),"I vs. I ")</f>
        <v>I vs. I </v>
      </c>
      <c r="C33" s="37" t="b">
        <f>IFERROR(__xludf.DUMMYFUNCTION("if(isblank(A33),,REGEXMATCH(B33,"".*\+.*"") )"),FALSE)</f>
        <v>0</v>
      </c>
      <c r="D33" s="37" t="b">
        <f>IFERROR(__xludf.DUMMYFUNCTION("if(isblank(A33),,REGEXMATCH(B33,"".*vs.*"") )"),TRUE)</f>
        <v>1</v>
      </c>
      <c r="E33" s="37" t="b">
        <f>Paper_Textual_Conflict!H33</f>
        <v>1</v>
      </c>
      <c r="F33" s="37" t="str">
        <f>Paper_Textual_Conflict!Q33</f>
        <v>Non-Java</v>
      </c>
      <c r="G33" s="33">
        <v>33.0</v>
      </c>
      <c r="H33" s="37" t="b">
        <f>IFERROR(__xludf.DUMMYFUNCTION("if(isblank(A33),,REGEXMATCH(B33,""^I *\+ I *$""))"),FALSE)</f>
        <v>0</v>
      </c>
      <c r="I33" s="37" t="b">
        <f>IFERROR(__xludf.DUMMYFUNCTION("if(isblank(A33),,REGEXMATCH(B33,""(^I *\+ D *$)|(^D *\+ I *$)""))"),FALSE)</f>
        <v>0</v>
      </c>
      <c r="J33" s="37" t="b">
        <f>IFERROR(__xludf.DUMMYFUNCTION("if(isblank(A33),,REGEXMATCH(B33,""(^I *\+ U *$)|(^U *\+ I *$)""))"),FALSE)</f>
        <v>0</v>
      </c>
      <c r="K33" s="37" t="b">
        <f>IFERROR(__xludf.DUMMYFUNCTION("if(isblank(A33),,REGEXMATCH(B33,""(^I *\+ N *$)|(^N *\+ I *$)"") )"),FALSE)</f>
        <v>0</v>
      </c>
      <c r="L33" s="37" t="b">
        <f>IFERROR(__xludf.DUMMYFUNCTION("if(isblank(A33),,REGEXMATCH(B33,""^D *\+ D *$""))"),FALSE)</f>
        <v>0</v>
      </c>
      <c r="M33" s="37" t="b">
        <f>IFERROR(__xludf.DUMMYFUNCTION("if(isblank(A33),,REGEXMATCH(B33,""(^U *\+ D *$)|(^D *\+ U *$)""))"),FALSE)</f>
        <v>0</v>
      </c>
      <c r="N33" s="37" t="b">
        <f>IFERROR(__xludf.DUMMYFUNCTION("if(isblank(A33),,REGEXMATCH(B33,""(^N *\+ D *$)|(^D *\+ N *$)""))"),FALSE)</f>
        <v>0</v>
      </c>
      <c r="O33" s="37" t="b">
        <f>IFERROR(__xludf.DUMMYFUNCTION("if(isblank(A33),,REGEXMATCH(B33,""^U *\+ U *$""))"),FALSE)</f>
        <v>0</v>
      </c>
      <c r="P33" s="37" t="b">
        <f>IFERROR(__xludf.DUMMYFUNCTION("if(isblank(A33),,REGEXMATCH(B33,""(^U *\+ N *$)|(^N *\+ U *$)""))"),FALSE)</f>
        <v>0</v>
      </c>
      <c r="Q33" s="37" t="b">
        <f>IFERROR(__xludf.DUMMYFUNCTION("if(isblank(A33),,REGEXMATCH(B33,""^((I ?\+ ?(D ?I|I ?D))|((D ?I|I ?D) ?\+ ?I)) *$""))"),FALSE)</f>
        <v>0</v>
      </c>
      <c r="R33" s="37" t="b">
        <f>IFERROR(__xludf.DUMMYFUNCTION("if(isblank(A33),,REGEXMATCH(B33,""^((D ?\+ ?(D ?I|I ?D))|((D ?I|I ?D) ?\+ ?D)) *$""))"),FALSE)</f>
        <v>0</v>
      </c>
      <c r="S33" s="37" t="b">
        <f>IFERROR(__xludf.DUMMYFUNCTION("if(isblank(A33),,REGEXMATCH(B33,""^((U ?\+ ?(D ?I|I ?D))|((D ?I|I ?D) ?\+ ?U)) *$""))"),FALSE)</f>
        <v>0</v>
      </c>
      <c r="T33" s="37" t="b">
        <f>IFERROR(__xludf.DUMMYFUNCTION("if(isblank(A33),,REGEXMATCH(B33,""^((N ?\+ ?(D ?I|I ?D))|((D ?I|I ?D) ?\+ ?N)) *$""))"),FALSE)</f>
        <v>0</v>
      </c>
      <c r="U33" s="37" t="b">
        <f>IFERROR(__xludf.DUMMYFUNCTION("if(isblank(A33),,REGEXMATCH(B33,""^((I ?\+ ?(U ?I|I ?U))|((I ?U|U ?I) ?\+ ?I)) *$""))"),FALSE)</f>
        <v>0</v>
      </c>
      <c r="V33" s="37" t="b">
        <f>IFERROR(__xludf.DUMMYFUNCTION("if(isblank(A33),,REGEXMATCH(B33,""^((D ?\+ ?(U ?I|I ?U))|((I ?U|U ?I) ?\+ ?D)) *$""))"),FALSE)</f>
        <v>0</v>
      </c>
      <c r="W33" s="37" t="b">
        <f>IFERROR(__xludf.DUMMYFUNCTION("if(isblank(A33),,REGEXMATCH(B33,""^((U ?\+ ?(U ?I|I ?U))|((I ?U|U ?I) ?\+ ?U)) *$""))"),FALSE)</f>
        <v>0</v>
      </c>
      <c r="X33" s="37" t="b">
        <f>IFERROR(__xludf.DUMMYFUNCTION("if(isblank(A33),,REGEXMATCH(B33,""^((N ?\+ ?(U ?I|I ?U))|((I ?U|U ?I) ?\+ ?N)) *$""))"),FALSE)</f>
        <v>0</v>
      </c>
      <c r="Y33" s="37" t="b">
        <f>IFERROR(__xludf.DUMMYFUNCTION("if(isblank(A33),,REGEXMATCH(B33,""^((I ?\+ ?(U ?D|D ?U))|((D ?U|U ?D) ?\+ ?I)) *$""))"),FALSE)</f>
        <v>0</v>
      </c>
      <c r="Z33" s="37" t="b">
        <f>IFERROR(__xludf.DUMMYFUNCTION("if(isblank(A33),,REGEXMATCH(B33,""^((D ?\+ ?(U ?D|D ?U))|((D ?U|U ?D) ?\+ ?D)) *$""))"),FALSE)</f>
        <v>0</v>
      </c>
      <c r="AA33" s="37" t="b">
        <f>IFERROR(__xludf.DUMMYFUNCTION("if(isblank(A33),,REGEXMATCH(B33,""^((U ?\+ ?(U ?D|D ?U))|((D ?U|U ?D) ?\+ ?U)) *$""))"),FALSE)</f>
        <v>0</v>
      </c>
      <c r="AB33" s="37" t="b">
        <f>IFERROR(__xludf.DUMMYFUNCTION("if(isblank(A33),,REGEXMATCH(B33,""^((D ?I|I ?D) ?\+ ?(D ?I|I ?D)) *$""))"),FALSE)</f>
        <v>0</v>
      </c>
      <c r="AC33" s="37" t="b">
        <f>IFERROR(__xludf.DUMMYFUNCTION("if(isblank(A33),,REGEXMATCH(B33,""^((D ?I|I ?D) ?\+ ?(U ?I|I ?U))|((U ?I|I ?U) ?\+ ?(D ?I|I ?D)) *$""))"),FALSE)</f>
        <v>0</v>
      </c>
      <c r="AD33" s="37" t="b">
        <f>IFERROR(__xludf.DUMMYFUNCTION("if(isblank(A33),,REGEXMATCH(B33,""^I *vs\. I *$""))"),TRUE)</f>
        <v>1</v>
      </c>
      <c r="AE33" s="37" t="b">
        <f>IFERROR(__xludf.DUMMYFUNCTION("if(isblank(A33),,REGEXMATCH(B33,""(^I *vs\. D *$)|(^D *vs\. I *$)""))"),FALSE)</f>
        <v>0</v>
      </c>
      <c r="AF33" s="37" t="b">
        <f>IFERROR(__xludf.DUMMYFUNCTION("if(isblank(A33),,REGEXMATCH(B33,""(^I *vs\. U *$)|(^U *vs\. I *$)""))"),FALSE)</f>
        <v>0</v>
      </c>
      <c r="AG33" s="37" t="b">
        <f>IFERROR(__xludf.DUMMYFUNCTION("if(isblank(A33),,REGEXMATCH(B33,""^D *vs\. D *$""))"),FALSE)</f>
        <v>0</v>
      </c>
      <c r="AH33" s="37" t="b">
        <f>IFERROR(__xludf.DUMMYFUNCTION("if(isblank(A33),,REGEXMATCH(B33,""(^U *vs\. D *$)|(^D *vs\. U *$)""))"),FALSE)</f>
        <v>0</v>
      </c>
      <c r="AI33" s="37" t="b">
        <f>IFERROR(__xludf.DUMMYFUNCTION("if(isblank(A33),,REGEXMATCH(B33,""^U *vs\. U *$""))"),FALSE)</f>
        <v>0</v>
      </c>
      <c r="AJ33" s="37" t="b">
        <f>IFERROR(__xludf.DUMMYFUNCTION("if(isblank(A33),,REGEXMATCH(B33,""^((I ?vs\. ?(D ?I|I ?D))|((D ?I|I ?D) ?vs\. ?I)) *$""))"),FALSE)</f>
        <v>0</v>
      </c>
      <c r="AK33" s="37" t="b">
        <f>IFERROR(__xludf.DUMMYFUNCTION("if(isblank(A33),,REGEXMATCH(B33,""^((D ?vs\. ?(D ?I|I ?D))|((D ?I|I ?D) ?vs\. ?D)) *$""))"),FALSE)</f>
        <v>0</v>
      </c>
      <c r="AL33" s="37" t="b">
        <f>IFERROR(__xludf.DUMMYFUNCTION("if(isblank(A33),,REGEXMATCH(B33,""^((U ?vs\. ?(D ?I|I ?D))|((D ?I|I ?D) ?vs\. ?U)) *$""))"),FALSE)</f>
        <v>0</v>
      </c>
      <c r="AM33" s="37" t="b">
        <f>IFERROR(__xludf.DUMMYFUNCTION("if(isblank(A33),,REGEXMATCH(B33,""^((I ?vs\. ?(U ?I|I ?U))|((U ?I|I ?U) ?vs\. ?I)) *$""))"),FALSE)</f>
        <v>0</v>
      </c>
      <c r="AN33" s="37" t="b">
        <f>IFERROR(__xludf.DUMMYFUNCTION("if(isblank(A33),,REGEXMATCH(B33,""^((D ?vs\. ?(U ?I|I ?U))|((U ?I|I ?U) ?vs\. ?D)) *$""))"),FALSE)</f>
        <v>0</v>
      </c>
      <c r="AO33" s="37" t="b">
        <f>IFERROR(__xludf.DUMMYFUNCTION("if(isblank(A33),,REGEXMATCH(B33,""^((U ?vs\. ?(U ?I|I ?U))|((U ?I|I ?U) ?vs\. ?U)) *$""))"),FALSE)</f>
        <v>0</v>
      </c>
      <c r="AP33" s="37" t="b">
        <f>IFERROR(__xludf.DUMMYFUNCTION("if(isblank(A33),,REGEXMATCH(B33,""^((I ?vs\. ?(U ?D|D ?U))|((D ?U|U ?D) ?vs\. ?I)) *$""))"),FALSE)</f>
        <v>0</v>
      </c>
      <c r="AQ33" s="37" t="b">
        <f>IFERROR(__xludf.DUMMYFUNCTION("if(isblank(A33),,REGEXMATCH(B33,""^((D ?vs\. ?(U ?D|D ?U))|((D ?U|U ?D) ?vs\. ?D)) *$""))"),FALSE)</f>
        <v>0</v>
      </c>
      <c r="AR33" s="37" t="b">
        <f>IFERROR(__xludf.DUMMYFUNCTION("if(isblank(A33),,REGEXMATCH(B33,""^((U ?vs\. ?(U ?D|D ?U))|((D ?U|U ?D) ?vs\. ?U)) *$""))"),FALSE)</f>
        <v>0</v>
      </c>
      <c r="AS33" s="37" t="b">
        <f>IFERROR(__xludf.DUMMYFUNCTION("if(isblank(A33),,REGEXMATCH(B33,""^((D ?I|I ?D) ?vs\. ?(D ?I|I ?D)) *$""))"),FALSE)</f>
        <v>0</v>
      </c>
      <c r="AT33" s="37" t="b">
        <f>IFERROR(__xludf.DUMMYFUNCTION("if(isblank(A33),,REGEXMATCH(B33,""^((D ?I|I ?D) ?vs\. ?(U ?I|I ?U))|((U ?I|I ?U) ?vs\. ?(D ?I|I ?D)) *$""))"),FALSE)</f>
        <v>0</v>
      </c>
      <c r="AU33" s="37" t="b">
        <f>IFERROR(__xludf.DUMMYFUNCTION("if(isblank(A33),,REGEXMATCH(B33,""^((D ?I|I ?D) ?vs\. ?(U ?D|D ?U))|((U ?D|D ?U) ?vs\. ?(D ?I|I ?D)) *$""))"),FALSE)</f>
        <v>0</v>
      </c>
      <c r="AV33" s="37" t="b">
        <f>IFERROR(__xludf.DUMMYFUNCTION("if(isblank(A33),,REGEXMATCH(B33,""^((U ?I|I ?U) ?vs\. ?(U ?I|I ?U)) *$""))"),FALSE)</f>
        <v>0</v>
      </c>
    </row>
    <row r="34" ht="26.25" customHeight="1">
      <c r="A34" s="79" t="str">
        <f>Paper_Textual_Conflict!M34</f>
        <v>I vs. I (text)</v>
      </c>
      <c r="B34" s="37" t="str">
        <f>IFERROR(__xludf.DUMMYFUNCTION("if(isblank(A34),,regexextract(REGEXEXTRACT(A34,""^.*""),""^[^(]*""))"),"I vs. I ")</f>
        <v>I vs. I </v>
      </c>
      <c r="C34" s="37" t="b">
        <f>IFERROR(__xludf.DUMMYFUNCTION("if(isblank(A34),,REGEXMATCH(B34,"".*\+.*"") )"),FALSE)</f>
        <v>0</v>
      </c>
      <c r="D34" s="37" t="b">
        <f>IFERROR(__xludf.DUMMYFUNCTION("if(isblank(A34),,REGEXMATCH(B34,"".*vs.*"") )"),TRUE)</f>
        <v>1</v>
      </c>
      <c r="E34" s="37" t="b">
        <f>Paper_Textual_Conflict!H34</f>
        <v>1</v>
      </c>
      <c r="F34" s="37" t="str">
        <f>Paper_Textual_Conflict!Q34</f>
        <v>Non-Java</v>
      </c>
      <c r="G34" s="33">
        <v>34.0</v>
      </c>
      <c r="H34" s="37" t="b">
        <f>IFERROR(__xludf.DUMMYFUNCTION("if(isblank(A34),,REGEXMATCH(B34,""^I *\+ I *$""))"),FALSE)</f>
        <v>0</v>
      </c>
      <c r="I34" s="37" t="b">
        <f>IFERROR(__xludf.DUMMYFUNCTION("if(isblank(A34),,REGEXMATCH(B34,""(^I *\+ D *$)|(^D *\+ I *$)""))"),FALSE)</f>
        <v>0</v>
      </c>
      <c r="J34" s="37" t="b">
        <f>IFERROR(__xludf.DUMMYFUNCTION("if(isblank(A34),,REGEXMATCH(B34,""(^I *\+ U *$)|(^U *\+ I *$)""))"),FALSE)</f>
        <v>0</v>
      </c>
      <c r="K34" s="37" t="b">
        <f>IFERROR(__xludf.DUMMYFUNCTION("if(isblank(A34),,REGEXMATCH(B34,""(^I *\+ N *$)|(^N *\+ I *$)"") )"),FALSE)</f>
        <v>0</v>
      </c>
      <c r="L34" s="37" t="b">
        <f>IFERROR(__xludf.DUMMYFUNCTION("if(isblank(A34),,REGEXMATCH(B34,""^D *\+ D *$""))"),FALSE)</f>
        <v>0</v>
      </c>
      <c r="M34" s="37" t="b">
        <f>IFERROR(__xludf.DUMMYFUNCTION("if(isblank(A34),,REGEXMATCH(B34,""(^U *\+ D *$)|(^D *\+ U *$)""))"),FALSE)</f>
        <v>0</v>
      </c>
      <c r="N34" s="37" t="b">
        <f>IFERROR(__xludf.DUMMYFUNCTION("if(isblank(A34),,REGEXMATCH(B34,""(^N *\+ D *$)|(^D *\+ N *$)""))"),FALSE)</f>
        <v>0</v>
      </c>
      <c r="O34" s="37" t="b">
        <f>IFERROR(__xludf.DUMMYFUNCTION("if(isblank(A34),,REGEXMATCH(B34,""^U *\+ U *$""))"),FALSE)</f>
        <v>0</v>
      </c>
      <c r="P34" s="37" t="b">
        <f>IFERROR(__xludf.DUMMYFUNCTION("if(isblank(A34),,REGEXMATCH(B34,""(^U *\+ N *$)|(^N *\+ U *$)""))"),FALSE)</f>
        <v>0</v>
      </c>
      <c r="Q34" s="37" t="b">
        <f>IFERROR(__xludf.DUMMYFUNCTION("if(isblank(A34),,REGEXMATCH(B34,""^((I ?\+ ?(D ?I|I ?D))|((D ?I|I ?D) ?\+ ?I)) *$""))"),FALSE)</f>
        <v>0</v>
      </c>
      <c r="R34" s="37" t="b">
        <f>IFERROR(__xludf.DUMMYFUNCTION("if(isblank(A34),,REGEXMATCH(B34,""^((D ?\+ ?(D ?I|I ?D))|((D ?I|I ?D) ?\+ ?D)) *$""))"),FALSE)</f>
        <v>0</v>
      </c>
      <c r="S34" s="37" t="b">
        <f>IFERROR(__xludf.DUMMYFUNCTION("if(isblank(A34),,REGEXMATCH(B34,""^((U ?\+ ?(D ?I|I ?D))|((D ?I|I ?D) ?\+ ?U)) *$""))"),FALSE)</f>
        <v>0</v>
      </c>
      <c r="T34" s="37" t="b">
        <f>IFERROR(__xludf.DUMMYFUNCTION("if(isblank(A34),,REGEXMATCH(B34,""^((N ?\+ ?(D ?I|I ?D))|((D ?I|I ?D) ?\+ ?N)) *$""))"),FALSE)</f>
        <v>0</v>
      </c>
      <c r="U34" s="37" t="b">
        <f>IFERROR(__xludf.DUMMYFUNCTION("if(isblank(A34),,REGEXMATCH(B34,""^((I ?\+ ?(U ?I|I ?U))|((I ?U|U ?I) ?\+ ?I)) *$""))"),FALSE)</f>
        <v>0</v>
      </c>
      <c r="V34" s="37" t="b">
        <f>IFERROR(__xludf.DUMMYFUNCTION("if(isblank(A34),,REGEXMATCH(B34,""^((D ?\+ ?(U ?I|I ?U))|((I ?U|U ?I) ?\+ ?D)) *$""))"),FALSE)</f>
        <v>0</v>
      </c>
      <c r="W34" s="37" t="b">
        <f>IFERROR(__xludf.DUMMYFUNCTION("if(isblank(A34),,REGEXMATCH(B34,""^((U ?\+ ?(U ?I|I ?U))|((I ?U|U ?I) ?\+ ?U)) *$""))"),FALSE)</f>
        <v>0</v>
      </c>
      <c r="X34" s="37" t="b">
        <f>IFERROR(__xludf.DUMMYFUNCTION("if(isblank(A34),,REGEXMATCH(B34,""^((N ?\+ ?(U ?I|I ?U))|((I ?U|U ?I) ?\+ ?N)) *$""))"),FALSE)</f>
        <v>0</v>
      </c>
      <c r="Y34" s="37" t="b">
        <f>IFERROR(__xludf.DUMMYFUNCTION("if(isblank(A34),,REGEXMATCH(B34,""^((I ?\+ ?(U ?D|D ?U))|((D ?U|U ?D) ?\+ ?I)) *$""))"),FALSE)</f>
        <v>0</v>
      </c>
      <c r="Z34" s="37" t="b">
        <f>IFERROR(__xludf.DUMMYFUNCTION("if(isblank(A34),,REGEXMATCH(B34,""^((D ?\+ ?(U ?D|D ?U))|((D ?U|U ?D) ?\+ ?D)) *$""))"),FALSE)</f>
        <v>0</v>
      </c>
      <c r="AA34" s="37" t="b">
        <f>IFERROR(__xludf.DUMMYFUNCTION("if(isblank(A34),,REGEXMATCH(B34,""^((U ?\+ ?(U ?D|D ?U))|((D ?U|U ?D) ?\+ ?U)) *$""))"),FALSE)</f>
        <v>0</v>
      </c>
      <c r="AB34" s="37" t="b">
        <f>IFERROR(__xludf.DUMMYFUNCTION("if(isblank(A34),,REGEXMATCH(B34,""^((D ?I|I ?D) ?\+ ?(D ?I|I ?D)) *$""))"),FALSE)</f>
        <v>0</v>
      </c>
      <c r="AC34" s="37" t="b">
        <f>IFERROR(__xludf.DUMMYFUNCTION("if(isblank(A34),,REGEXMATCH(B34,""^((D ?I|I ?D) ?\+ ?(U ?I|I ?U))|((U ?I|I ?U) ?\+ ?(D ?I|I ?D)) *$""))"),FALSE)</f>
        <v>0</v>
      </c>
      <c r="AD34" s="37" t="b">
        <f>IFERROR(__xludf.DUMMYFUNCTION("if(isblank(A34),,REGEXMATCH(B34,""^I *vs\. I *$""))"),TRUE)</f>
        <v>1</v>
      </c>
      <c r="AE34" s="37" t="b">
        <f>IFERROR(__xludf.DUMMYFUNCTION("if(isblank(A34),,REGEXMATCH(B34,""(^I *vs\. D *$)|(^D *vs\. I *$)""))"),FALSE)</f>
        <v>0</v>
      </c>
      <c r="AF34" s="37" t="b">
        <f>IFERROR(__xludf.DUMMYFUNCTION("if(isblank(A34),,REGEXMATCH(B34,""(^I *vs\. U *$)|(^U *vs\. I *$)""))"),FALSE)</f>
        <v>0</v>
      </c>
      <c r="AG34" s="37" t="b">
        <f>IFERROR(__xludf.DUMMYFUNCTION("if(isblank(A34),,REGEXMATCH(B34,""^D *vs\. D *$""))"),FALSE)</f>
        <v>0</v>
      </c>
      <c r="AH34" s="37" t="b">
        <f>IFERROR(__xludf.DUMMYFUNCTION("if(isblank(A34),,REGEXMATCH(B34,""(^U *vs\. D *$)|(^D *vs\. U *$)""))"),FALSE)</f>
        <v>0</v>
      </c>
      <c r="AI34" s="37" t="b">
        <f>IFERROR(__xludf.DUMMYFUNCTION("if(isblank(A34),,REGEXMATCH(B34,""^U *vs\. U *$""))"),FALSE)</f>
        <v>0</v>
      </c>
      <c r="AJ34" s="37" t="b">
        <f>IFERROR(__xludf.DUMMYFUNCTION("if(isblank(A34),,REGEXMATCH(B34,""^((I ?vs\. ?(D ?I|I ?D))|((D ?I|I ?D) ?vs\. ?I)) *$""))"),FALSE)</f>
        <v>0</v>
      </c>
      <c r="AK34" s="37" t="b">
        <f>IFERROR(__xludf.DUMMYFUNCTION("if(isblank(A34),,REGEXMATCH(B34,""^((D ?vs\. ?(D ?I|I ?D))|((D ?I|I ?D) ?vs\. ?D)) *$""))"),FALSE)</f>
        <v>0</v>
      </c>
      <c r="AL34" s="37" t="b">
        <f>IFERROR(__xludf.DUMMYFUNCTION("if(isblank(A34),,REGEXMATCH(B34,""^((U ?vs\. ?(D ?I|I ?D))|((D ?I|I ?D) ?vs\. ?U)) *$""))"),FALSE)</f>
        <v>0</v>
      </c>
      <c r="AM34" s="37" t="b">
        <f>IFERROR(__xludf.DUMMYFUNCTION("if(isblank(A34),,REGEXMATCH(B34,""^((I ?vs\. ?(U ?I|I ?U))|((U ?I|I ?U) ?vs\. ?I)) *$""))"),FALSE)</f>
        <v>0</v>
      </c>
      <c r="AN34" s="37" t="b">
        <f>IFERROR(__xludf.DUMMYFUNCTION("if(isblank(A34),,REGEXMATCH(B34,""^((D ?vs\. ?(U ?I|I ?U))|((U ?I|I ?U) ?vs\. ?D)) *$""))"),FALSE)</f>
        <v>0</v>
      </c>
      <c r="AO34" s="37" t="b">
        <f>IFERROR(__xludf.DUMMYFUNCTION("if(isblank(A34),,REGEXMATCH(B34,""^((U ?vs\. ?(U ?I|I ?U))|((U ?I|I ?U) ?vs\. ?U)) *$""))"),FALSE)</f>
        <v>0</v>
      </c>
      <c r="AP34" s="37" t="b">
        <f>IFERROR(__xludf.DUMMYFUNCTION("if(isblank(A34),,REGEXMATCH(B34,""^((I ?vs\. ?(U ?D|D ?U))|((D ?U|U ?D) ?vs\. ?I)) *$""))"),FALSE)</f>
        <v>0</v>
      </c>
      <c r="AQ34" s="37" t="b">
        <f>IFERROR(__xludf.DUMMYFUNCTION("if(isblank(A34),,REGEXMATCH(B34,""^((D ?vs\. ?(U ?D|D ?U))|((D ?U|U ?D) ?vs\. ?D)) *$""))"),FALSE)</f>
        <v>0</v>
      </c>
      <c r="AR34" s="37" t="b">
        <f>IFERROR(__xludf.DUMMYFUNCTION("if(isblank(A34),,REGEXMATCH(B34,""^((U ?vs\. ?(U ?D|D ?U))|((D ?U|U ?D) ?vs\. ?U)) *$""))"),FALSE)</f>
        <v>0</v>
      </c>
      <c r="AS34" s="37" t="b">
        <f>IFERROR(__xludf.DUMMYFUNCTION("if(isblank(A34),,REGEXMATCH(B34,""^((D ?I|I ?D) ?vs\. ?(D ?I|I ?D)) *$""))"),FALSE)</f>
        <v>0</v>
      </c>
      <c r="AT34" s="37" t="b">
        <f>IFERROR(__xludf.DUMMYFUNCTION("if(isblank(A34),,REGEXMATCH(B34,""^((D ?I|I ?D) ?vs\. ?(U ?I|I ?U))|((U ?I|I ?U) ?vs\. ?(D ?I|I ?D)) *$""))"),FALSE)</f>
        <v>0</v>
      </c>
      <c r="AU34" s="37" t="b">
        <f>IFERROR(__xludf.DUMMYFUNCTION("if(isblank(A34),,REGEXMATCH(B34,""^((D ?I|I ?D) ?vs\. ?(U ?D|D ?U))|((U ?D|D ?U) ?vs\. ?(D ?I|I ?D)) *$""))"),FALSE)</f>
        <v>0</v>
      </c>
      <c r="AV34" s="37" t="b">
        <f>IFERROR(__xludf.DUMMYFUNCTION("if(isblank(A34),,REGEXMATCH(B34,""^((U ?I|I ?U) ?vs\. ?(U ?I|I ?U)) *$""))"),FALSE)</f>
        <v>0</v>
      </c>
    </row>
    <row r="35" ht="26.25" customHeight="1">
      <c r="A35" s="79" t="str">
        <f>Paper_Textual_Conflict!M35</f>
        <v>D vs. D(text)</v>
      </c>
      <c r="B35" s="37" t="str">
        <f>IFERROR(__xludf.DUMMYFUNCTION("if(isblank(A35),,regexextract(REGEXEXTRACT(A35,""^.*""),""^[^(]*""))"),"D vs. D")</f>
        <v>D vs. D</v>
      </c>
      <c r="C35" s="37" t="b">
        <f>IFERROR(__xludf.DUMMYFUNCTION("if(isblank(A35),,REGEXMATCH(B35,"".*\+.*"") )"),FALSE)</f>
        <v>0</v>
      </c>
      <c r="D35" s="37" t="b">
        <f>IFERROR(__xludf.DUMMYFUNCTION("if(isblank(A35),,REGEXMATCH(B35,"".*vs.*"") )"),TRUE)</f>
        <v>1</v>
      </c>
      <c r="E35" s="37" t="b">
        <f>Paper_Textual_Conflict!H35</f>
        <v>1</v>
      </c>
      <c r="F35" s="37" t="str">
        <f>Paper_Textual_Conflict!Q35</f>
        <v>Non-Java</v>
      </c>
      <c r="G35" s="33">
        <v>35.0</v>
      </c>
      <c r="H35" s="37" t="b">
        <f>IFERROR(__xludf.DUMMYFUNCTION("if(isblank(A35),,REGEXMATCH(B35,""^I *\+ I *$""))"),FALSE)</f>
        <v>0</v>
      </c>
      <c r="I35" s="37" t="b">
        <f>IFERROR(__xludf.DUMMYFUNCTION("if(isblank(A35),,REGEXMATCH(B35,""(^I *\+ D *$)|(^D *\+ I *$)""))"),FALSE)</f>
        <v>0</v>
      </c>
      <c r="J35" s="37" t="b">
        <f>IFERROR(__xludf.DUMMYFUNCTION("if(isblank(A35),,REGEXMATCH(B35,""(^I *\+ U *$)|(^U *\+ I *$)""))"),FALSE)</f>
        <v>0</v>
      </c>
      <c r="K35" s="37" t="b">
        <f>IFERROR(__xludf.DUMMYFUNCTION("if(isblank(A35),,REGEXMATCH(B35,""(^I *\+ N *$)|(^N *\+ I *$)"") )"),FALSE)</f>
        <v>0</v>
      </c>
      <c r="L35" s="37" t="b">
        <f>IFERROR(__xludf.DUMMYFUNCTION("if(isblank(A35),,REGEXMATCH(B35,""^D *\+ D *$""))"),FALSE)</f>
        <v>0</v>
      </c>
      <c r="M35" s="37" t="b">
        <f>IFERROR(__xludf.DUMMYFUNCTION("if(isblank(A35),,REGEXMATCH(B35,""(^U *\+ D *$)|(^D *\+ U *$)""))"),FALSE)</f>
        <v>0</v>
      </c>
      <c r="N35" s="37" t="b">
        <f>IFERROR(__xludf.DUMMYFUNCTION("if(isblank(A35),,REGEXMATCH(B35,""(^N *\+ D *$)|(^D *\+ N *$)""))"),FALSE)</f>
        <v>0</v>
      </c>
      <c r="O35" s="37" t="b">
        <f>IFERROR(__xludf.DUMMYFUNCTION("if(isblank(A35),,REGEXMATCH(B35,""^U *\+ U *$""))"),FALSE)</f>
        <v>0</v>
      </c>
      <c r="P35" s="37" t="b">
        <f>IFERROR(__xludf.DUMMYFUNCTION("if(isblank(A35),,REGEXMATCH(B35,""(^U *\+ N *$)|(^N *\+ U *$)""))"),FALSE)</f>
        <v>0</v>
      </c>
      <c r="Q35" s="37" t="b">
        <f>IFERROR(__xludf.DUMMYFUNCTION("if(isblank(A35),,REGEXMATCH(B35,""^((I ?\+ ?(D ?I|I ?D))|((D ?I|I ?D) ?\+ ?I)) *$""))"),FALSE)</f>
        <v>0</v>
      </c>
      <c r="R35" s="37" t="b">
        <f>IFERROR(__xludf.DUMMYFUNCTION("if(isblank(A35),,REGEXMATCH(B35,""^((D ?\+ ?(D ?I|I ?D))|((D ?I|I ?D) ?\+ ?D)) *$""))"),FALSE)</f>
        <v>0</v>
      </c>
      <c r="S35" s="37" t="b">
        <f>IFERROR(__xludf.DUMMYFUNCTION("if(isblank(A35),,REGEXMATCH(B35,""^((U ?\+ ?(D ?I|I ?D))|((D ?I|I ?D) ?\+ ?U)) *$""))"),FALSE)</f>
        <v>0</v>
      </c>
      <c r="T35" s="37" t="b">
        <f>IFERROR(__xludf.DUMMYFUNCTION("if(isblank(A35),,REGEXMATCH(B35,""^((N ?\+ ?(D ?I|I ?D))|((D ?I|I ?D) ?\+ ?N)) *$""))"),FALSE)</f>
        <v>0</v>
      </c>
      <c r="U35" s="37" t="b">
        <f>IFERROR(__xludf.DUMMYFUNCTION("if(isblank(A35),,REGEXMATCH(B35,""^((I ?\+ ?(U ?I|I ?U))|((I ?U|U ?I) ?\+ ?I)) *$""))"),FALSE)</f>
        <v>0</v>
      </c>
      <c r="V35" s="37" t="b">
        <f>IFERROR(__xludf.DUMMYFUNCTION("if(isblank(A35),,REGEXMATCH(B35,""^((D ?\+ ?(U ?I|I ?U))|((I ?U|U ?I) ?\+ ?D)) *$""))"),FALSE)</f>
        <v>0</v>
      </c>
      <c r="W35" s="37" t="b">
        <f>IFERROR(__xludf.DUMMYFUNCTION("if(isblank(A35),,REGEXMATCH(B35,""^((U ?\+ ?(U ?I|I ?U))|((I ?U|U ?I) ?\+ ?U)) *$""))"),FALSE)</f>
        <v>0</v>
      </c>
      <c r="X35" s="37" t="b">
        <f>IFERROR(__xludf.DUMMYFUNCTION("if(isblank(A35),,REGEXMATCH(B35,""^((N ?\+ ?(U ?I|I ?U))|((I ?U|U ?I) ?\+ ?N)) *$""))"),FALSE)</f>
        <v>0</v>
      </c>
      <c r="Y35" s="37" t="b">
        <f>IFERROR(__xludf.DUMMYFUNCTION("if(isblank(A35),,REGEXMATCH(B35,""^((I ?\+ ?(U ?D|D ?U))|((D ?U|U ?D) ?\+ ?I)) *$""))"),FALSE)</f>
        <v>0</v>
      </c>
      <c r="Z35" s="37" t="b">
        <f>IFERROR(__xludf.DUMMYFUNCTION("if(isblank(A35),,REGEXMATCH(B35,""^((D ?\+ ?(U ?D|D ?U))|((D ?U|U ?D) ?\+ ?D)) *$""))"),FALSE)</f>
        <v>0</v>
      </c>
      <c r="AA35" s="37" t="b">
        <f>IFERROR(__xludf.DUMMYFUNCTION("if(isblank(A35),,REGEXMATCH(B35,""^((U ?\+ ?(U ?D|D ?U))|((D ?U|U ?D) ?\+ ?U)) *$""))"),FALSE)</f>
        <v>0</v>
      </c>
      <c r="AB35" s="37" t="b">
        <f>IFERROR(__xludf.DUMMYFUNCTION("if(isblank(A35),,REGEXMATCH(B35,""^((D ?I|I ?D) ?\+ ?(D ?I|I ?D)) *$""))"),FALSE)</f>
        <v>0</v>
      </c>
      <c r="AC35" s="37" t="b">
        <f>IFERROR(__xludf.DUMMYFUNCTION("if(isblank(A35),,REGEXMATCH(B35,""^((D ?I|I ?D) ?\+ ?(U ?I|I ?U))|((U ?I|I ?U) ?\+ ?(D ?I|I ?D)) *$""))"),FALSE)</f>
        <v>0</v>
      </c>
      <c r="AD35" s="37" t="b">
        <f>IFERROR(__xludf.DUMMYFUNCTION("if(isblank(A35),,REGEXMATCH(B35,""^I *vs\. I *$""))"),FALSE)</f>
        <v>0</v>
      </c>
      <c r="AE35" s="37" t="b">
        <f>IFERROR(__xludf.DUMMYFUNCTION("if(isblank(A35),,REGEXMATCH(B35,""(^I *vs\. D *$)|(^D *vs\. I *$)""))"),FALSE)</f>
        <v>0</v>
      </c>
      <c r="AF35" s="37" t="b">
        <f>IFERROR(__xludf.DUMMYFUNCTION("if(isblank(A35),,REGEXMATCH(B35,""(^I *vs\. U *$)|(^U *vs\. I *$)""))"),FALSE)</f>
        <v>0</v>
      </c>
      <c r="AG35" s="37" t="b">
        <f>IFERROR(__xludf.DUMMYFUNCTION("if(isblank(A35),,REGEXMATCH(B35,""^D *vs\. D *$""))"),TRUE)</f>
        <v>1</v>
      </c>
      <c r="AH35" s="37" t="b">
        <f>IFERROR(__xludf.DUMMYFUNCTION("if(isblank(A35),,REGEXMATCH(B35,""(^U *vs\. D *$)|(^D *vs\. U *$)""))"),FALSE)</f>
        <v>0</v>
      </c>
      <c r="AI35" s="37" t="b">
        <f>IFERROR(__xludf.DUMMYFUNCTION("if(isblank(A35),,REGEXMATCH(B35,""^U *vs\. U *$""))"),FALSE)</f>
        <v>0</v>
      </c>
      <c r="AJ35" s="37" t="b">
        <f>IFERROR(__xludf.DUMMYFUNCTION("if(isblank(A35),,REGEXMATCH(B35,""^((I ?vs\. ?(D ?I|I ?D))|((D ?I|I ?D) ?vs\. ?I)) *$""))"),FALSE)</f>
        <v>0</v>
      </c>
      <c r="AK35" s="37" t="b">
        <f>IFERROR(__xludf.DUMMYFUNCTION("if(isblank(A35),,REGEXMATCH(B35,""^((D ?vs\. ?(D ?I|I ?D))|((D ?I|I ?D) ?vs\. ?D)) *$""))"),FALSE)</f>
        <v>0</v>
      </c>
      <c r="AL35" s="37" t="b">
        <f>IFERROR(__xludf.DUMMYFUNCTION("if(isblank(A35),,REGEXMATCH(B35,""^((U ?vs\. ?(D ?I|I ?D))|((D ?I|I ?D) ?vs\. ?U)) *$""))"),FALSE)</f>
        <v>0</v>
      </c>
      <c r="AM35" s="37" t="b">
        <f>IFERROR(__xludf.DUMMYFUNCTION("if(isblank(A35),,REGEXMATCH(B35,""^((I ?vs\. ?(U ?I|I ?U))|((U ?I|I ?U) ?vs\. ?I)) *$""))"),FALSE)</f>
        <v>0</v>
      </c>
      <c r="AN35" s="37" t="b">
        <f>IFERROR(__xludf.DUMMYFUNCTION("if(isblank(A35),,REGEXMATCH(B35,""^((D ?vs\. ?(U ?I|I ?U))|((U ?I|I ?U) ?vs\. ?D)) *$""))"),FALSE)</f>
        <v>0</v>
      </c>
      <c r="AO35" s="37" t="b">
        <f>IFERROR(__xludf.DUMMYFUNCTION("if(isblank(A35),,REGEXMATCH(B35,""^((U ?vs\. ?(U ?I|I ?U))|((U ?I|I ?U) ?vs\. ?U)) *$""))"),FALSE)</f>
        <v>0</v>
      </c>
      <c r="AP35" s="37" t="b">
        <f>IFERROR(__xludf.DUMMYFUNCTION("if(isblank(A35),,REGEXMATCH(B35,""^((I ?vs\. ?(U ?D|D ?U))|((D ?U|U ?D) ?vs\. ?I)) *$""))"),FALSE)</f>
        <v>0</v>
      </c>
      <c r="AQ35" s="37" t="b">
        <f>IFERROR(__xludf.DUMMYFUNCTION("if(isblank(A35),,REGEXMATCH(B35,""^((D ?vs\. ?(U ?D|D ?U))|((D ?U|U ?D) ?vs\. ?D)) *$""))"),FALSE)</f>
        <v>0</v>
      </c>
      <c r="AR35" s="37" t="b">
        <f>IFERROR(__xludf.DUMMYFUNCTION("if(isblank(A35),,REGEXMATCH(B35,""^((U ?vs\. ?(U ?D|D ?U))|((D ?U|U ?D) ?vs\. ?U)) *$""))"),FALSE)</f>
        <v>0</v>
      </c>
      <c r="AS35" s="37" t="b">
        <f>IFERROR(__xludf.DUMMYFUNCTION("if(isblank(A35),,REGEXMATCH(B35,""^((D ?I|I ?D) ?vs\. ?(D ?I|I ?D)) *$""))"),FALSE)</f>
        <v>0</v>
      </c>
      <c r="AT35" s="37" t="b">
        <f>IFERROR(__xludf.DUMMYFUNCTION("if(isblank(A35),,REGEXMATCH(B35,""^((D ?I|I ?D) ?vs\. ?(U ?I|I ?U))|((U ?I|I ?U) ?vs\. ?(D ?I|I ?D)) *$""))"),FALSE)</f>
        <v>0</v>
      </c>
      <c r="AU35" s="37" t="b">
        <f>IFERROR(__xludf.DUMMYFUNCTION("if(isblank(A35),,REGEXMATCH(B35,""^((D ?I|I ?D) ?vs\. ?(U ?D|D ?U))|((U ?D|D ?U) ?vs\. ?(D ?I|I ?D)) *$""))"),FALSE)</f>
        <v>0</v>
      </c>
      <c r="AV35" s="37" t="b">
        <f>IFERROR(__xludf.DUMMYFUNCTION("if(isblank(A35),,REGEXMATCH(B35,""^((U ?I|I ?U) ?vs\. ?(U ?I|I ?U)) *$""))"),FALSE)</f>
        <v>0</v>
      </c>
    </row>
    <row r="36" ht="26.25" customHeight="1">
      <c r="A36" s="79" t="str">
        <f>Paper_Textual_Conflict!M36</f>
        <v>I vs. I (the inserted Java code partially overlap, and partially differ)</v>
      </c>
      <c r="B36" s="37" t="str">
        <f>IFERROR(__xludf.DUMMYFUNCTION("if(isblank(A36),,regexextract(REGEXEXTRACT(A36,""^.*""),""^[^(]*""))"),"I vs. I ")</f>
        <v>I vs. I </v>
      </c>
      <c r="C36" s="37" t="b">
        <f>IFERROR(__xludf.DUMMYFUNCTION("if(isblank(A36),,REGEXMATCH(B36,"".*\+.*"") )"),FALSE)</f>
        <v>0</v>
      </c>
      <c r="D36" s="37" t="b">
        <f>IFERROR(__xludf.DUMMYFUNCTION("if(isblank(A36),,REGEXMATCH(B36,"".*vs.*"") )"),TRUE)</f>
        <v>1</v>
      </c>
      <c r="E36" s="37" t="b">
        <f>Paper_Textual_Conflict!H36</f>
        <v>1</v>
      </c>
      <c r="F36" s="37" t="str">
        <f>Paper_Textual_Conflict!Q36</f>
        <v>Java</v>
      </c>
      <c r="G36" s="33">
        <v>36.0</v>
      </c>
      <c r="H36" s="37" t="b">
        <f>IFERROR(__xludf.DUMMYFUNCTION("if(isblank(A36),,REGEXMATCH(B36,""^I *\+ I *$""))"),FALSE)</f>
        <v>0</v>
      </c>
      <c r="I36" s="37" t="b">
        <f>IFERROR(__xludf.DUMMYFUNCTION("if(isblank(A36),,REGEXMATCH(B36,""(^I *\+ D *$)|(^D *\+ I *$)""))"),FALSE)</f>
        <v>0</v>
      </c>
      <c r="J36" s="37" t="b">
        <f>IFERROR(__xludf.DUMMYFUNCTION("if(isblank(A36),,REGEXMATCH(B36,""(^I *\+ U *$)|(^U *\+ I *$)""))"),FALSE)</f>
        <v>0</v>
      </c>
      <c r="K36" s="37" t="b">
        <f>IFERROR(__xludf.DUMMYFUNCTION("if(isblank(A36),,REGEXMATCH(B36,""(^I *\+ N *$)|(^N *\+ I *$)"") )"),FALSE)</f>
        <v>0</v>
      </c>
      <c r="L36" s="37" t="b">
        <f>IFERROR(__xludf.DUMMYFUNCTION("if(isblank(A36),,REGEXMATCH(B36,""^D *\+ D *$""))"),FALSE)</f>
        <v>0</v>
      </c>
      <c r="M36" s="37" t="b">
        <f>IFERROR(__xludf.DUMMYFUNCTION("if(isblank(A36),,REGEXMATCH(B36,""(^U *\+ D *$)|(^D *\+ U *$)""))"),FALSE)</f>
        <v>0</v>
      </c>
      <c r="N36" s="37" t="b">
        <f>IFERROR(__xludf.DUMMYFUNCTION("if(isblank(A36),,REGEXMATCH(B36,""(^N *\+ D *$)|(^D *\+ N *$)""))"),FALSE)</f>
        <v>0</v>
      </c>
      <c r="O36" s="37" t="b">
        <f>IFERROR(__xludf.DUMMYFUNCTION("if(isblank(A36),,REGEXMATCH(B36,""^U *\+ U *$""))"),FALSE)</f>
        <v>0</v>
      </c>
      <c r="P36" s="37" t="b">
        <f>IFERROR(__xludf.DUMMYFUNCTION("if(isblank(A36),,REGEXMATCH(B36,""(^U *\+ N *$)|(^N *\+ U *$)""))"),FALSE)</f>
        <v>0</v>
      </c>
      <c r="Q36" s="37" t="b">
        <f>IFERROR(__xludf.DUMMYFUNCTION("if(isblank(A36),,REGEXMATCH(B36,""^((I ?\+ ?(D ?I|I ?D))|((D ?I|I ?D) ?\+ ?I)) *$""))"),FALSE)</f>
        <v>0</v>
      </c>
      <c r="R36" s="37" t="b">
        <f>IFERROR(__xludf.DUMMYFUNCTION("if(isblank(A36),,REGEXMATCH(B36,""^((D ?\+ ?(D ?I|I ?D))|((D ?I|I ?D) ?\+ ?D)) *$""))"),FALSE)</f>
        <v>0</v>
      </c>
      <c r="S36" s="37" t="b">
        <f>IFERROR(__xludf.DUMMYFUNCTION("if(isblank(A36),,REGEXMATCH(B36,""^((U ?\+ ?(D ?I|I ?D))|((D ?I|I ?D) ?\+ ?U)) *$""))"),FALSE)</f>
        <v>0</v>
      </c>
      <c r="T36" s="37" t="b">
        <f>IFERROR(__xludf.DUMMYFUNCTION("if(isblank(A36),,REGEXMATCH(B36,""^((N ?\+ ?(D ?I|I ?D))|((D ?I|I ?D) ?\+ ?N)) *$""))"),FALSE)</f>
        <v>0</v>
      </c>
      <c r="U36" s="37" t="b">
        <f>IFERROR(__xludf.DUMMYFUNCTION("if(isblank(A36),,REGEXMATCH(B36,""^((I ?\+ ?(U ?I|I ?U))|((I ?U|U ?I) ?\+ ?I)) *$""))"),FALSE)</f>
        <v>0</v>
      </c>
      <c r="V36" s="37" t="b">
        <f>IFERROR(__xludf.DUMMYFUNCTION("if(isblank(A36),,REGEXMATCH(B36,""^((D ?\+ ?(U ?I|I ?U))|((I ?U|U ?I) ?\+ ?D)) *$""))"),FALSE)</f>
        <v>0</v>
      </c>
      <c r="W36" s="37" t="b">
        <f>IFERROR(__xludf.DUMMYFUNCTION("if(isblank(A36),,REGEXMATCH(B36,""^((U ?\+ ?(U ?I|I ?U))|((I ?U|U ?I) ?\+ ?U)) *$""))"),FALSE)</f>
        <v>0</v>
      </c>
      <c r="X36" s="37" t="b">
        <f>IFERROR(__xludf.DUMMYFUNCTION("if(isblank(A36),,REGEXMATCH(B36,""^((N ?\+ ?(U ?I|I ?U))|((I ?U|U ?I) ?\+ ?N)) *$""))"),FALSE)</f>
        <v>0</v>
      </c>
      <c r="Y36" s="37" t="b">
        <f>IFERROR(__xludf.DUMMYFUNCTION("if(isblank(A36),,REGEXMATCH(B36,""^((I ?\+ ?(U ?D|D ?U))|((D ?U|U ?D) ?\+ ?I)) *$""))"),FALSE)</f>
        <v>0</v>
      </c>
      <c r="Z36" s="37" t="b">
        <f>IFERROR(__xludf.DUMMYFUNCTION("if(isblank(A36),,REGEXMATCH(B36,""^((D ?\+ ?(U ?D|D ?U))|((D ?U|U ?D) ?\+ ?D)) *$""))"),FALSE)</f>
        <v>0</v>
      </c>
      <c r="AA36" s="37" t="b">
        <f>IFERROR(__xludf.DUMMYFUNCTION("if(isblank(A36),,REGEXMATCH(B36,""^((U ?\+ ?(U ?D|D ?U))|((D ?U|U ?D) ?\+ ?U)) *$""))"),FALSE)</f>
        <v>0</v>
      </c>
      <c r="AB36" s="37" t="b">
        <f>IFERROR(__xludf.DUMMYFUNCTION("if(isblank(A36),,REGEXMATCH(B36,""^((D ?I|I ?D) ?\+ ?(D ?I|I ?D)) *$""))"),FALSE)</f>
        <v>0</v>
      </c>
      <c r="AC36" s="37" t="b">
        <f>IFERROR(__xludf.DUMMYFUNCTION("if(isblank(A36),,REGEXMATCH(B36,""^((D ?I|I ?D) ?\+ ?(U ?I|I ?U))|((U ?I|I ?U) ?\+ ?(D ?I|I ?D)) *$""))"),FALSE)</f>
        <v>0</v>
      </c>
      <c r="AD36" s="37" t="b">
        <f>IFERROR(__xludf.DUMMYFUNCTION("if(isblank(A36),,REGEXMATCH(B36,""^I *vs\. I *$""))"),TRUE)</f>
        <v>1</v>
      </c>
      <c r="AE36" s="37" t="b">
        <f>IFERROR(__xludf.DUMMYFUNCTION("if(isblank(A36),,REGEXMATCH(B36,""(^I *vs\. D *$)|(^D *vs\. I *$)""))"),FALSE)</f>
        <v>0</v>
      </c>
      <c r="AF36" s="37" t="b">
        <f>IFERROR(__xludf.DUMMYFUNCTION("if(isblank(A36),,REGEXMATCH(B36,""(^I *vs\. U *$)|(^U *vs\. I *$)""))"),FALSE)</f>
        <v>0</v>
      </c>
      <c r="AG36" s="37" t="b">
        <f>IFERROR(__xludf.DUMMYFUNCTION("if(isblank(A36),,REGEXMATCH(B36,""^D *vs\. D *$""))"),FALSE)</f>
        <v>0</v>
      </c>
      <c r="AH36" s="37" t="b">
        <f>IFERROR(__xludf.DUMMYFUNCTION("if(isblank(A36),,REGEXMATCH(B36,""(^U *vs\. D *$)|(^D *vs\. U *$)""))"),FALSE)</f>
        <v>0</v>
      </c>
      <c r="AI36" s="37" t="b">
        <f>IFERROR(__xludf.DUMMYFUNCTION("if(isblank(A36),,REGEXMATCH(B36,""^U *vs\. U *$""))"),FALSE)</f>
        <v>0</v>
      </c>
      <c r="AJ36" s="37" t="b">
        <f>IFERROR(__xludf.DUMMYFUNCTION("if(isblank(A36),,REGEXMATCH(B36,""^((I ?vs\. ?(D ?I|I ?D))|((D ?I|I ?D) ?vs\. ?I)) *$""))"),FALSE)</f>
        <v>0</v>
      </c>
      <c r="AK36" s="37" t="b">
        <f>IFERROR(__xludf.DUMMYFUNCTION("if(isblank(A36),,REGEXMATCH(B36,""^((D ?vs\. ?(D ?I|I ?D))|((D ?I|I ?D) ?vs\. ?D)) *$""))"),FALSE)</f>
        <v>0</v>
      </c>
      <c r="AL36" s="37" t="b">
        <f>IFERROR(__xludf.DUMMYFUNCTION("if(isblank(A36),,REGEXMATCH(B36,""^((U ?vs\. ?(D ?I|I ?D))|((D ?I|I ?D) ?vs\. ?U)) *$""))"),FALSE)</f>
        <v>0</v>
      </c>
      <c r="AM36" s="37" t="b">
        <f>IFERROR(__xludf.DUMMYFUNCTION("if(isblank(A36),,REGEXMATCH(B36,""^((I ?vs\. ?(U ?I|I ?U))|((U ?I|I ?U) ?vs\. ?I)) *$""))"),FALSE)</f>
        <v>0</v>
      </c>
      <c r="AN36" s="37" t="b">
        <f>IFERROR(__xludf.DUMMYFUNCTION("if(isblank(A36),,REGEXMATCH(B36,""^((D ?vs\. ?(U ?I|I ?U))|((U ?I|I ?U) ?vs\. ?D)) *$""))"),FALSE)</f>
        <v>0</v>
      </c>
      <c r="AO36" s="37" t="b">
        <f>IFERROR(__xludf.DUMMYFUNCTION("if(isblank(A36),,REGEXMATCH(B36,""^((U ?vs\. ?(U ?I|I ?U))|((U ?I|I ?U) ?vs\. ?U)) *$""))"),FALSE)</f>
        <v>0</v>
      </c>
      <c r="AP36" s="37" t="b">
        <f>IFERROR(__xludf.DUMMYFUNCTION("if(isblank(A36),,REGEXMATCH(B36,""^((I ?vs\. ?(U ?D|D ?U))|((D ?U|U ?D) ?vs\. ?I)) *$""))"),FALSE)</f>
        <v>0</v>
      </c>
      <c r="AQ36" s="37" t="b">
        <f>IFERROR(__xludf.DUMMYFUNCTION("if(isblank(A36),,REGEXMATCH(B36,""^((D ?vs\. ?(U ?D|D ?U))|((D ?U|U ?D) ?vs\. ?D)) *$""))"),FALSE)</f>
        <v>0</v>
      </c>
      <c r="AR36" s="37" t="b">
        <f>IFERROR(__xludf.DUMMYFUNCTION("if(isblank(A36),,REGEXMATCH(B36,""^((U ?vs\. ?(U ?D|D ?U))|((D ?U|U ?D) ?vs\. ?U)) *$""))"),FALSE)</f>
        <v>0</v>
      </c>
      <c r="AS36" s="37" t="b">
        <f>IFERROR(__xludf.DUMMYFUNCTION("if(isblank(A36),,REGEXMATCH(B36,""^((D ?I|I ?D) ?vs\. ?(D ?I|I ?D)) *$""))"),FALSE)</f>
        <v>0</v>
      </c>
      <c r="AT36" s="37" t="b">
        <f>IFERROR(__xludf.DUMMYFUNCTION("if(isblank(A36),,REGEXMATCH(B36,""^((D ?I|I ?D) ?vs\. ?(U ?I|I ?U))|((U ?I|I ?U) ?vs\. ?(D ?I|I ?D)) *$""))"),FALSE)</f>
        <v>0</v>
      </c>
      <c r="AU36" s="37" t="b">
        <f>IFERROR(__xludf.DUMMYFUNCTION("if(isblank(A36),,REGEXMATCH(B36,""^((D ?I|I ?D) ?vs\. ?(U ?D|D ?U))|((U ?D|D ?U) ?vs\. ?(D ?I|I ?D)) *$""))"),FALSE)</f>
        <v>0</v>
      </c>
      <c r="AV36" s="37" t="b">
        <f>IFERROR(__xludf.DUMMYFUNCTION("if(isblank(A36),,REGEXMATCH(B36,""^((U ?I|I ?U) ?vs\. ?(U ?I|I ?U)) *$""))"),FALSE)</f>
        <v>0</v>
      </c>
    </row>
    <row r="37" ht="26.25" customHeight="1">
      <c r="A37" s="79" t="str">
        <f>Paper_Textual_Conflict!M37</f>
        <v>U vs. U (version no) L &gt; R version</v>
      </c>
      <c r="B37" s="37" t="str">
        <f>IFERROR(__xludf.DUMMYFUNCTION("if(isblank(A37),,regexextract(REGEXEXTRACT(A37,""^.*""),""^[^(]*""))"),"U vs. U ")</f>
        <v>U vs. U </v>
      </c>
      <c r="C37" s="37" t="b">
        <f>IFERROR(__xludf.DUMMYFUNCTION("if(isblank(A37),,REGEXMATCH(B37,"".*\+.*"") )"),FALSE)</f>
        <v>0</v>
      </c>
      <c r="D37" s="37" t="b">
        <f>IFERROR(__xludf.DUMMYFUNCTION("if(isblank(A37),,REGEXMATCH(B37,"".*vs.*"") )"),TRUE)</f>
        <v>1</v>
      </c>
      <c r="E37" s="37" t="b">
        <f>Paper_Textual_Conflict!H37</f>
        <v>1</v>
      </c>
      <c r="F37" s="37" t="str">
        <f>Paper_Textual_Conflict!Q37</f>
        <v>Non-Java</v>
      </c>
      <c r="G37" s="33">
        <v>37.0</v>
      </c>
      <c r="H37" s="37" t="b">
        <f>IFERROR(__xludf.DUMMYFUNCTION("if(isblank(A37),,REGEXMATCH(B37,""^I *\+ I *$""))"),FALSE)</f>
        <v>0</v>
      </c>
      <c r="I37" s="37" t="b">
        <f>IFERROR(__xludf.DUMMYFUNCTION("if(isblank(A37),,REGEXMATCH(B37,""(^I *\+ D *$)|(^D *\+ I *$)""))"),FALSE)</f>
        <v>0</v>
      </c>
      <c r="J37" s="37" t="b">
        <f>IFERROR(__xludf.DUMMYFUNCTION("if(isblank(A37),,REGEXMATCH(B37,""(^I *\+ U *$)|(^U *\+ I *$)""))"),FALSE)</f>
        <v>0</v>
      </c>
      <c r="K37" s="37" t="b">
        <f>IFERROR(__xludf.DUMMYFUNCTION("if(isblank(A37),,REGEXMATCH(B37,""(^I *\+ N *$)|(^N *\+ I *$)"") )"),FALSE)</f>
        <v>0</v>
      </c>
      <c r="L37" s="37" t="b">
        <f>IFERROR(__xludf.DUMMYFUNCTION("if(isblank(A37),,REGEXMATCH(B37,""^D *\+ D *$""))"),FALSE)</f>
        <v>0</v>
      </c>
      <c r="M37" s="37" t="b">
        <f>IFERROR(__xludf.DUMMYFUNCTION("if(isblank(A37),,REGEXMATCH(B37,""(^U *\+ D *$)|(^D *\+ U *$)""))"),FALSE)</f>
        <v>0</v>
      </c>
      <c r="N37" s="37" t="b">
        <f>IFERROR(__xludf.DUMMYFUNCTION("if(isblank(A37),,REGEXMATCH(B37,""(^N *\+ D *$)|(^D *\+ N *$)""))"),FALSE)</f>
        <v>0</v>
      </c>
      <c r="O37" s="37" t="b">
        <f>IFERROR(__xludf.DUMMYFUNCTION("if(isblank(A37),,REGEXMATCH(B37,""^U *\+ U *$""))"),FALSE)</f>
        <v>0</v>
      </c>
      <c r="P37" s="37" t="b">
        <f>IFERROR(__xludf.DUMMYFUNCTION("if(isblank(A37),,REGEXMATCH(B37,""(^U *\+ N *$)|(^N *\+ U *$)""))"),FALSE)</f>
        <v>0</v>
      </c>
      <c r="Q37" s="37" t="b">
        <f>IFERROR(__xludf.DUMMYFUNCTION("if(isblank(A37),,REGEXMATCH(B37,""^((I ?\+ ?(D ?I|I ?D))|((D ?I|I ?D) ?\+ ?I)) *$""))"),FALSE)</f>
        <v>0</v>
      </c>
      <c r="R37" s="37" t="b">
        <f>IFERROR(__xludf.DUMMYFUNCTION("if(isblank(A37),,REGEXMATCH(B37,""^((D ?\+ ?(D ?I|I ?D))|((D ?I|I ?D) ?\+ ?D)) *$""))"),FALSE)</f>
        <v>0</v>
      </c>
      <c r="S37" s="37" t="b">
        <f>IFERROR(__xludf.DUMMYFUNCTION("if(isblank(A37),,REGEXMATCH(B37,""^((U ?\+ ?(D ?I|I ?D))|((D ?I|I ?D) ?\+ ?U)) *$""))"),FALSE)</f>
        <v>0</v>
      </c>
      <c r="T37" s="37" t="b">
        <f>IFERROR(__xludf.DUMMYFUNCTION("if(isblank(A37),,REGEXMATCH(B37,""^((N ?\+ ?(D ?I|I ?D))|((D ?I|I ?D) ?\+ ?N)) *$""))"),FALSE)</f>
        <v>0</v>
      </c>
      <c r="U37" s="37" t="b">
        <f>IFERROR(__xludf.DUMMYFUNCTION("if(isblank(A37),,REGEXMATCH(B37,""^((I ?\+ ?(U ?I|I ?U))|((I ?U|U ?I) ?\+ ?I)) *$""))"),FALSE)</f>
        <v>0</v>
      </c>
      <c r="V37" s="37" t="b">
        <f>IFERROR(__xludf.DUMMYFUNCTION("if(isblank(A37),,REGEXMATCH(B37,""^((D ?\+ ?(U ?I|I ?U))|((I ?U|U ?I) ?\+ ?D)) *$""))"),FALSE)</f>
        <v>0</v>
      </c>
      <c r="W37" s="37" t="b">
        <f>IFERROR(__xludf.DUMMYFUNCTION("if(isblank(A37),,REGEXMATCH(B37,""^((U ?\+ ?(U ?I|I ?U))|((I ?U|U ?I) ?\+ ?U)) *$""))"),FALSE)</f>
        <v>0</v>
      </c>
      <c r="X37" s="37" t="b">
        <f>IFERROR(__xludf.DUMMYFUNCTION("if(isblank(A37),,REGEXMATCH(B37,""^((N ?\+ ?(U ?I|I ?U))|((I ?U|U ?I) ?\+ ?N)) *$""))"),FALSE)</f>
        <v>0</v>
      </c>
      <c r="Y37" s="37" t="b">
        <f>IFERROR(__xludf.DUMMYFUNCTION("if(isblank(A37),,REGEXMATCH(B37,""^((I ?\+ ?(U ?D|D ?U))|((D ?U|U ?D) ?\+ ?I)) *$""))"),FALSE)</f>
        <v>0</v>
      </c>
      <c r="Z37" s="37" t="b">
        <f>IFERROR(__xludf.DUMMYFUNCTION("if(isblank(A37),,REGEXMATCH(B37,""^((D ?\+ ?(U ?D|D ?U))|((D ?U|U ?D) ?\+ ?D)) *$""))"),FALSE)</f>
        <v>0</v>
      </c>
      <c r="AA37" s="37" t="b">
        <f>IFERROR(__xludf.DUMMYFUNCTION("if(isblank(A37),,REGEXMATCH(B37,""^((U ?\+ ?(U ?D|D ?U))|((D ?U|U ?D) ?\+ ?U)) *$""))"),FALSE)</f>
        <v>0</v>
      </c>
      <c r="AB37" s="37" t="b">
        <f>IFERROR(__xludf.DUMMYFUNCTION("if(isblank(A37),,REGEXMATCH(B37,""^((D ?I|I ?D) ?\+ ?(D ?I|I ?D)) *$""))"),FALSE)</f>
        <v>0</v>
      </c>
      <c r="AC37" s="37" t="b">
        <f>IFERROR(__xludf.DUMMYFUNCTION("if(isblank(A37),,REGEXMATCH(B37,""^((D ?I|I ?D) ?\+ ?(U ?I|I ?U))|((U ?I|I ?U) ?\+ ?(D ?I|I ?D)) *$""))"),FALSE)</f>
        <v>0</v>
      </c>
      <c r="AD37" s="37" t="b">
        <f>IFERROR(__xludf.DUMMYFUNCTION("if(isblank(A37),,REGEXMATCH(B37,""^I *vs\. I *$""))"),FALSE)</f>
        <v>0</v>
      </c>
      <c r="AE37" s="37" t="b">
        <f>IFERROR(__xludf.DUMMYFUNCTION("if(isblank(A37),,REGEXMATCH(B37,""(^I *vs\. D *$)|(^D *vs\. I *$)""))"),FALSE)</f>
        <v>0</v>
      </c>
      <c r="AF37" s="37" t="b">
        <f>IFERROR(__xludf.DUMMYFUNCTION("if(isblank(A37),,REGEXMATCH(B37,""(^I *vs\. U *$)|(^U *vs\. I *$)""))"),FALSE)</f>
        <v>0</v>
      </c>
      <c r="AG37" s="37" t="b">
        <f>IFERROR(__xludf.DUMMYFUNCTION("if(isblank(A37),,REGEXMATCH(B37,""^D *vs\. D *$""))"),FALSE)</f>
        <v>0</v>
      </c>
      <c r="AH37" s="37" t="b">
        <f>IFERROR(__xludf.DUMMYFUNCTION("if(isblank(A37),,REGEXMATCH(B37,""(^U *vs\. D *$)|(^D *vs\. U *$)""))"),FALSE)</f>
        <v>0</v>
      </c>
      <c r="AI37" s="37" t="b">
        <f>IFERROR(__xludf.DUMMYFUNCTION("if(isblank(A37),,REGEXMATCH(B37,""^U *vs\. U *$""))"),TRUE)</f>
        <v>1</v>
      </c>
      <c r="AJ37" s="37" t="b">
        <f>IFERROR(__xludf.DUMMYFUNCTION("if(isblank(A37),,REGEXMATCH(B37,""^((I ?vs\. ?(D ?I|I ?D))|((D ?I|I ?D) ?vs\. ?I)) *$""))"),FALSE)</f>
        <v>0</v>
      </c>
      <c r="AK37" s="37" t="b">
        <f>IFERROR(__xludf.DUMMYFUNCTION("if(isblank(A37),,REGEXMATCH(B37,""^((D ?vs\. ?(D ?I|I ?D))|((D ?I|I ?D) ?vs\. ?D)) *$""))"),FALSE)</f>
        <v>0</v>
      </c>
      <c r="AL37" s="37" t="b">
        <f>IFERROR(__xludf.DUMMYFUNCTION("if(isblank(A37),,REGEXMATCH(B37,""^((U ?vs\. ?(D ?I|I ?D))|((D ?I|I ?D) ?vs\. ?U)) *$""))"),FALSE)</f>
        <v>0</v>
      </c>
      <c r="AM37" s="37" t="b">
        <f>IFERROR(__xludf.DUMMYFUNCTION("if(isblank(A37),,REGEXMATCH(B37,""^((I ?vs\. ?(U ?I|I ?U))|((U ?I|I ?U) ?vs\. ?I)) *$""))"),FALSE)</f>
        <v>0</v>
      </c>
      <c r="AN37" s="37" t="b">
        <f>IFERROR(__xludf.DUMMYFUNCTION("if(isblank(A37),,REGEXMATCH(B37,""^((D ?vs\. ?(U ?I|I ?U))|((U ?I|I ?U) ?vs\. ?D)) *$""))"),FALSE)</f>
        <v>0</v>
      </c>
      <c r="AO37" s="37" t="b">
        <f>IFERROR(__xludf.DUMMYFUNCTION("if(isblank(A37),,REGEXMATCH(B37,""^((U ?vs\. ?(U ?I|I ?U))|((U ?I|I ?U) ?vs\. ?U)) *$""))"),FALSE)</f>
        <v>0</v>
      </c>
      <c r="AP37" s="37" t="b">
        <f>IFERROR(__xludf.DUMMYFUNCTION("if(isblank(A37),,REGEXMATCH(B37,""^((I ?vs\. ?(U ?D|D ?U))|((D ?U|U ?D) ?vs\. ?I)) *$""))"),FALSE)</f>
        <v>0</v>
      </c>
      <c r="AQ37" s="37" t="b">
        <f>IFERROR(__xludf.DUMMYFUNCTION("if(isblank(A37),,REGEXMATCH(B37,""^((D ?vs\. ?(U ?D|D ?U))|((D ?U|U ?D) ?vs\. ?D)) *$""))"),FALSE)</f>
        <v>0</v>
      </c>
      <c r="AR37" s="37" t="b">
        <f>IFERROR(__xludf.DUMMYFUNCTION("if(isblank(A37),,REGEXMATCH(B37,""^((U ?vs\. ?(U ?D|D ?U))|((D ?U|U ?D) ?vs\. ?U)) *$""))"),FALSE)</f>
        <v>0</v>
      </c>
      <c r="AS37" s="37" t="b">
        <f>IFERROR(__xludf.DUMMYFUNCTION("if(isblank(A37),,REGEXMATCH(B37,""^((D ?I|I ?D) ?vs\. ?(D ?I|I ?D)) *$""))"),FALSE)</f>
        <v>0</v>
      </c>
      <c r="AT37" s="37" t="b">
        <f>IFERROR(__xludf.DUMMYFUNCTION("if(isblank(A37),,REGEXMATCH(B37,""^((D ?I|I ?D) ?vs\. ?(U ?I|I ?U))|((U ?I|I ?U) ?vs\. ?(D ?I|I ?D)) *$""))"),FALSE)</f>
        <v>0</v>
      </c>
      <c r="AU37" s="37" t="b">
        <f>IFERROR(__xludf.DUMMYFUNCTION("if(isblank(A37),,REGEXMATCH(B37,""^((D ?I|I ?D) ?vs\. ?(U ?D|D ?U))|((U ?D|D ?U) ?vs\. ?(D ?I|I ?D)) *$""))"),FALSE)</f>
        <v>0</v>
      </c>
      <c r="AV37" s="37" t="b">
        <f>IFERROR(__xludf.DUMMYFUNCTION("if(isblank(A37),,REGEXMATCH(B37,""^((U ?I|I ?U) ?vs\. ?(U ?I|I ?U)) *$""))"),FALSE)</f>
        <v>0</v>
      </c>
    </row>
    <row r="38" ht="26.25" customHeight="1">
      <c r="A38" s="79" t="str">
        <f>Paper_Textual_Conflict!M38</f>
        <v>D + I(import)</v>
      </c>
      <c r="B38" s="37" t="str">
        <f>IFERROR(__xludf.DUMMYFUNCTION("if(isblank(A38),,regexextract(REGEXEXTRACT(A38,""^.*""),""^[^(]*""))"),"D + I")</f>
        <v>D + I</v>
      </c>
      <c r="C38" s="37" t="b">
        <f>IFERROR(__xludf.DUMMYFUNCTION("if(isblank(A38),,REGEXMATCH(B38,"".*\+.*"") )"),TRUE)</f>
        <v>1</v>
      </c>
      <c r="D38" s="37" t="b">
        <f>IFERROR(__xludf.DUMMYFUNCTION("if(isblank(A38),,REGEXMATCH(B38,"".*vs.*"") )"),FALSE)</f>
        <v>0</v>
      </c>
      <c r="E38" s="37" t="b">
        <f>Paper_Textual_Conflict!H38</f>
        <v>0</v>
      </c>
      <c r="F38" s="37" t="str">
        <f>Paper_Textual_Conflict!Q38</f>
        <v>Java</v>
      </c>
      <c r="G38" s="33">
        <v>38.0</v>
      </c>
      <c r="H38" s="37" t="b">
        <f>IFERROR(__xludf.DUMMYFUNCTION("if(isblank(A38),,REGEXMATCH(B38,""^I *\+ I *$""))"),FALSE)</f>
        <v>0</v>
      </c>
      <c r="I38" s="37" t="b">
        <f>IFERROR(__xludf.DUMMYFUNCTION("if(isblank(A38),,REGEXMATCH(B38,""(^I *\+ D *$)|(^D *\+ I *$)""))"),TRUE)</f>
        <v>1</v>
      </c>
      <c r="J38" s="37" t="b">
        <f>IFERROR(__xludf.DUMMYFUNCTION("if(isblank(A38),,REGEXMATCH(B38,""(^I *\+ U *$)|(^U *\+ I *$)""))"),FALSE)</f>
        <v>0</v>
      </c>
      <c r="K38" s="37" t="b">
        <f>IFERROR(__xludf.DUMMYFUNCTION("if(isblank(A38),,REGEXMATCH(B38,""(^I *\+ N *$)|(^N *\+ I *$)"") )"),FALSE)</f>
        <v>0</v>
      </c>
      <c r="L38" s="37" t="b">
        <f>IFERROR(__xludf.DUMMYFUNCTION("if(isblank(A38),,REGEXMATCH(B38,""^D *\+ D *$""))"),FALSE)</f>
        <v>0</v>
      </c>
      <c r="M38" s="37" t="b">
        <f>IFERROR(__xludf.DUMMYFUNCTION("if(isblank(A38),,REGEXMATCH(B38,""(^U *\+ D *$)|(^D *\+ U *$)""))"),FALSE)</f>
        <v>0</v>
      </c>
      <c r="N38" s="37" t="b">
        <f>IFERROR(__xludf.DUMMYFUNCTION("if(isblank(A38),,REGEXMATCH(B38,""(^N *\+ D *$)|(^D *\+ N *$)""))"),FALSE)</f>
        <v>0</v>
      </c>
      <c r="O38" s="37" t="b">
        <f>IFERROR(__xludf.DUMMYFUNCTION("if(isblank(A38),,REGEXMATCH(B38,""^U *\+ U *$""))"),FALSE)</f>
        <v>0</v>
      </c>
      <c r="P38" s="37" t="b">
        <f>IFERROR(__xludf.DUMMYFUNCTION("if(isblank(A38),,REGEXMATCH(B38,""(^U *\+ N *$)|(^N *\+ U *$)""))"),FALSE)</f>
        <v>0</v>
      </c>
      <c r="Q38" s="37" t="b">
        <f>IFERROR(__xludf.DUMMYFUNCTION("if(isblank(A38),,REGEXMATCH(B38,""^((I ?\+ ?(D ?I|I ?D))|((D ?I|I ?D) ?\+ ?I)) *$""))"),FALSE)</f>
        <v>0</v>
      </c>
      <c r="R38" s="37" t="b">
        <f>IFERROR(__xludf.DUMMYFUNCTION("if(isblank(A38),,REGEXMATCH(B38,""^((D ?\+ ?(D ?I|I ?D))|((D ?I|I ?D) ?\+ ?D)) *$""))"),FALSE)</f>
        <v>0</v>
      </c>
      <c r="S38" s="37" t="b">
        <f>IFERROR(__xludf.DUMMYFUNCTION("if(isblank(A38),,REGEXMATCH(B38,""^((U ?\+ ?(D ?I|I ?D))|((D ?I|I ?D) ?\+ ?U)) *$""))"),FALSE)</f>
        <v>0</v>
      </c>
      <c r="T38" s="37" t="b">
        <f>IFERROR(__xludf.DUMMYFUNCTION("if(isblank(A38),,REGEXMATCH(B38,""^((N ?\+ ?(D ?I|I ?D))|((D ?I|I ?D) ?\+ ?N)) *$""))"),FALSE)</f>
        <v>0</v>
      </c>
      <c r="U38" s="37" t="b">
        <f>IFERROR(__xludf.DUMMYFUNCTION("if(isblank(A38),,REGEXMATCH(B38,""^((I ?\+ ?(U ?I|I ?U))|((I ?U|U ?I) ?\+ ?I)) *$""))"),FALSE)</f>
        <v>0</v>
      </c>
      <c r="V38" s="37" t="b">
        <f>IFERROR(__xludf.DUMMYFUNCTION("if(isblank(A38),,REGEXMATCH(B38,""^((D ?\+ ?(U ?I|I ?U))|((I ?U|U ?I) ?\+ ?D)) *$""))"),FALSE)</f>
        <v>0</v>
      </c>
      <c r="W38" s="37" t="b">
        <f>IFERROR(__xludf.DUMMYFUNCTION("if(isblank(A38),,REGEXMATCH(B38,""^((U ?\+ ?(U ?I|I ?U))|((I ?U|U ?I) ?\+ ?U)) *$""))"),FALSE)</f>
        <v>0</v>
      </c>
      <c r="X38" s="37" t="b">
        <f>IFERROR(__xludf.DUMMYFUNCTION("if(isblank(A38),,REGEXMATCH(B38,""^((N ?\+ ?(U ?I|I ?U))|((I ?U|U ?I) ?\+ ?N)) *$""))"),FALSE)</f>
        <v>0</v>
      </c>
      <c r="Y38" s="37" t="b">
        <f>IFERROR(__xludf.DUMMYFUNCTION("if(isblank(A38),,REGEXMATCH(B38,""^((I ?\+ ?(U ?D|D ?U))|((D ?U|U ?D) ?\+ ?I)) *$""))"),FALSE)</f>
        <v>0</v>
      </c>
      <c r="Z38" s="37" t="b">
        <f>IFERROR(__xludf.DUMMYFUNCTION("if(isblank(A38),,REGEXMATCH(B38,""^((D ?\+ ?(U ?D|D ?U))|((D ?U|U ?D) ?\+ ?D)) *$""))"),FALSE)</f>
        <v>0</v>
      </c>
      <c r="AA38" s="37" t="b">
        <f>IFERROR(__xludf.DUMMYFUNCTION("if(isblank(A38),,REGEXMATCH(B38,""^((U ?\+ ?(U ?D|D ?U))|((D ?U|U ?D) ?\+ ?U)) *$""))"),FALSE)</f>
        <v>0</v>
      </c>
      <c r="AB38" s="37" t="b">
        <f>IFERROR(__xludf.DUMMYFUNCTION("if(isblank(A38),,REGEXMATCH(B38,""^((D ?I|I ?D) ?\+ ?(D ?I|I ?D)) *$""))"),FALSE)</f>
        <v>0</v>
      </c>
      <c r="AC38" s="37" t="b">
        <f>IFERROR(__xludf.DUMMYFUNCTION("if(isblank(A38),,REGEXMATCH(B38,""^((D ?I|I ?D) ?\+ ?(U ?I|I ?U))|((U ?I|I ?U) ?\+ ?(D ?I|I ?D)) *$""))"),FALSE)</f>
        <v>0</v>
      </c>
      <c r="AD38" s="37" t="b">
        <f>IFERROR(__xludf.DUMMYFUNCTION("if(isblank(A38),,REGEXMATCH(B38,""^I *vs\. I *$""))"),FALSE)</f>
        <v>0</v>
      </c>
      <c r="AE38" s="37" t="b">
        <f>IFERROR(__xludf.DUMMYFUNCTION("if(isblank(A38),,REGEXMATCH(B38,""(^I *vs\. D *$)|(^D *vs\. I *$)""))"),FALSE)</f>
        <v>0</v>
      </c>
      <c r="AF38" s="37" t="b">
        <f>IFERROR(__xludf.DUMMYFUNCTION("if(isblank(A38),,REGEXMATCH(B38,""(^I *vs\. U *$)|(^U *vs\. I *$)""))"),FALSE)</f>
        <v>0</v>
      </c>
      <c r="AG38" s="37" t="b">
        <f>IFERROR(__xludf.DUMMYFUNCTION("if(isblank(A38),,REGEXMATCH(B38,""^D *vs\. D *$""))"),FALSE)</f>
        <v>0</v>
      </c>
      <c r="AH38" s="37" t="b">
        <f>IFERROR(__xludf.DUMMYFUNCTION("if(isblank(A38),,REGEXMATCH(B38,""(^U *vs\. D *$)|(^D *vs\. U *$)""))"),FALSE)</f>
        <v>0</v>
      </c>
      <c r="AI38" s="37" t="b">
        <f>IFERROR(__xludf.DUMMYFUNCTION("if(isblank(A38),,REGEXMATCH(B38,""^U *vs\. U *$""))"),FALSE)</f>
        <v>0</v>
      </c>
      <c r="AJ38" s="37" t="b">
        <f>IFERROR(__xludf.DUMMYFUNCTION("if(isblank(A38),,REGEXMATCH(B38,""^((I ?vs\. ?(D ?I|I ?D))|((D ?I|I ?D) ?vs\. ?I)) *$""))"),FALSE)</f>
        <v>0</v>
      </c>
      <c r="AK38" s="37" t="b">
        <f>IFERROR(__xludf.DUMMYFUNCTION("if(isblank(A38),,REGEXMATCH(B38,""^((D ?vs\. ?(D ?I|I ?D))|((D ?I|I ?D) ?vs\. ?D)) *$""))"),FALSE)</f>
        <v>0</v>
      </c>
      <c r="AL38" s="37" t="b">
        <f>IFERROR(__xludf.DUMMYFUNCTION("if(isblank(A38),,REGEXMATCH(B38,""^((U ?vs\. ?(D ?I|I ?D))|((D ?I|I ?D) ?vs\. ?U)) *$""))"),FALSE)</f>
        <v>0</v>
      </c>
      <c r="AM38" s="37" t="b">
        <f>IFERROR(__xludf.DUMMYFUNCTION("if(isblank(A38),,REGEXMATCH(B38,""^((I ?vs\. ?(U ?I|I ?U))|((U ?I|I ?U) ?vs\. ?I)) *$""))"),FALSE)</f>
        <v>0</v>
      </c>
      <c r="AN38" s="37" t="b">
        <f>IFERROR(__xludf.DUMMYFUNCTION("if(isblank(A38),,REGEXMATCH(B38,""^((D ?vs\. ?(U ?I|I ?U))|((U ?I|I ?U) ?vs\. ?D)) *$""))"),FALSE)</f>
        <v>0</v>
      </c>
      <c r="AO38" s="37" t="b">
        <f>IFERROR(__xludf.DUMMYFUNCTION("if(isblank(A38),,REGEXMATCH(B38,""^((U ?vs\. ?(U ?I|I ?U))|((U ?I|I ?U) ?vs\. ?U)) *$""))"),FALSE)</f>
        <v>0</v>
      </c>
      <c r="AP38" s="37" t="b">
        <f>IFERROR(__xludf.DUMMYFUNCTION("if(isblank(A38),,REGEXMATCH(B38,""^((I ?vs\. ?(U ?D|D ?U))|((D ?U|U ?D) ?vs\. ?I)) *$""))"),FALSE)</f>
        <v>0</v>
      </c>
      <c r="AQ38" s="37" t="b">
        <f>IFERROR(__xludf.DUMMYFUNCTION("if(isblank(A38),,REGEXMATCH(B38,""^((D ?vs\. ?(U ?D|D ?U))|((D ?U|U ?D) ?vs\. ?D)) *$""))"),FALSE)</f>
        <v>0</v>
      </c>
      <c r="AR38" s="37" t="b">
        <f>IFERROR(__xludf.DUMMYFUNCTION("if(isblank(A38),,REGEXMATCH(B38,""^((U ?vs\. ?(U ?D|D ?U))|((D ?U|U ?D) ?vs\. ?U)) *$""))"),FALSE)</f>
        <v>0</v>
      </c>
      <c r="AS38" s="37" t="b">
        <f>IFERROR(__xludf.DUMMYFUNCTION("if(isblank(A38),,REGEXMATCH(B38,""^((D ?I|I ?D) ?vs\. ?(D ?I|I ?D)) *$""))"),FALSE)</f>
        <v>0</v>
      </c>
      <c r="AT38" s="37" t="b">
        <f>IFERROR(__xludf.DUMMYFUNCTION("if(isblank(A38),,REGEXMATCH(B38,""^((D ?I|I ?D) ?vs\. ?(U ?I|I ?U))|((U ?I|I ?U) ?vs\. ?(D ?I|I ?D)) *$""))"),FALSE)</f>
        <v>0</v>
      </c>
      <c r="AU38" s="37" t="b">
        <f>IFERROR(__xludf.DUMMYFUNCTION("if(isblank(A38),,REGEXMATCH(B38,""^((D ?I|I ?D) ?vs\. ?(U ?D|D ?U))|((U ?D|D ?U) ?vs\. ?(D ?I|I ?D)) *$""))"),FALSE)</f>
        <v>0</v>
      </c>
      <c r="AV38" s="37" t="b">
        <f>IFERROR(__xludf.DUMMYFUNCTION("if(isblank(A38),,REGEXMATCH(B38,""^((U ?I|I ?U) ?vs\. ?(U ?I|I ?U)) *$""))"),FALSE)</f>
        <v>0</v>
      </c>
    </row>
    <row r="39" ht="26.25" customHeight="1">
      <c r="A39" s="79" t="str">
        <f>Paper_Textual_Conflict!M39</f>
        <v>I vs. I (md)</v>
      </c>
      <c r="B39" s="37" t="str">
        <f>IFERROR(__xludf.DUMMYFUNCTION("if(isblank(A39),,regexextract(REGEXEXTRACT(A39,""^.*""),""^[^(]*""))"),"I vs. I ")</f>
        <v>I vs. I </v>
      </c>
      <c r="C39" s="37" t="b">
        <f>IFERROR(__xludf.DUMMYFUNCTION("if(isblank(A39),,REGEXMATCH(B39,"".*\+.*"") )"),FALSE)</f>
        <v>0</v>
      </c>
      <c r="D39" s="37" t="b">
        <f>IFERROR(__xludf.DUMMYFUNCTION("if(isblank(A39),,REGEXMATCH(B39,"".*vs.*"") )"),TRUE)</f>
        <v>1</v>
      </c>
      <c r="E39" s="37" t="b">
        <f>Paper_Textual_Conflict!H39</f>
        <v>1</v>
      </c>
      <c r="F39" s="37" t="str">
        <f>Paper_Textual_Conflict!Q39</f>
        <v>Non-Java</v>
      </c>
      <c r="G39" s="33">
        <v>39.0</v>
      </c>
      <c r="H39" s="37" t="b">
        <f>IFERROR(__xludf.DUMMYFUNCTION("if(isblank(A39),,REGEXMATCH(B39,""^I *\+ I *$""))"),FALSE)</f>
        <v>0</v>
      </c>
      <c r="I39" s="37" t="b">
        <f>IFERROR(__xludf.DUMMYFUNCTION("if(isblank(A39),,REGEXMATCH(B39,""(^I *\+ D *$)|(^D *\+ I *$)""))"),FALSE)</f>
        <v>0</v>
      </c>
      <c r="J39" s="37" t="b">
        <f>IFERROR(__xludf.DUMMYFUNCTION("if(isblank(A39),,REGEXMATCH(B39,""(^I *\+ U *$)|(^U *\+ I *$)""))"),FALSE)</f>
        <v>0</v>
      </c>
      <c r="K39" s="37" t="b">
        <f>IFERROR(__xludf.DUMMYFUNCTION("if(isblank(A39),,REGEXMATCH(B39,""(^I *\+ N *$)|(^N *\+ I *$)"") )"),FALSE)</f>
        <v>0</v>
      </c>
      <c r="L39" s="37" t="b">
        <f>IFERROR(__xludf.DUMMYFUNCTION("if(isblank(A39),,REGEXMATCH(B39,""^D *\+ D *$""))"),FALSE)</f>
        <v>0</v>
      </c>
      <c r="M39" s="37" t="b">
        <f>IFERROR(__xludf.DUMMYFUNCTION("if(isblank(A39),,REGEXMATCH(B39,""(^U *\+ D *$)|(^D *\+ U *$)""))"),FALSE)</f>
        <v>0</v>
      </c>
      <c r="N39" s="37" t="b">
        <f>IFERROR(__xludf.DUMMYFUNCTION("if(isblank(A39),,REGEXMATCH(B39,""(^N *\+ D *$)|(^D *\+ N *$)""))"),FALSE)</f>
        <v>0</v>
      </c>
      <c r="O39" s="37" t="b">
        <f>IFERROR(__xludf.DUMMYFUNCTION("if(isblank(A39),,REGEXMATCH(B39,""^U *\+ U *$""))"),FALSE)</f>
        <v>0</v>
      </c>
      <c r="P39" s="37" t="b">
        <f>IFERROR(__xludf.DUMMYFUNCTION("if(isblank(A39),,REGEXMATCH(B39,""(^U *\+ N *$)|(^N *\+ U *$)""))"),FALSE)</f>
        <v>0</v>
      </c>
      <c r="Q39" s="37" t="b">
        <f>IFERROR(__xludf.DUMMYFUNCTION("if(isblank(A39),,REGEXMATCH(B39,""^((I ?\+ ?(D ?I|I ?D))|((D ?I|I ?D) ?\+ ?I)) *$""))"),FALSE)</f>
        <v>0</v>
      </c>
      <c r="R39" s="37" t="b">
        <f>IFERROR(__xludf.DUMMYFUNCTION("if(isblank(A39),,REGEXMATCH(B39,""^((D ?\+ ?(D ?I|I ?D))|((D ?I|I ?D) ?\+ ?D)) *$""))"),FALSE)</f>
        <v>0</v>
      </c>
      <c r="S39" s="37" t="b">
        <f>IFERROR(__xludf.DUMMYFUNCTION("if(isblank(A39),,REGEXMATCH(B39,""^((U ?\+ ?(D ?I|I ?D))|((D ?I|I ?D) ?\+ ?U)) *$""))"),FALSE)</f>
        <v>0</v>
      </c>
      <c r="T39" s="37" t="b">
        <f>IFERROR(__xludf.DUMMYFUNCTION("if(isblank(A39),,REGEXMATCH(B39,""^((N ?\+ ?(D ?I|I ?D))|((D ?I|I ?D) ?\+ ?N)) *$""))"),FALSE)</f>
        <v>0</v>
      </c>
      <c r="U39" s="37" t="b">
        <f>IFERROR(__xludf.DUMMYFUNCTION("if(isblank(A39),,REGEXMATCH(B39,""^((I ?\+ ?(U ?I|I ?U))|((I ?U|U ?I) ?\+ ?I)) *$""))"),FALSE)</f>
        <v>0</v>
      </c>
      <c r="V39" s="37" t="b">
        <f>IFERROR(__xludf.DUMMYFUNCTION("if(isblank(A39),,REGEXMATCH(B39,""^((D ?\+ ?(U ?I|I ?U))|((I ?U|U ?I) ?\+ ?D)) *$""))"),FALSE)</f>
        <v>0</v>
      </c>
      <c r="W39" s="37" t="b">
        <f>IFERROR(__xludf.DUMMYFUNCTION("if(isblank(A39),,REGEXMATCH(B39,""^((U ?\+ ?(U ?I|I ?U))|((I ?U|U ?I) ?\+ ?U)) *$""))"),FALSE)</f>
        <v>0</v>
      </c>
      <c r="X39" s="37" t="b">
        <f>IFERROR(__xludf.DUMMYFUNCTION("if(isblank(A39),,REGEXMATCH(B39,""^((N ?\+ ?(U ?I|I ?U))|((I ?U|U ?I) ?\+ ?N)) *$""))"),FALSE)</f>
        <v>0</v>
      </c>
      <c r="Y39" s="37" t="b">
        <f>IFERROR(__xludf.DUMMYFUNCTION("if(isblank(A39),,REGEXMATCH(B39,""^((I ?\+ ?(U ?D|D ?U))|((D ?U|U ?D) ?\+ ?I)) *$""))"),FALSE)</f>
        <v>0</v>
      </c>
      <c r="Z39" s="37" t="b">
        <f>IFERROR(__xludf.DUMMYFUNCTION("if(isblank(A39),,REGEXMATCH(B39,""^((D ?\+ ?(U ?D|D ?U))|((D ?U|U ?D) ?\+ ?D)) *$""))"),FALSE)</f>
        <v>0</v>
      </c>
      <c r="AA39" s="37" t="b">
        <f>IFERROR(__xludf.DUMMYFUNCTION("if(isblank(A39),,REGEXMATCH(B39,""^((U ?\+ ?(U ?D|D ?U))|((D ?U|U ?D) ?\+ ?U)) *$""))"),FALSE)</f>
        <v>0</v>
      </c>
      <c r="AB39" s="37" t="b">
        <f>IFERROR(__xludf.DUMMYFUNCTION("if(isblank(A39),,REGEXMATCH(B39,""^((D ?I|I ?D) ?\+ ?(D ?I|I ?D)) *$""))"),FALSE)</f>
        <v>0</v>
      </c>
      <c r="AC39" s="37" t="b">
        <f>IFERROR(__xludf.DUMMYFUNCTION("if(isblank(A39),,REGEXMATCH(B39,""^((D ?I|I ?D) ?\+ ?(U ?I|I ?U))|((U ?I|I ?U) ?\+ ?(D ?I|I ?D)) *$""))"),FALSE)</f>
        <v>0</v>
      </c>
      <c r="AD39" s="37" t="b">
        <f>IFERROR(__xludf.DUMMYFUNCTION("if(isblank(A39),,REGEXMATCH(B39,""^I *vs\. I *$""))"),TRUE)</f>
        <v>1</v>
      </c>
      <c r="AE39" s="37" t="b">
        <f>IFERROR(__xludf.DUMMYFUNCTION("if(isblank(A39),,REGEXMATCH(B39,""(^I *vs\. D *$)|(^D *vs\. I *$)""))"),FALSE)</f>
        <v>0</v>
      </c>
      <c r="AF39" s="37" t="b">
        <f>IFERROR(__xludf.DUMMYFUNCTION("if(isblank(A39),,REGEXMATCH(B39,""(^I *vs\. U *$)|(^U *vs\. I *$)""))"),FALSE)</f>
        <v>0</v>
      </c>
      <c r="AG39" s="37" t="b">
        <f>IFERROR(__xludf.DUMMYFUNCTION("if(isblank(A39),,REGEXMATCH(B39,""^D *vs\. D *$""))"),FALSE)</f>
        <v>0</v>
      </c>
      <c r="AH39" s="37" t="b">
        <f>IFERROR(__xludf.DUMMYFUNCTION("if(isblank(A39),,REGEXMATCH(B39,""(^U *vs\. D *$)|(^D *vs\. U *$)""))"),FALSE)</f>
        <v>0</v>
      </c>
      <c r="AI39" s="37" t="b">
        <f>IFERROR(__xludf.DUMMYFUNCTION("if(isblank(A39),,REGEXMATCH(B39,""^U *vs\. U *$""))"),FALSE)</f>
        <v>0</v>
      </c>
      <c r="AJ39" s="37" t="b">
        <f>IFERROR(__xludf.DUMMYFUNCTION("if(isblank(A39),,REGEXMATCH(B39,""^((I ?vs\. ?(D ?I|I ?D))|((D ?I|I ?D) ?vs\. ?I)) *$""))"),FALSE)</f>
        <v>0</v>
      </c>
      <c r="AK39" s="37" t="b">
        <f>IFERROR(__xludf.DUMMYFUNCTION("if(isblank(A39),,REGEXMATCH(B39,""^((D ?vs\. ?(D ?I|I ?D))|((D ?I|I ?D) ?vs\. ?D)) *$""))"),FALSE)</f>
        <v>0</v>
      </c>
      <c r="AL39" s="37" t="b">
        <f>IFERROR(__xludf.DUMMYFUNCTION("if(isblank(A39),,REGEXMATCH(B39,""^((U ?vs\. ?(D ?I|I ?D))|((D ?I|I ?D) ?vs\. ?U)) *$""))"),FALSE)</f>
        <v>0</v>
      </c>
      <c r="AM39" s="37" t="b">
        <f>IFERROR(__xludf.DUMMYFUNCTION("if(isblank(A39),,REGEXMATCH(B39,""^((I ?vs\. ?(U ?I|I ?U))|((U ?I|I ?U) ?vs\. ?I)) *$""))"),FALSE)</f>
        <v>0</v>
      </c>
      <c r="AN39" s="37" t="b">
        <f>IFERROR(__xludf.DUMMYFUNCTION("if(isblank(A39),,REGEXMATCH(B39,""^((D ?vs\. ?(U ?I|I ?U))|((U ?I|I ?U) ?vs\. ?D)) *$""))"),FALSE)</f>
        <v>0</v>
      </c>
      <c r="AO39" s="37" t="b">
        <f>IFERROR(__xludf.DUMMYFUNCTION("if(isblank(A39),,REGEXMATCH(B39,""^((U ?vs\. ?(U ?I|I ?U))|((U ?I|I ?U) ?vs\. ?U)) *$""))"),FALSE)</f>
        <v>0</v>
      </c>
      <c r="AP39" s="37" t="b">
        <f>IFERROR(__xludf.DUMMYFUNCTION("if(isblank(A39),,REGEXMATCH(B39,""^((I ?vs\. ?(U ?D|D ?U))|((D ?U|U ?D) ?vs\. ?I)) *$""))"),FALSE)</f>
        <v>0</v>
      </c>
      <c r="AQ39" s="37" t="b">
        <f>IFERROR(__xludf.DUMMYFUNCTION("if(isblank(A39),,REGEXMATCH(B39,""^((D ?vs\. ?(U ?D|D ?U))|((D ?U|U ?D) ?vs\. ?D)) *$""))"),FALSE)</f>
        <v>0</v>
      </c>
      <c r="AR39" s="37" t="b">
        <f>IFERROR(__xludf.DUMMYFUNCTION("if(isblank(A39),,REGEXMATCH(B39,""^((U ?vs\. ?(U ?D|D ?U))|((D ?U|U ?D) ?vs\. ?U)) *$""))"),FALSE)</f>
        <v>0</v>
      </c>
      <c r="AS39" s="37" t="b">
        <f>IFERROR(__xludf.DUMMYFUNCTION("if(isblank(A39),,REGEXMATCH(B39,""^((D ?I|I ?D) ?vs\. ?(D ?I|I ?D)) *$""))"),FALSE)</f>
        <v>0</v>
      </c>
      <c r="AT39" s="37" t="b">
        <f>IFERROR(__xludf.DUMMYFUNCTION("if(isblank(A39),,REGEXMATCH(B39,""^((D ?I|I ?D) ?vs\. ?(U ?I|I ?U))|((U ?I|I ?U) ?vs\. ?(D ?I|I ?D)) *$""))"),FALSE)</f>
        <v>0</v>
      </c>
      <c r="AU39" s="37" t="b">
        <f>IFERROR(__xludf.DUMMYFUNCTION("if(isblank(A39),,REGEXMATCH(B39,""^((D ?I|I ?D) ?vs\. ?(U ?D|D ?U))|((U ?D|D ?U) ?vs\. ?(D ?I|I ?D)) *$""))"),FALSE)</f>
        <v>0</v>
      </c>
      <c r="AV39" s="37" t="b">
        <f>IFERROR(__xludf.DUMMYFUNCTION("if(isblank(A39),,REGEXMATCH(B39,""^((U ?I|I ?U) ?vs\. ?(U ?I|I ?U)) *$""))"),FALSE)</f>
        <v>0</v>
      </c>
    </row>
    <row r="40" ht="26.25" customHeight="1">
      <c r="A40" s="79" t="str">
        <f>Paper_Textual_Conflict!M40</f>
        <v>U I + D I (items)
Origin(I D + I D)</v>
      </c>
      <c r="B40" s="37" t="str">
        <f>IFERROR(__xludf.DUMMYFUNCTION("if(isblank(A40),,regexextract(REGEXEXTRACT(A40,""^.*""),""^[^(]*""))"),"U I + D I ")</f>
        <v>U I + D I </v>
      </c>
      <c r="C40" s="37" t="b">
        <f>IFERROR(__xludf.DUMMYFUNCTION("if(isblank(A40),,REGEXMATCH(B40,"".*\+.*"") )"),TRUE)</f>
        <v>1</v>
      </c>
      <c r="D40" s="37" t="b">
        <f>IFERROR(__xludf.DUMMYFUNCTION("if(isblank(A40),,REGEXMATCH(B40,"".*vs.*"") )"),FALSE)</f>
        <v>0</v>
      </c>
      <c r="E40" s="37" t="b">
        <f>Paper_Textual_Conflict!H40</f>
        <v>0</v>
      </c>
      <c r="F40" s="37" t="str">
        <f>Paper_Textual_Conflict!Q40</f>
        <v>Non-Java</v>
      </c>
      <c r="G40" s="33">
        <v>40.0</v>
      </c>
      <c r="H40" s="37" t="b">
        <f>IFERROR(__xludf.DUMMYFUNCTION("if(isblank(A40),,REGEXMATCH(B40,""^I *\+ I *$""))"),FALSE)</f>
        <v>0</v>
      </c>
      <c r="I40" s="37" t="b">
        <f>IFERROR(__xludf.DUMMYFUNCTION("if(isblank(A40),,REGEXMATCH(B40,""(^I *\+ D *$)|(^D *\+ I *$)""))"),FALSE)</f>
        <v>0</v>
      </c>
      <c r="J40" s="37" t="b">
        <f>IFERROR(__xludf.DUMMYFUNCTION("if(isblank(A40),,REGEXMATCH(B40,""(^I *\+ U *$)|(^U *\+ I *$)""))"),FALSE)</f>
        <v>0</v>
      </c>
      <c r="K40" s="37" t="b">
        <f>IFERROR(__xludf.DUMMYFUNCTION("if(isblank(A40),,REGEXMATCH(B40,""(^I *\+ N *$)|(^N *\+ I *$)"") )"),FALSE)</f>
        <v>0</v>
      </c>
      <c r="L40" s="37" t="b">
        <f>IFERROR(__xludf.DUMMYFUNCTION("if(isblank(A40),,REGEXMATCH(B40,""^D *\+ D *$""))"),FALSE)</f>
        <v>0</v>
      </c>
      <c r="M40" s="37" t="b">
        <f>IFERROR(__xludf.DUMMYFUNCTION("if(isblank(A40),,REGEXMATCH(B40,""(^U *\+ D *$)|(^D *\+ U *$)""))"),FALSE)</f>
        <v>0</v>
      </c>
      <c r="N40" s="37" t="b">
        <f>IFERROR(__xludf.DUMMYFUNCTION("if(isblank(A40),,REGEXMATCH(B40,""(^N *\+ D *$)|(^D *\+ N *$)""))"),FALSE)</f>
        <v>0</v>
      </c>
      <c r="O40" s="37" t="b">
        <f>IFERROR(__xludf.DUMMYFUNCTION("if(isblank(A40),,REGEXMATCH(B40,""^U *\+ U *$""))"),FALSE)</f>
        <v>0</v>
      </c>
      <c r="P40" s="37" t="b">
        <f>IFERROR(__xludf.DUMMYFUNCTION("if(isblank(A40),,REGEXMATCH(B40,""(^U *\+ N *$)|(^N *\+ U *$)""))"),FALSE)</f>
        <v>0</v>
      </c>
      <c r="Q40" s="37" t="b">
        <f>IFERROR(__xludf.DUMMYFUNCTION("if(isblank(A40),,REGEXMATCH(B40,""^((I ?\+ ?(D ?I|I ?D))|((D ?I|I ?D) ?\+ ?I)) *$""))"),FALSE)</f>
        <v>0</v>
      </c>
      <c r="R40" s="37" t="b">
        <f>IFERROR(__xludf.DUMMYFUNCTION("if(isblank(A40),,REGEXMATCH(B40,""^((D ?\+ ?(D ?I|I ?D))|((D ?I|I ?D) ?\+ ?D)) *$""))"),FALSE)</f>
        <v>0</v>
      </c>
      <c r="S40" s="37" t="b">
        <f>IFERROR(__xludf.DUMMYFUNCTION("if(isblank(A40),,REGEXMATCH(B40,""^((U ?\+ ?(D ?I|I ?D))|((D ?I|I ?D) ?\+ ?U)) *$""))"),FALSE)</f>
        <v>0</v>
      </c>
      <c r="T40" s="37" t="b">
        <f>IFERROR(__xludf.DUMMYFUNCTION("if(isblank(A40),,REGEXMATCH(B40,""^((N ?\+ ?(D ?I|I ?D))|((D ?I|I ?D) ?\+ ?N)) *$""))"),FALSE)</f>
        <v>0</v>
      </c>
      <c r="U40" s="37" t="b">
        <f>IFERROR(__xludf.DUMMYFUNCTION("if(isblank(A40),,REGEXMATCH(B40,""^((I ?\+ ?(U ?I|I ?U))|((I ?U|U ?I) ?\+ ?I)) *$""))"),FALSE)</f>
        <v>0</v>
      </c>
      <c r="V40" s="37" t="b">
        <f>IFERROR(__xludf.DUMMYFUNCTION("if(isblank(A40),,REGEXMATCH(B40,""^((D ?\+ ?(U ?I|I ?U))|((I ?U|U ?I) ?\+ ?D)) *$""))"),FALSE)</f>
        <v>0</v>
      </c>
      <c r="W40" s="37" t="b">
        <f>IFERROR(__xludf.DUMMYFUNCTION("if(isblank(A40),,REGEXMATCH(B40,""^((U ?\+ ?(U ?I|I ?U))|((I ?U|U ?I) ?\+ ?U)) *$""))"),FALSE)</f>
        <v>0</v>
      </c>
      <c r="X40" s="37" t="b">
        <f>IFERROR(__xludf.DUMMYFUNCTION("if(isblank(A40),,REGEXMATCH(B40,""^((N ?\+ ?(U ?I|I ?U))|((I ?U|U ?I) ?\+ ?N)) *$""))"),FALSE)</f>
        <v>0</v>
      </c>
      <c r="Y40" s="37" t="b">
        <f>IFERROR(__xludf.DUMMYFUNCTION("if(isblank(A40),,REGEXMATCH(B40,""^((I ?\+ ?(U ?D|D ?U))|((D ?U|U ?D) ?\+ ?I)) *$""))"),FALSE)</f>
        <v>0</v>
      </c>
      <c r="Z40" s="37" t="b">
        <f>IFERROR(__xludf.DUMMYFUNCTION("if(isblank(A40),,REGEXMATCH(B40,""^((D ?\+ ?(U ?D|D ?U))|((D ?U|U ?D) ?\+ ?D)) *$""))"),FALSE)</f>
        <v>0</v>
      </c>
      <c r="AA40" s="37" t="b">
        <f>IFERROR(__xludf.DUMMYFUNCTION("if(isblank(A40),,REGEXMATCH(B40,""^((U ?\+ ?(U ?D|D ?U))|((D ?U|U ?D) ?\+ ?U)) *$""))"),FALSE)</f>
        <v>0</v>
      </c>
      <c r="AB40" s="37" t="b">
        <f>IFERROR(__xludf.DUMMYFUNCTION("if(isblank(A40),,REGEXMATCH(B40,""^((D ?I|I ?D) ?\+ ?(D ?I|I ?D)) *$""))"),FALSE)</f>
        <v>0</v>
      </c>
      <c r="AC40" s="37" t="b">
        <f>IFERROR(__xludf.DUMMYFUNCTION("if(isblank(A40),,REGEXMATCH(B40,""^((D ?I|I ?D) ?\+ ?(U ?I|I ?U))|((U ?I|I ?U) ?\+ ?(D ?I|I ?D)) *$""))"),TRUE)</f>
        <v>1</v>
      </c>
      <c r="AD40" s="37" t="b">
        <f>IFERROR(__xludf.DUMMYFUNCTION("if(isblank(A40),,REGEXMATCH(B40,""^I *vs\. I *$""))"),FALSE)</f>
        <v>0</v>
      </c>
      <c r="AE40" s="37" t="b">
        <f>IFERROR(__xludf.DUMMYFUNCTION("if(isblank(A40),,REGEXMATCH(B40,""(^I *vs\. D *$)|(^D *vs\. I *$)""))"),FALSE)</f>
        <v>0</v>
      </c>
      <c r="AF40" s="37" t="b">
        <f>IFERROR(__xludf.DUMMYFUNCTION("if(isblank(A40),,REGEXMATCH(B40,""(^I *vs\. U *$)|(^U *vs\. I *$)""))"),FALSE)</f>
        <v>0</v>
      </c>
      <c r="AG40" s="37" t="b">
        <f>IFERROR(__xludf.DUMMYFUNCTION("if(isblank(A40),,REGEXMATCH(B40,""^D *vs\. D *$""))"),FALSE)</f>
        <v>0</v>
      </c>
      <c r="AH40" s="37" t="b">
        <f>IFERROR(__xludf.DUMMYFUNCTION("if(isblank(A40),,REGEXMATCH(B40,""(^U *vs\. D *$)|(^D *vs\. U *$)""))"),FALSE)</f>
        <v>0</v>
      </c>
      <c r="AI40" s="37" t="b">
        <f>IFERROR(__xludf.DUMMYFUNCTION("if(isblank(A40),,REGEXMATCH(B40,""^U *vs\. U *$""))"),FALSE)</f>
        <v>0</v>
      </c>
      <c r="AJ40" s="37" t="b">
        <f>IFERROR(__xludf.DUMMYFUNCTION("if(isblank(A40),,REGEXMATCH(B40,""^((I ?vs\. ?(D ?I|I ?D))|((D ?I|I ?D) ?vs\. ?I)) *$""))"),FALSE)</f>
        <v>0</v>
      </c>
      <c r="AK40" s="37" t="b">
        <f>IFERROR(__xludf.DUMMYFUNCTION("if(isblank(A40),,REGEXMATCH(B40,""^((D ?vs\. ?(D ?I|I ?D))|((D ?I|I ?D) ?vs\. ?D)) *$""))"),FALSE)</f>
        <v>0</v>
      </c>
      <c r="AL40" s="37" t="b">
        <f>IFERROR(__xludf.DUMMYFUNCTION("if(isblank(A40),,REGEXMATCH(B40,""^((U ?vs\. ?(D ?I|I ?D))|((D ?I|I ?D) ?vs\. ?U)) *$""))"),FALSE)</f>
        <v>0</v>
      </c>
      <c r="AM40" s="37" t="b">
        <f>IFERROR(__xludf.DUMMYFUNCTION("if(isblank(A40),,REGEXMATCH(B40,""^((I ?vs\. ?(U ?I|I ?U))|((U ?I|I ?U) ?vs\. ?I)) *$""))"),FALSE)</f>
        <v>0</v>
      </c>
      <c r="AN40" s="37" t="b">
        <f>IFERROR(__xludf.DUMMYFUNCTION("if(isblank(A40),,REGEXMATCH(B40,""^((D ?vs\. ?(U ?I|I ?U))|((U ?I|I ?U) ?vs\. ?D)) *$""))"),FALSE)</f>
        <v>0</v>
      </c>
      <c r="AO40" s="37" t="b">
        <f>IFERROR(__xludf.DUMMYFUNCTION("if(isblank(A40),,REGEXMATCH(B40,""^((U ?vs\. ?(U ?I|I ?U))|((U ?I|I ?U) ?vs\. ?U)) *$""))"),FALSE)</f>
        <v>0</v>
      </c>
      <c r="AP40" s="37" t="b">
        <f>IFERROR(__xludf.DUMMYFUNCTION("if(isblank(A40),,REGEXMATCH(B40,""^((I ?vs\. ?(U ?D|D ?U))|((D ?U|U ?D) ?vs\. ?I)) *$""))"),FALSE)</f>
        <v>0</v>
      </c>
      <c r="AQ40" s="37" t="b">
        <f>IFERROR(__xludf.DUMMYFUNCTION("if(isblank(A40),,REGEXMATCH(B40,""^((D ?vs\. ?(U ?D|D ?U))|((D ?U|U ?D) ?vs\. ?D)) *$""))"),FALSE)</f>
        <v>0</v>
      </c>
      <c r="AR40" s="37" t="b">
        <f>IFERROR(__xludf.DUMMYFUNCTION("if(isblank(A40),,REGEXMATCH(B40,""^((U ?vs\. ?(U ?D|D ?U))|((D ?U|U ?D) ?vs\. ?U)) *$""))"),FALSE)</f>
        <v>0</v>
      </c>
      <c r="AS40" s="37" t="b">
        <f>IFERROR(__xludf.DUMMYFUNCTION("if(isblank(A40),,REGEXMATCH(B40,""^((D ?I|I ?D) ?vs\. ?(D ?I|I ?D)) *$""))"),FALSE)</f>
        <v>0</v>
      </c>
      <c r="AT40" s="37" t="b">
        <f>IFERROR(__xludf.DUMMYFUNCTION("if(isblank(A40),,REGEXMATCH(B40,""^((D ?I|I ?D) ?vs\. ?(U ?I|I ?U))|((U ?I|I ?U) ?vs\. ?(D ?I|I ?D)) *$""))"),FALSE)</f>
        <v>0</v>
      </c>
      <c r="AU40" s="37" t="b">
        <f>IFERROR(__xludf.DUMMYFUNCTION("if(isblank(A40),,REGEXMATCH(B40,""^((D ?I|I ?D) ?vs\. ?(U ?D|D ?U))|((U ?D|D ?U) ?vs\. ?(D ?I|I ?D)) *$""))"),FALSE)</f>
        <v>0</v>
      </c>
      <c r="AV40" s="37" t="b">
        <f>IFERROR(__xludf.DUMMYFUNCTION("if(isblank(A40),,REGEXMATCH(B40,""^((U ?I|I ?U) ?vs\. ?(U ?I|I ?U)) *$""))"),FALSE)</f>
        <v>0</v>
      </c>
    </row>
    <row r="41" ht="26.25" customHeight="1">
      <c r="A41" s="79" t="str">
        <f>Paper_Textual_Conflict!M41</f>
        <v>U vs. U (Java code)
</v>
      </c>
      <c r="B41" s="37" t="str">
        <f>IFERROR(__xludf.DUMMYFUNCTION("if(isblank(A41),,regexextract(REGEXEXTRACT(A41,""^.*""),""^[^(]*""))"),"U vs. U ")</f>
        <v>U vs. U </v>
      </c>
      <c r="C41" s="37" t="b">
        <f>IFERROR(__xludf.DUMMYFUNCTION("if(isblank(A41),,REGEXMATCH(B41,"".*\+.*"") )"),FALSE)</f>
        <v>0</v>
      </c>
      <c r="D41" s="37" t="b">
        <f>IFERROR(__xludf.DUMMYFUNCTION("if(isblank(A41),,REGEXMATCH(B41,"".*vs.*"") )"),TRUE)</f>
        <v>1</v>
      </c>
      <c r="E41" s="37" t="b">
        <f>Paper_Textual_Conflict!H41</f>
        <v>1</v>
      </c>
      <c r="F41" s="37" t="str">
        <f>Paper_Textual_Conflict!Q41</f>
        <v>Java</v>
      </c>
      <c r="G41" s="33">
        <v>41.0</v>
      </c>
      <c r="H41" s="37" t="b">
        <f>IFERROR(__xludf.DUMMYFUNCTION("if(isblank(A41),,REGEXMATCH(B41,""^I *\+ I *$""))"),FALSE)</f>
        <v>0</v>
      </c>
      <c r="I41" s="37" t="b">
        <f>IFERROR(__xludf.DUMMYFUNCTION("if(isblank(A41),,REGEXMATCH(B41,""(^I *\+ D *$)|(^D *\+ I *$)""))"),FALSE)</f>
        <v>0</v>
      </c>
      <c r="J41" s="37" t="b">
        <f>IFERROR(__xludf.DUMMYFUNCTION("if(isblank(A41),,REGEXMATCH(B41,""(^I *\+ U *$)|(^U *\+ I *$)""))"),FALSE)</f>
        <v>0</v>
      </c>
      <c r="K41" s="37" t="b">
        <f>IFERROR(__xludf.DUMMYFUNCTION("if(isblank(A41),,REGEXMATCH(B41,""(^I *\+ N *$)|(^N *\+ I *$)"") )"),FALSE)</f>
        <v>0</v>
      </c>
      <c r="L41" s="37" t="b">
        <f>IFERROR(__xludf.DUMMYFUNCTION("if(isblank(A41),,REGEXMATCH(B41,""^D *\+ D *$""))"),FALSE)</f>
        <v>0</v>
      </c>
      <c r="M41" s="37" t="b">
        <f>IFERROR(__xludf.DUMMYFUNCTION("if(isblank(A41),,REGEXMATCH(B41,""(^U *\+ D *$)|(^D *\+ U *$)""))"),FALSE)</f>
        <v>0</v>
      </c>
      <c r="N41" s="37" t="b">
        <f>IFERROR(__xludf.DUMMYFUNCTION("if(isblank(A41),,REGEXMATCH(B41,""(^N *\+ D *$)|(^D *\+ N *$)""))"),FALSE)</f>
        <v>0</v>
      </c>
      <c r="O41" s="37" t="b">
        <f>IFERROR(__xludf.DUMMYFUNCTION("if(isblank(A41),,REGEXMATCH(B41,""^U *\+ U *$""))"),FALSE)</f>
        <v>0</v>
      </c>
      <c r="P41" s="37" t="b">
        <f>IFERROR(__xludf.DUMMYFUNCTION("if(isblank(A41),,REGEXMATCH(B41,""(^U *\+ N *$)|(^N *\+ U *$)""))"),FALSE)</f>
        <v>0</v>
      </c>
      <c r="Q41" s="37" t="b">
        <f>IFERROR(__xludf.DUMMYFUNCTION("if(isblank(A41),,REGEXMATCH(B41,""^((I ?\+ ?(D ?I|I ?D))|((D ?I|I ?D) ?\+ ?I)) *$""))"),FALSE)</f>
        <v>0</v>
      </c>
      <c r="R41" s="37" t="b">
        <f>IFERROR(__xludf.DUMMYFUNCTION("if(isblank(A41),,REGEXMATCH(B41,""^((D ?\+ ?(D ?I|I ?D))|((D ?I|I ?D) ?\+ ?D)) *$""))"),FALSE)</f>
        <v>0</v>
      </c>
      <c r="S41" s="37" t="b">
        <f>IFERROR(__xludf.DUMMYFUNCTION("if(isblank(A41),,REGEXMATCH(B41,""^((U ?\+ ?(D ?I|I ?D))|((D ?I|I ?D) ?\+ ?U)) *$""))"),FALSE)</f>
        <v>0</v>
      </c>
      <c r="T41" s="37" t="b">
        <f>IFERROR(__xludf.DUMMYFUNCTION("if(isblank(A41),,REGEXMATCH(B41,""^((N ?\+ ?(D ?I|I ?D))|((D ?I|I ?D) ?\+ ?N)) *$""))"),FALSE)</f>
        <v>0</v>
      </c>
      <c r="U41" s="37" t="b">
        <f>IFERROR(__xludf.DUMMYFUNCTION("if(isblank(A41),,REGEXMATCH(B41,""^((I ?\+ ?(U ?I|I ?U))|((I ?U|U ?I) ?\+ ?I)) *$""))"),FALSE)</f>
        <v>0</v>
      </c>
      <c r="V41" s="37" t="b">
        <f>IFERROR(__xludf.DUMMYFUNCTION("if(isblank(A41),,REGEXMATCH(B41,""^((D ?\+ ?(U ?I|I ?U))|((I ?U|U ?I) ?\+ ?D)) *$""))"),FALSE)</f>
        <v>0</v>
      </c>
      <c r="W41" s="37" t="b">
        <f>IFERROR(__xludf.DUMMYFUNCTION("if(isblank(A41),,REGEXMATCH(B41,""^((U ?\+ ?(U ?I|I ?U))|((I ?U|U ?I) ?\+ ?U)) *$""))"),FALSE)</f>
        <v>0</v>
      </c>
      <c r="X41" s="37" t="b">
        <f>IFERROR(__xludf.DUMMYFUNCTION("if(isblank(A41),,REGEXMATCH(B41,""^((N ?\+ ?(U ?I|I ?U))|((I ?U|U ?I) ?\+ ?N)) *$""))"),FALSE)</f>
        <v>0</v>
      </c>
      <c r="Y41" s="37" t="b">
        <f>IFERROR(__xludf.DUMMYFUNCTION("if(isblank(A41),,REGEXMATCH(B41,""^((I ?\+ ?(U ?D|D ?U))|((D ?U|U ?D) ?\+ ?I)) *$""))"),FALSE)</f>
        <v>0</v>
      </c>
      <c r="Z41" s="37" t="b">
        <f>IFERROR(__xludf.DUMMYFUNCTION("if(isblank(A41),,REGEXMATCH(B41,""^((D ?\+ ?(U ?D|D ?U))|((D ?U|U ?D) ?\+ ?D)) *$""))"),FALSE)</f>
        <v>0</v>
      </c>
      <c r="AA41" s="37" t="b">
        <f>IFERROR(__xludf.DUMMYFUNCTION("if(isblank(A41),,REGEXMATCH(B41,""^((U ?\+ ?(U ?D|D ?U))|((D ?U|U ?D) ?\+ ?U)) *$""))"),FALSE)</f>
        <v>0</v>
      </c>
      <c r="AB41" s="37" t="b">
        <f>IFERROR(__xludf.DUMMYFUNCTION("if(isblank(A41),,REGEXMATCH(B41,""^((D ?I|I ?D) ?\+ ?(D ?I|I ?D)) *$""))"),FALSE)</f>
        <v>0</v>
      </c>
      <c r="AC41" s="37" t="b">
        <f>IFERROR(__xludf.DUMMYFUNCTION("if(isblank(A41),,REGEXMATCH(B41,""^((D ?I|I ?D) ?\+ ?(U ?I|I ?U))|((U ?I|I ?U) ?\+ ?(D ?I|I ?D)) *$""))"),FALSE)</f>
        <v>0</v>
      </c>
      <c r="AD41" s="37" t="b">
        <f>IFERROR(__xludf.DUMMYFUNCTION("if(isblank(A41),,REGEXMATCH(B41,""^I *vs\. I *$""))"),FALSE)</f>
        <v>0</v>
      </c>
      <c r="AE41" s="37" t="b">
        <f>IFERROR(__xludf.DUMMYFUNCTION("if(isblank(A41),,REGEXMATCH(B41,""(^I *vs\. D *$)|(^D *vs\. I *$)""))"),FALSE)</f>
        <v>0</v>
      </c>
      <c r="AF41" s="37" t="b">
        <f>IFERROR(__xludf.DUMMYFUNCTION("if(isblank(A41),,REGEXMATCH(B41,""(^I *vs\. U *$)|(^U *vs\. I *$)""))"),FALSE)</f>
        <v>0</v>
      </c>
      <c r="AG41" s="37" t="b">
        <f>IFERROR(__xludf.DUMMYFUNCTION("if(isblank(A41),,REGEXMATCH(B41,""^D *vs\. D *$""))"),FALSE)</f>
        <v>0</v>
      </c>
      <c r="AH41" s="37" t="b">
        <f>IFERROR(__xludf.DUMMYFUNCTION("if(isblank(A41),,REGEXMATCH(B41,""(^U *vs\. D *$)|(^D *vs\. U *$)""))"),FALSE)</f>
        <v>0</v>
      </c>
      <c r="AI41" s="37" t="b">
        <f>IFERROR(__xludf.DUMMYFUNCTION("if(isblank(A41),,REGEXMATCH(B41,""^U *vs\. U *$""))"),TRUE)</f>
        <v>1</v>
      </c>
      <c r="AJ41" s="37" t="b">
        <f>IFERROR(__xludf.DUMMYFUNCTION("if(isblank(A41),,REGEXMATCH(B41,""^((I ?vs\. ?(D ?I|I ?D))|((D ?I|I ?D) ?vs\. ?I)) *$""))"),FALSE)</f>
        <v>0</v>
      </c>
      <c r="AK41" s="37" t="b">
        <f>IFERROR(__xludf.DUMMYFUNCTION("if(isblank(A41),,REGEXMATCH(B41,""^((D ?vs\. ?(D ?I|I ?D))|((D ?I|I ?D) ?vs\. ?D)) *$""))"),FALSE)</f>
        <v>0</v>
      </c>
      <c r="AL41" s="37" t="b">
        <f>IFERROR(__xludf.DUMMYFUNCTION("if(isblank(A41),,REGEXMATCH(B41,""^((U ?vs\. ?(D ?I|I ?D))|((D ?I|I ?D) ?vs\. ?U)) *$""))"),FALSE)</f>
        <v>0</v>
      </c>
      <c r="AM41" s="37" t="b">
        <f>IFERROR(__xludf.DUMMYFUNCTION("if(isblank(A41),,REGEXMATCH(B41,""^((I ?vs\. ?(U ?I|I ?U))|((U ?I|I ?U) ?vs\. ?I)) *$""))"),FALSE)</f>
        <v>0</v>
      </c>
      <c r="AN41" s="37" t="b">
        <f>IFERROR(__xludf.DUMMYFUNCTION("if(isblank(A41),,REGEXMATCH(B41,""^((D ?vs\. ?(U ?I|I ?U))|((U ?I|I ?U) ?vs\. ?D)) *$""))"),FALSE)</f>
        <v>0</v>
      </c>
      <c r="AO41" s="37" t="b">
        <f>IFERROR(__xludf.DUMMYFUNCTION("if(isblank(A41),,REGEXMATCH(B41,""^((U ?vs\. ?(U ?I|I ?U))|((U ?I|I ?U) ?vs\. ?U)) *$""))"),FALSE)</f>
        <v>0</v>
      </c>
      <c r="AP41" s="37" t="b">
        <f>IFERROR(__xludf.DUMMYFUNCTION("if(isblank(A41),,REGEXMATCH(B41,""^((I ?vs\. ?(U ?D|D ?U))|((D ?U|U ?D) ?vs\. ?I)) *$""))"),FALSE)</f>
        <v>0</v>
      </c>
      <c r="AQ41" s="37" t="b">
        <f>IFERROR(__xludf.DUMMYFUNCTION("if(isblank(A41),,REGEXMATCH(B41,""^((D ?vs\. ?(U ?D|D ?U))|((D ?U|U ?D) ?vs\. ?D)) *$""))"),FALSE)</f>
        <v>0</v>
      </c>
      <c r="AR41" s="37" t="b">
        <f>IFERROR(__xludf.DUMMYFUNCTION("if(isblank(A41),,REGEXMATCH(B41,""^((U ?vs\. ?(U ?D|D ?U))|((D ?U|U ?D) ?vs\. ?U)) *$""))"),FALSE)</f>
        <v>0</v>
      </c>
      <c r="AS41" s="37" t="b">
        <f>IFERROR(__xludf.DUMMYFUNCTION("if(isblank(A41),,REGEXMATCH(B41,""^((D ?I|I ?D) ?vs\. ?(D ?I|I ?D)) *$""))"),FALSE)</f>
        <v>0</v>
      </c>
      <c r="AT41" s="37" t="b">
        <f>IFERROR(__xludf.DUMMYFUNCTION("if(isblank(A41),,REGEXMATCH(B41,""^((D ?I|I ?D) ?vs\. ?(U ?I|I ?U))|((U ?I|I ?U) ?vs\. ?(D ?I|I ?D)) *$""))"),FALSE)</f>
        <v>0</v>
      </c>
      <c r="AU41" s="37" t="b">
        <f>IFERROR(__xludf.DUMMYFUNCTION("if(isblank(A41),,REGEXMATCH(B41,""^((D ?I|I ?D) ?vs\. ?(U ?D|D ?U))|((U ?D|D ?U) ?vs\. ?(D ?I|I ?D)) *$""))"),FALSE)</f>
        <v>0</v>
      </c>
      <c r="AV41" s="37" t="b">
        <f>IFERROR(__xludf.DUMMYFUNCTION("if(isblank(A41),,REGEXMATCH(B41,""^((U ?I|I ?U) ?vs\. ?(U ?I|I ?U)) *$""))"),FALSE)</f>
        <v>0</v>
      </c>
    </row>
    <row r="42" ht="26.25" customHeight="1">
      <c r="A42" s="79" t="str">
        <f>Paper_Textual_Conflict!M42</f>
        <v>I + N (import)
Origin(D I vs. D)</v>
      </c>
      <c r="B42" s="37" t="str">
        <f>IFERROR(__xludf.DUMMYFUNCTION("if(isblank(A42),,regexextract(REGEXEXTRACT(A42,""^.*""),""^[^(]*""))"),"I + N ")</f>
        <v>I + N </v>
      </c>
      <c r="C42" s="37" t="b">
        <f>IFERROR(__xludf.DUMMYFUNCTION("if(isblank(A42),,REGEXMATCH(B42,"".*\+.*"") )"),TRUE)</f>
        <v>1</v>
      </c>
      <c r="D42" s="37" t="b">
        <f>IFERROR(__xludf.DUMMYFUNCTION("if(isblank(A42),,REGEXMATCH(B42,"".*vs.*"") )"),FALSE)</f>
        <v>0</v>
      </c>
      <c r="E42" s="37" t="b">
        <f>Paper_Textual_Conflict!H42</f>
        <v>0</v>
      </c>
      <c r="F42" s="37" t="str">
        <f>Paper_Textual_Conflict!Q42</f>
        <v>Java</v>
      </c>
      <c r="G42" s="33">
        <v>42.0</v>
      </c>
      <c r="H42" s="37" t="b">
        <f>IFERROR(__xludf.DUMMYFUNCTION("if(isblank(A42),,REGEXMATCH(B42,""^I *\+ I *$""))"),FALSE)</f>
        <v>0</v>
      </c>
      <c r="I42" s="37" t="b">
        <f>IFERROR(__xludf.DUMMYFUNCTION("if(isblank(A42),,REGEXMATCH(B42,""(^I *\+ D *$)|(^D *\+ I *$)""))"),FALSE)</f>
        <v>0</v>
      </c>
      <c r="J42" s="37" t="b">
        <f>IFERROR(__xludf.DUMMYFUNCTION("if(isblank(A42),,REGEXMATCH(B42,""(^I *\+ U *$)|(^U *\+ I *$)""))"),FALSE)</f>
        <v>0</v>
      </c>
      <c r="K42" s="37" t="b">
        <f>IFERROR(__xludf.DUMMYFUNCTION("if(isblank(A42),,REGEXMATCH(B42,""(^I *\+ N *$)|(^N *\+ I *$)"") )"),TRUE)</f>
        <v>1</v>
      </c>
      <c r="L42" s="37" t="b">
        <f>IFERROR(__xludf.DUMMYFUNCTION("if(isblank(A42),,REGEXMATCH(B42,""^D *\+ D *$""))"),FALSE)</f>
        <v>0</v>
      </c>
      <c r="M42" s="37" t="b">
        <f>IFERROR(__xludf.DUMMYFUNCTION("if(isblank(A42),,REGEXMATCH(B42,""(^U *\+ D *$)|(^D *\+ U *$)""))"),FALSE)</f>
        <v>0</v>
      </c>
      <c r="N42" s="37" t="b">
        <f>IFERROR(__xludf.DUMMYFUNCTION("if(isblank(A42),,REGEXMATCH(B42,""(^N *\+ D *$)|(^D *\+ N *$)""))"),FALSE)</f>
        <v>0</v>
      </c>
      <c r="O42" s="37" t="b">
        <f>IFERROR(__xludf.DUMMYFUNCTION("if(isblank(A42),,REGEXMATCH(B42,""^U *\+ U *$""))"),FALSE)</f>
        <v>0</v>
      </c>
      <c r="P42" s="37" t="b">
        <f>IFERROR(__xludf.DUMMYFUNCTION("if(isblank(A42),,REGEXMATCH(B42,""(^U *\+ N *$)|(^N *\+ U *$)""))"),FALSE)</f>
        <v>0</v>
      </c>
      <c r="Q42" s="37" t="b">
        <f>IFERROR(__xludf.DUMMYFUNCTION("if(isblank(A42),,REGEXMATCH(B42,""^((I ?\+ ?(D ?I|I ?D))|((D ?I|I ?D) ?\+ ?I)) *$""))"),FALSE)</f>
        <v>0</v>
      </c>
      <c r="R42" s="37" t="b">
        <f>IFERROR(__xludf.DUMMYFUNCTION("if(isblank(A42),,REGEXMATCH(B42,""^((D ?\+ ?(D ?I|I ?D))|((D ?I|I ?D) ?\+ ?D)) *$""))"),FALSE)</f>
        <v>0</v>
      </c>
      <c r="S42" s="37" t="b">
        <f>IFERROR(__xludf.DUMMYFUNCTION("if(isblank(A42),,REGEXMATCH(B42,""^((U ?\+ ?(D ?I|I ?D))|((D ?I|I ?D) ?\+ ?U)) *$""))"),FALSE)</f>
        <v>0</v>
      </c>
      <c r="T42" s="37" t="b">
        <f>IFERROR(__xludf.DUMMYFUNCTION("if(isblank(A42),,REGEXMATCH(B42,""^((N ?\+ ?(D ?I|I ?D))|((D ?I|I ?D) ?\+ ?N)) *$""))"),FALSE)</f>
        <v>0</v>
      </c>
      <c r="U42" s="37" t="b">
        <f>IFERROR(__xludf.DUMMYFUNCTION("if(isblank(A42),,REGEXMATCH(B42,""^((I ?\+ ?(U ?I|I ?U))|((I ?U|U ?I) ?\+ ?I)) *$""))"),FALSE)</f>
        <v>0</v>
      </c>
      <c r="V42" s="37" t="b">
        <f>IFERROR(__xludf.DUMMYFUNCTION("if(isblank(A42),,REGEXMATCH(B42,""^((D ?\+ ?(U ?I|I ?U))|((I ?U|U ?I) ?\+ ?D)) *$""))"),FALSE)</f>
        <v>0</v>
      </c>
      <c r="W42" s="37" t="b">
        <f>IFERROR(__xludf.DUMMYFUNCTION("if(isblank(A42),,REGEXMATCH(B42,""^((U ?\+ ?(U ?I|I ?U))|((I ?U|U ?I) ?\+ ?U)) *$""))"),FALSE)</f>
        <v>0</v>
      </c>
      <c r="X42" s="37" t="b">
        <f>IFERROR(__xludf.DUMMYFUNCTION("if(isblank(A42),,REGEXMATCH(B42,""^((N ?\+ ?(U ?I|I ?U))|((I ?U|U ?I) ?\+ ?N)) *$""))"),FALSE)</f>
        <v>0</v>
      </c>
      <c r="Y42" s="37" t="b">
        <f>IFERROR(__xludf.DUMMYFUNCTION("if(isblank(A42),,REGEXMATCH(B42,""^((I ?\+ ?(U ?D|D ?U))|((D ?U|U ?D) ?\+ ?I)) *$""))"),FALSE)</f>
        <v>0</v>
      </c>
      <c r="Z42" s="37" t="b">
        <f>IFERROR(__xludf.DUMMYFUNCTION("if(isblank(A42),,REGEXMATCH(B42,""^((D ?\+ ?(U ?D|D ?U))|((D ?U|U ?D) ?\+ ?D)) *$""))"),FALSE)</f>
        <v>0</v>
      </c>
      <c r="AA42" s="37" t="b">
        <f>IFERROR(__xludf.DUMMYFUNCTION("if(isblank(A42),,REGEXMATCH(B42,""^((U ?\+ ?(U ?D|D ?U))|((D ?U|U ?D) ?\+ ?U)) *$""))"),FALSE)</f>
        <v>0</v>
      </c>
      <c r="AB42" s="37" t="b">
        <f>IFERROR(__xludf.DUMMYFUNCTION("if(isblank(A42),,REGEXMATCH(B42,""^((D ?I|I ?D) ?\+ ?(D ?I|I ?D)) *$""))"),FALSE)</f>
        <v>0</v>
      </c>
      <c r="AC42" s="37" t="b">
        <f>IFERROR(__xludf.DUMMYFUNCTION("if(isblank(A42),,REGEXMATCH(B42,""^((D ?I|I ?D) ?\+ ?(U ?I|I ?U))|((U ?I|I ?U) ?\+ ?(D ?I|I ?D)) *$""))"),FALSE)</f>
        <v>0</v>
      </c>
      <c r="AD42" s="37" t="b">
        <f>IFERROR(__xludf.DUMMYFUNCTION("if(isblank(A42),,REGEXMATCH(B42,""^I *vs\. I *$""))"),FALSE)</f>
        <v>0</v>
      </c>
      <c r="AE42" s="37" t="b">
        <f>IFERROR(__xludf.DUMMYFUNCTION("if(isblank(A42),,REGEXMATCH(B42,""(^I *vs\. D *$)|(^D *vs\. I *$)""))"),FALSE)</f>
        <v>0</v>
      </c>
      <c r="AF42" s="37" t="b">
        <f>IFERROR(__xludf.DUMMYFUNCTION("if(isblank(A42),,REGEXMATCH(B42,""(^I *vs\. U *$)|(^U *vs\. I *$)""))"),FALSE)</f>
        <v>0</v>
      </c>
      <c r="AG42" s="37" t="b">
        <f>IFERROR(__xludf.DUMMYFUNCTION("if(isblank(A42),,REGEXMATCH(B42,""^D *vs\. D *$""))"),FALSE)</f>
        <v>0</v>
      </c>
      <c r="AH42" s="37" t="b">
        <f>IFERROR(__xludf.DUMMYFUNCTION("if(isblank(A42),,REGEXMATCH(B42,""(^U *vs\. D *$)|(^D *vs\. U *$)""))"),FALSE)</f>
        <v>0</v>
      </c>
      <c r="AI42" s="37" t="b">
        <f>IFERROR(__xludf.DUMMYFUNCTION("if(isblank(A42),,REGEXMATCH(B42,""^U *vs\. U *$""))"),FALSE)</f>
        <v>0</v>
      </c>
      <c r="AJ42" s="37" t="b">
        <f>IFERROR(__xludf.DUMMYFUNCTION("if(isblank(A42),,REGEXMATCH(B42,""^((I ?vs\. ?(D ?I|I ?D))|((D ?I|I ?D) ?vs\. ?I)) *$""))"),FALSE)</f>
        <v>0</v>
      </c>
      <c r="AK42" s="37" t="b">
        <f>IFERROR(__xludf.DUMMYFUNCTION("if(isblank(A42),,REGEXMATCH(B42,""^((D ?vs\. ?(D ?I|I ?D))|((D ?I|I ?D) ?vs\. ?D)) *$""))"),FALSE)</f>
        <v>0</v>
      </c>
      <c r="AL42" s="37" t="b">
        <f>IFERROR(__xludf.DUMMYFUNCTION("if(isblank(A42),,REGEXMATCH(B42,""^((U ?vs\. ?(D ?I|I ?D))|((D ?I|I ?D) ?vs\. ?U)) *$""))"),FALSE)</f>
        <v>0</v>
      </c>
      <c r="AM42" s="37" t="b">
        <f>IFERROR(__xludf.DUMMYFUNCTION("if(isblank(A42),,REGEXMATCH(B42,""^((I ?vs\. ?(U ?I|I ?U))|((U ?I|I ?U) ?vs\. ?I)) *$""))"),FALSE)</f>
        <v>0</v>
      </c>
      <c r="AN42" s="37" t="b">
        <f>IFERROR(__xludf.DUMMYFUNCTION("if(isblank(A42),,REGEXMATCH(B42,""^((D ?vs\. ?(U ?I|I ?U))|((U ?I|I ?U) ?vs\. ?D)) *$""))"),FALSE)</f>
        <v>0</v>
      </c>
      <c r="AO42" s="37" t="b">
        <f>IFERROR(__xludf.DUMMYFUNCTION("if(isblank(A42),,REGEXMATCH(B42,""^((U ?vs\. ?(U ?I|I ?U))|((U ?I|I ?U) ?vs\. ?U)) *$""))"),FALSE)</f>
        <v>0</v>
      </c>
      <c r="AP42" s="37" t="b">
        <f>IFERROR(__xludf.DUMMYFUNCTION("if(isblank(A42),,REGEXMATCH(B42,""^((I ?vs\. ?(U ?D|D ?U))|((D ?U|U ?D) ?vs\. ?I)) *$""))"),FALSE)</f>
        <v>0</v>
      </c>
      <c r="AQ42" s="37" t="b">
        <f>IFERROR(__xludf.DUMMYFUNCTION("if(isblank(A42),,REGEXMATCH(B42,""^((D ?vs\. ?(U ?D|D ?U))|((D ?U|U ?D) ?vs\. ?D)) *$""))"),FALSE)</f>
        <v>0</v>
      </c>
      <c r="AR42" s="37" t="b">
        <f>IFERROR(__xludf.DUMMYFUNCTION("if(isblank(A42),,REGEXMATCH(B42,""^((U ?vs\. ?(U ?D|D ?U))|((D ?U|U ?D) ?vs\. ?U)) *$""))"),FALSE)</f>
        <v>0</v>
      </c>
      <c r="AS42" s="37" t="b">
        <f>IFERROR(__xludf.DUMMYFUNCTION("if(isblank(A42),,REGEXMATCH(B42,""^((D ?I|I ?D) ?vs\. ?(D ?I|I ?D)) *$""))"),FALSE)</f>
        <v>0</v>
      </c>
      <c r="AT42" s="37" t="b">
        <f>IFERROR(__xludf.DUMMYFUNCTION("if(isblank(A42),,REGEXMATCH(B42,""^((D ?I|I ?D) ?vs\. ?(U ?I|I ?U))|((U ?I|I ?U) ?vs\. ?(D ?I|I ?D)) *$""))"),FALSE)</f>
        <v>0</v>
      </c>
      <c r="AU42" s="37" t="b">
        <f>IFERROR(__xludf.DUMMYFUNCTION("if(isblank(A42),,REGEXMATCH(B42,""^((D ?I|I ?D) ?vs\. ?(U ?D|D ?U))|((U ?D|D ?U) ?vs\. ?(D ?I|I ?D)) *$""))"),FALSE)</f>
        <v>0</v>
      </c>
      <c r="AV42" s="37" t="b">
        <f>IFERROR(__xludf.DUMMYFUNCTION("if(isblank(A42),,REGEXMATCH(B42,""^((U ?I|I ?U) ?vs\. ?(U ?I|I ?U)) *$""))"),FALSE)</f>
        <v>0</v>
      </c>
    </row>
    <row r="43" ht="26.25" customHeight="1">
      <c r="A43" s="79" t="str">
        <f>Paper_Textual_Conflict!M43</f>
        <v>U vs. D (file)</v>
      </c>
      <c r="B43" s="37" t="str">
        <f>IFERROR(__xludf.DUMMYFUNCTION("if(isblank(A43),,regexextract(REGEXEXTRACT(A43,""^.*""),""^[^(]*""))"),"U vs. D ")</f>
        <v>U vs. D </v>
      </c>
      <c r="C43" s="37" t="b">
        <f>IFERROR(__xludf.DUMMYFUNCTION("if(isblank(A43),,REGEXMATCH(B43,"".*\+.*"") )"),FALSE)</f>
        <v>0</v>
      </c>
      <c r="D43" s="37" t="b">
        <f>IFERROR(__xludf.DUMMYFUNCTION("if(isblank(A43),,REGEXMATCH(B43,"".*vs.*"") )"),TRUE)</f>
        <v>1</v>
      </c>
      <c r="E43" s="37" t="b">
        <f>Paper_Textual_Conflict!H43</f>
        <v>1</v>
      </c>
      <c r="F43" s="37" t="str">
        <f>Paper_Textual_Conflict!Q43</f>
        <v>Non-Java</v>
      </c>
      <c r="G43" s="33">
        <v>43.0</v>
      </c>
      <c r="H43" s="37" t="b">
        <f>IFERROR(__xludf.DUMMYFUNCTION("if(isblank(A43),,REGEXMATCH(B43,""^I *\+ I *$""))"),FALSE)</f>
        <v>0</v>
      </c>
      <c r="I43" s="37" t="b">
        <f>IFERROR(__xludf.DUMMYFUNCTION("if(isblank(A43),,REGEXMATCH(B43,""(^I *\+ D *$)|(^D *\+ I *$)""))"),FALSE)</f>
        <v>0</v>
      </c>
      <c r="J43" s="37" t="b">
        <f>IFERROR(__xludf.DUMMYFUNCTION("if(isblank(A43),,REGEXMATCH(B43,""(^I *\+ U *$)|(^U *\+ I *$)""))"),FALSE)</f>
        <v>0</v>
      </c>
      <c r="K43" s="37" t="b">
        <f>IFERROR(__xludf.DUMMYFUNCTION("if(isblank(A43),,REGEXMATCH(B43,""(^I *\+ N *$)|(^N *\+ I *$)"") )"),FALSE)</f>
        <v>0</v>
      </c>
      <c r="L43" s="37" t="b">
        <f>IFERROR(__xludf.DUMMYFUNCTION("if(isblank(A43),,REGEXMATCH(B43,""^D *\+ D *$""))"),FALSE)</f>
        <v>0</v>
      </c>
      <c r="M43" s="37" t="b">
        <f>IFERROR(__xludf.DUMMYFUNCTION("if(isblank(A43),,REGEXMATCH(B43,""(^U *\+ D *$)|(^D *\+ U *$)""))"),FALSE)</f>
        <v>0</v>
      </c>
      <c r="N43" s="37" t="b">
        <f>IFERROR(__xludf.DUMMYFUNCTION("if(isblank(A43),,REGEXMATCH(B43,""(^N *\+ D *$)|(^D *\+ N *$)""))"),FALSE)</f>
        <v>0</v>
      </c>
      <c r="O43" s="37" t="b">
        <f>IFERROR(__xludf.DUMMYFUNCTION("if(isblank(A43),,REGEXMATCH(B43,""^U *\+ U *$""))"),FALSE)</f>
        <v>0</v>
      </c>
      <c r="P43" s="37" t="b">
        <f>IFERROR(__xludf.DUMMYFUNCTION("if(isblank(A43),,REGEXMATCH(B43,""(^U *\+ N *$)|(^N *\+ U *$)""))"),FALSE)</f>
        <v>0</v>
      </c>
      <c r="Q43" s="37" t="b">
        <f>IFERROR(__xludf.DUMMYFUNCTION("if(isblank(A43),,REGEXMATCH(B43,""^((I ?\+ ?(D ?I|I ?D))|((D ?I|I ?D) ?\+ ?I)) *$""))"),FALSE)</f>
        <v>0</v>
      </c>
      <c r="R43" s="37" t="b">
        <f>IFERROR(__xludf.DUMMYFUNCTION("if(isblank(A43),,REGEXMATCH(B43,""^((D ?\+ ?(D ?I|I ?D))|((D ?I|I ?D) ?\+ ?D)) *$""))"),FALSE)</f>
        <v>0</v>
      </c>
      <c r="S43" s="37" t="b">
        <f>IFERROR(__xludf.DUMMYFUNCTION("if(isblank(A43),,REGEXMATCH(B43,""^((U ?\+ ?(D ?I|I ?D))|((D ?I|I ?D) ?\+ ?U)) *$""))"),FALSE)</f>
        <v>0</v>
      </c>
      <c r="T43" s="37" t="b">
        <f>IFERROR(__xludf.DUMMYFUNCTION("if(isblank(A43),,REGEXMATCH(B43,""^((N ?\+ ?(D ?I|I ?D))|((D ?I|I ?D) ?\+ ?N)) *$""))"),FALSE)</f>
        <v>0</v>
      </c>
      <c r="U43" s="37" t="b">
        <f>IFERROR(__xludf.DUMMYFUNCTION("if(isblank(A43),,REGEXMATCH(B43,""^((I ?\+ ?(U ?I|I ?U))|((I ?U|U ?I) ?\+ ?I)) *$""))"),FALSE)</f>
        <v>0</v>
      </c>
      <c r="V43" s="37" t="b">
        <f>IFERROR(__xludf.DUMMYFUNCTION("if(isblank(A43),,REGEXMATCH(B43,""^((D ?\+ ?(U ?I|I ?U))|((I ?U|U ?I) ?\+ ?D)) *$""))"),FALSE)</f>
        <v>0</v>
      </c>
      <c r="W43" s="37" t="b">
        <f>IFERROR(__xludf.DUMMYFUNCTION("if(isblank(A43),,REGEXMATCH(B43,""^((U ?\+ ?(U ?I|I ?U))|((I ?U|U ?I) ?\+ ?U)) *$""))"),FALSE)</f>
        <v>0</v>
      </c>
      <c r="X43" s="37" t="b">
        <f>IFERROR(__xludf.DUMMYFUNCTION("if(isblank(A43),,REGEXMATCH(B43,""^((N ?\+ ?(U ?I|I ?U))|((I ?U|U ?I) ?\+ ?N)) *$""))"),FALSE)</f>
        <v>0</v>
      </c>
      <c r="Y43" s="37" t="b">
        <f>IFERROR(__xludf.DUMMYFUNCTION("if(isblank(A43),,REGEXMATCH(B43,""^((I ?\+ ?(U ?D|D ?U))|((D ?U|U ?D) ?\+ ?I)) *$""))"),FALSE)</f>
        <v>0</v>
      </c>
      <c r="Z43" s="37" t="b">
        <f>IFERROR(__xludf.DUMMYFUNCTION("if(isblank(A43),,REGEXMATCH(B43,""^((D ?\+ ?(U ?D|D ?U))|((D ?U|U ?D) ?\+ ?D)) *$""))"),FALSE)</f>
        <v>0</v>
      </c>
      <c r="AA43" s="37" t="b">
        <f>IFERROR(__xludf.DUMMYFUNCTION("if(isblank(A43),,REGEXMATCH(B43,""^((U ?\+ ?(U ?D|D ?U))|((D ?U|U ?D) ?\+ ?U)) *$""))"),FALSE)</f>
        <v>0</v>
      </c>
      <c r="AB43" s="37" t="b">
        <f>IFERROR(__xludf.DUMMYFUNCTION("if(isblank(A43),,REGEXMATCH(B43,""^((D ?I|I ?D) ?\+ ?(D ?I|I ?D)) *$""))"),FALSE)</f>
        <v>0</v>
      </c>
      <c r="AC43" s="37" t="b">
        <f>IFERROR(__xludf.DUMMYFUNCTION("if(isblank(A43),,REGEXMATCH(B43,""^((D ?I|I ?D) ?\+ ?(U ?I|I ?U))|((U ?I|I ?U) ?\+ ?(D ?I|I ?D)) *$""))"),FALSE)</f>
        <v>0</v>
      </c>
      <c r="AD43" s="37" t="b">
        <f>IFERROR(__xludf.DUMMYFUNCTION("if(isblank(A43),,REGEXMATCH(B43,""^I *vs\. I *$""))"),FALSE)</f>
        <v>0</v>
      </c>
      <c r="AE43" s="37" t="b">
        <f>IFERROR(__xludf.DUMMYFUNCTION("if(isblank(A43),,REGEXMATCH(B43,""(^I *vs\. D *$)|(^D *vs\. I *$)""))"),FALSE)</f>
        <v>0</v>
      </c>
      <c r="AF43" s="37" t="b">
        <f>IFERROR(__xludf.DUMMYFUNCTION("if(isblank(A43),,REGEXMATCH(B43,""(^I *vs\. U *$)|(^U *vs\. I *$)""))"),FALSE)</f>
        <v>0</v>
      </c>
      <c r="AG43" s="37" t="b">
        <f>IFERROR(__xludf.DUMMYFUNCTION("if(isblank(A43),,REGEXMATCH(B43,""^D *vs\. D *$""))"),FALSE)</f>
        <v>0</v>
      </c>
      <c r="AH43" s="37" t="b">
        <f>IFERROR(__xludf.DUMMYFUNCTION("if(isblank(A43),,REGEXMATCH(B43,""(^U *vs\. D *$)|(^D *vs\. U *$)""))"),TRUE)</f>
        <v>1</v>
      </c>
      <c r="AI43" s="37" t="b">
        <f>IFERROR(__xludf.DUMMYFUNCTION("if(isblank(A43),,REGEXMATCH(B43,""^U *vs\. U *$""))"),FALSE)</f>
        <v>0</v>
      </c>
      <c r="AJ43" s="37" t="b">
        <f>IFERROR(__xludf.DUMMYFUNCTION("if(isblank(A43),,REGEXMATCH(B43,""^((I ?vs\. ?(D ?I|I ?D))|((D ?I|I ?D) ?vs\. ?I)) *$""))"),FALSE)</f>
        <v>0</v>
      </c>
      <c r="AK43" s="37" t="b">
        <f>IFERROR(__xludf.DUMMYFUNCTION("if(isblank(A43),,REGEXMATCH(B43,""^((D ?vs\. ?(D ?I|I ?D))|((D ?I|I ?D) ?vs\. ?D)) *$""))"),FALSE)</f>
        <v>0</v>
      </c>
      <c r="AL43" s="37" t="b">
        <f>IFERROR(__xludf.DUMMYFUNCTION("if(isblank(A43),,REGEXMATCH(B43,""^((U ?vs\. ?(D ?I|I ?D))|((D ?I|I ?D) ?vs\. ?U)) *$""))"),FALSE)</f>
        <v>0</v>
      </c>
      <c r="AM43" s="37" t="b">
        <f>IFERROR(__xludf.DUMMYFUNCTION("if(isblank(A43),,REGEXMATCH(B43,""^((I ?vs\. ?(U ?I|I ?U))|((U ?I|I ?U) ?vs\. ?I)) *$""))"),FALSE)</f>
        <v>0</v>
      </c>
      <c r="AN43" s="37" t="b">
        <f>IFERROR(__xludf.DUMMYFUNCTION("if(isblank(A43),,REGEXMATCH(B43,""^((D ?vs\. ?(U ?I|I ?U))|((U ?I|I ?U) ?vs\. ?D)) *$""))"),FALSE)</f>
        <v>0</v>
      </c>
      <c r="AO43" s="37" t="b">
        <f>IFERROR(__xludf.DUMMYFUNCTION("if(isblank(A43),,REGEXMATCH(B43,""^((U ?vs\. ?(U ?I|I ?U))|((U ?I|I ?U) ?vs\. ?U)) *$""))"),FALSE)</f>
        <v>0</v>
      </c>
      <c r="AP43" s="37" t="b">
        <f>IFERROR(__xludf.DUMMYFUNCTION("if(isblank(A43),,REGEXMATCH(B43,""^((I ?vs\. ?(U ?D|D ?U))|((D ?U|U ?D) ?vs\. ?I)) *$""))"),FALSE)</f>
        <v>0</v>
      </c>
      <c r="AQ43" s="37" t="b">
        <f>IFERROR(__xludf.DUMMYFUNCTION("if(isblank(A43),,REGEXMATCH(B43,""^((D ?vs\. ?(U ?D|D ?U))|((D ?U|U ?D) ?vs\. ?D)) *$""))"),FALSE)</f>
        <v>0</v>
      </c>
      <c r="AR43" s="37" t="b">
        <f>IFERROR(__xludf.DUMMYFUNCTION("if(isblank(A43),,REGEXMATCH(B43,""^((U ?vs\. ?(U ?D|D ?U))|((D ?U|U ?D) ?vs\. ?U)) *$""))"),FALSE)</f>
        <v>0</v>
      </c>
      <c r="AS43" s="37" t="b">
        <f>IFERROR(__xludf.DUMMYFUNCTION("if(isblank(A43),,REGEXMATCH(B43,""^((D ?I|I ?D) ?vs\. ?(D ?I|I ?D)) *$""))"),FALSE)</f>
        <v>0</v>
      </c>
      <c r="AT43" s="37" t="b">
        <f>IFERROR(__xludf.DUMMYFUNCTION("if(isblank(A43),,REGEXMATCH(B43,""^((D ?I|I ?D) ?vs\. ?(U ?I|I ?U))|((U ?I|I ?U) ?vs\. ?(D ?I|I ?D)) *$""))"),FALSE)</f>
        <v>0</v>
      </c>
      <c r="AU43" s="37" t="b">
        <f>IFERROR(__xludf.DUMMYFUNCTION("if(isblank(A43),,REGEXMATCH(B43,""^((D ?I|I ?D) ?vs\. ?(U ?D|D ?U))|((U ?D|D ?U) ?vs\. ?(D ?I|I ?D)) *$""))"),FALSE)</f>
        <v>0</v>
      </c>
      <c r="AV43" s="37" t="b">
        <f>IFERROR(__xludf.DUMMYFUNCTION("if(isblank(A43),,REGEXMATCH(B43,""^((U ?I|I ?U) ?vs\. ?(U ?I|I ?U)) *$""))"),FALSE)</f>
        <v>0</v>
      </c>
    </row>
    <row r="44" ht="26.25" customHeight="1">
      <c r="A44" s="79" t="str">
        <f>Paper_Textual_Conflict!M44</f>
        <v>I vs. D (Java code inside method disconnect())</v>
      </c>
      <c r="B44" s="37" t="str">
        <f>IFERROR(__xludf.DUMMYFUNCTION("if(isblank(A44),,regexextract(REGEXEXTRACT(A44,""^.*""),""^[^(]*""))"),"I vs. D ")</f>
        <v>I vs. D </v>
      </c>
      <c r="C44" s="37" t="b">
        <f>IFERROR(__xludf.DUMMYFUNCTION("if(isblank(A44),,REGEXMATCH(B44,"".*\+.*"") )"),FALSE)</f>
        <v>0</v>
      </c>
      <c r="D44" s="37" t="b">
        <f>IFERROR(__xludf.DUMMYFUNCTION("if(isblank(A44),,REGEXMATCH(B44,"".*vs.*"") )"),TRUE)</f>
        <v>1</v>
      </c>
      <c r="E44" s="37" t="b">
        <f>Paper_Textual_Conflict!H44</f>
        <v>1</v>
      </c>
      <c r="F44" s="37" t="str">
        <f>Paper_Textual_Conflict!Q44</f>
        <v>Java</v>
      </c>
      <c r="G44" s="33">
        <v>44.0</v>
      </c>
      <c r="H44" s="37" t="b">
        <f>IFERROR(__xludf.DUMMYFUNCTION("if(isblank(A44),,REGEXMATCH(B44,""^I *\+ I *$""))"),FALSE)</f>
        <v>0</v>
      </c>
      <c r="I44" s="37" t="b">
        <f>IFERROR(__xludf.DUMMYFUNCTION("if(isblank(A44),,REGEXMATCH(B44,""(^I *\+ D *$)|(^D *\+ I *$)""))"),FALSE)</f>
        <v>0</v>
      </c>
      <c r="J44" s="37" t="b">
        <f>IFERROR(__xludf.DUMMYFUNCTION("if(isblank(A44),,REGEXMATCH(B44,""(^I *\+ U *$)|(^U *\+ I *$)""))"),FALSE)</f>
        <v>0</v>
      </c>
      <c r="K44" s="37" t="b">
        <f>IFERROR(__xludf.DUMMYFUNCTION("if(isblank(A44),,REGEXMATCH(B44,""(^I *\+ N *$)|(^N *\+ I *$)"") )"),FALSE)</f>
        <v>0</v>
      </c>
      <c r="L44" s="37" t="b">
        <f>IFERROR(__xludf.DUMMYFUNCTION("if(isblank(A44),,REGEXMATCH(B44,""^D *\+ D *$""))"),FALSE)</f>
        <v>0</v>
      </c>
      <c r="M44" s="37" t="b">
        <f>IFERROR(__xludf.DUMMYFUNCTION("if(isblank(A44),,REGEXMATCH(B44,""(^U *\+ D *$)|(^D *\+ U *$)""))"),FALSE)</f>
        <v>0</v>
      </c>
      <c r="N44" s="37" t="b">
        <f>IFERROR(__xludf.DUMMYFUNCTION("if(isblank(A44),,REGEXMATCH(B44,""(^N *\+ D *$)|(^D *\+ N *$)""))"),FALSE)</f>
        <v>0</v>
      </c>
      <c r="O44" s="37" t="b">
        <f>IFERROR(__xludf.DUMMYFUNCTION("if(isblank(A44),,REGEXMATCH(B44,""^U *\+ U *$""))"),FALSE)</f>
        <v>0</v>
      </c>
      <c r="P44" s="37" t="b">
        <f>IFERROR(__xludf.DUMMYFUNCTION("if(isblank(A44),,REGEXMATCH(B44,""(^U *\+ N *$)|(^N *\+ U *$)""))"),FALSE)</f>
        <v>0</v>
      </c>
      <c r="Q44" s="37" t="b">
        <f>IFERROR(__xludf.DUMMYFUNCTION("if(isblank(A44),,REGEXMATCH(B44,""^((I ?\+ ?(D ?I|I ?D))|((D ?I|I ?D) ?\+ ?I)) *$""))"),FALSE)</f>
        <v>0</v>
      </c>
      <c r="R44" s="37" t="b">
        <f>IFERROR(__xludf.DUMMYFUNCTION("if(isblank(A44),,REGEXMATCH(B44,""^((D ?\+ ?(D ?I|I ?D))|((D ?I|I ?D) ?\+ ?D)) *$""))"),FALSE)</f>
        <v>0</v>
      </c>
      <c r="S44" s="37" t="b">
        <f>IFERROR(__xludf.DUMMYFUNCTION("if(isblank(A44),,REGEXMATCH(B44,""^((U ?\+ ?(D ?I|I ?D))|((D ?I|I ?D) ?\+ ?U)) *$""))"),FALSE)</f>
        <v>0</v>
      </c>
      <c r="T44" s="37" t="b">
        <f>IFERROR(__xludf.DUMMYFUNCTION("if(isblank(A44),,REGEXMATCH(B44,""^((N ?\+ ?(D ?I|I ?D))|((D ?I|I ?D) ?\+ ?N)) *$""))"),FALSE)</f>
        <v>0</v>
      </c>
      <c r="U44" s="37" t="b">
        <f>IFERROR(__xludf.DUMMYFUNCTION("if(isblank(A44),,REGEXMATCH(B44,""^((I ?\+ ?(U ?I|I ?U))|((I ?U|U ?I) ?\+ ?I)) *$""))"),FALSE)</f>
        <v>0</v>
      </c>
      <c r="V44" s="37" t="b">
        <f>IFERROR(__xludf.DUMMYFUNCTION("if(isblank(A44),,REGEXMATCH(B44,""^((D ?\+ ?(U ?I|I ?U))|((I ?U|U ?I) ?\+ ?D)) *$""))"),FALSE)</f>
        <v>0</v>
      </c>
      <c r="W44" s="37" t="b">
        <f>IFERROR(__xludf.DUMMYFUNCTION("if(isblank(A44),,REGEXMATCH(B44,""^((U ?\+ ?(U ?I|I ?U))|((I ?U|U ?I) ?\+ ?U)) *$""))"),FALSE)</f>
        <v>0</v>
      </c>
      <c r="X44" s="37" t="b">
        <f>IFERROR(__xludf.DUMMYFUNCTION("if(isblank(A44),,REGEXMATCH(B44,""^((N ?\+ ?(U ?I|I ?U))|((I ?U|U ?I) ?\+ ?N)) *$""))"),FALSE)</f>
        <v>0</v>
      </c>
      <c r="Y44" s="37" t="b">
        <f>IFERROR(__xludf.DUMMYFUNCTION("if(isblank(A44),,REGEXMATCH(B44,""^((I ?\+ ?(U ?D|D ?U))|((D ?U|U ?D) ?\+ ?I)) *$""))"),FALSE)</f>
        <v>0</v>
      </c>
      <c r="Z44" s="37" t="b">
        <f>IFERROR(__xludf.DUMMYFUNCTION("if(isblank(A44),,REGEXMATCH(B44,""^((D ?\+ ?(U ?D|D ?U))|((D ?U|U ?D) ?\+ ?D)) *$""))"),FALSE)</f>
        <v>0</v>
      </c>
      <c r="AA44" s="37" t="b">
        <f>IFERROR(__xludf.DUMMYFUNCTION("if(isblank(A44),,REGEXMATCH(B44,""^((U ?\+ ?(U ?D|D ?U))|((D ?U|U ?D) ?\+ ?U)) *$""))"),FALSE)</f>
        <v>0</v>
      </c>
      <c r="AB44" s="37" t="b">
        <f>IFERROR(__xludf.DUMMYFUNCTION("if(isblank(A44),,REGEXMATCH(B44,""^((D ?I|I ?D) ?\+ ?(D ?I|I ?D)) *$""))"),FALSE)</f>
        <v>0</v>
      </c>
      <c r="AC44" s="37" t="b">
        <f>IFERROR(__xludf.DUMMYFUNCTION("if(isblank(A44),,REGEXMATCH(B44,""^((D ?I|I ?D) ?\+ ?(U ?I|I ?U))|((U ?I|I ?U) ?\+ ?(D ?I|I ?D)) *$""))"),FALSE)</f>
        <v>0</v>
      </c>
      <c r="AD44" s="37" t="b">
        <f>IFERROR(__xludf.DUMMYFUNCTION("if(isblank(A44),,REGEXMATCH(B44,""^I *vs\. I *$""))"),FALSE)</f>
        <v>0</v>
      </c>
      <c r="AE44" s="37" t="b">
        <f>IFERROR(__xludf.DUMMYFUNCTION("if(isblank(A44),,REGEXMATCH(B44,""(^I *vs\. D *$)|(^D *vs\. I *$)""))"),TRUE)</f>
        <v>1</v>
      </c>
      <c r="AF44" s="37" t="b">
        <f>IFERROR(__xludf.DUMMYFUNCTION("if(isblank(A44),,REGEXMATCH(B44,""(^I *vs\. U *$)|(^U *vs\. I *$)""))"),FALSE)</f>
        <v>0</v>
      </c>
      <c r="AG44" s="37" t="b">
        <f>IFERROR(__xludf.DUMMYFUNCTION("if(isblank(A44),,REGEXMATCH(B44,""^D *vs\. D *$""))"),FALSE)</f>
        <v>0</v>
      </c>
      <c r="AH44" s="37" t="b">
        <f>IFERROR(__xludf.DUMMYFUNCTION("if(isblank(A44),,REGEXMATCH(B44,""(^U *vs\. D *$)|(^D *vs\. U *$)""))"),FALSE)</f>
        <v>0</v>
      </c>
      <c r="AI44" s="37" t="b">
        <f>IFERROR(__xludf.DUMMYFUNCTION("if(isblank(A44),,REGEXMATCH(B44,""^U *vs\. U *$""))"),FALSE)</f>
        <v>0</v>
      </c>
      <c r="AJ44" s="37" t="b">
        <f>IFERROR(__xludf.DUMMYFUNCTION("if(isblank(A44),,REGEXMATCH(B44,""^((I ?vs\. ?(D ?I|I ?D))|((D ?I|I ?D) ?vs\. ?I)) *$""))"),FALSE)</f>
        <v>0</v>
      </c>
      <c r="AK44" s="37" t="b">
        <f>IFERROR(__xludf.DUMMYFUNCTION("if(isblank(A44),,REGEXMATCH(B44,""^((D ?vs\. ?(D ?I|I ?D))|((D ?I|I ?D) ?vs\. ?D)) *$""))"),FALSE)</f>
        <v>0</v>
      </c>
      <c r="AL44" s="37" t="b">
        <f>IFERROR(__xludf.DUMMYFUNCTION("if(isblank(A44),,REGEXMATCH(B44,""^((U ?vs\. ?(D ?I|I ?D))|((D ?I|I ?D) ?vs\. ?U)) *$""))"),FALSE)</f>
        <v>0</v>
      </c>
      <c r="AM44" s="37" t="b">
        <f>IFERROR(__xludf.DUMMYFUNCTION("if(isblank(A44),,REGEXMATCH(B44,""^((I ?vs\. ?(U ?I|I ?U))|((U ?I|I ?U) ?vs\. ?I)) *$""))"),FALSE)</f>
        <v>0</v>
      </c>
      <c r="AN44" s="37" t="b">
        <f>IFERROR(__xludf.DUMMYFUNCTION("if(isblank(A44),,REGEXMATCH(B44,""^((D ?vs\. ?(U ?I|I ?U))|((U ?I|I ?U) ?vs\. ?D)) *$""))"),FALSE)</f>
        <v>0</v>
      </c>
      <c r="AO44" s="37" t="b">
        <f>IFERROR(__xludf.DUMMYFUNCTION("if(isblank(A44),,REGEXMATCH(B44,""^((U ?vs\. ?(U ?I|I ?U))|((U ?I|I ?U) ?vs\. ?U)) *$""))"),FALSE)</f>
        <v>0</v>
      </c>
      <c r="AP44" s="37" t="b">
        <f>IFERROR(__xludf.DUMMYFUNCTION("if(isblank(A44),,REGEXMATCH(B44,""^((I ?vs\. ?(U ?D|D ?U))|((D ?U|U ?D) ?vs\. ?I)) *$""))"),FALSE)</f>
        <v>0</v>
      </c>
      <c r="AQ44" s="37" t="b">
        <f>IFERROR(__xludf.DUMMYFUNCTION("if(isblank(A44),,REGEXMATCH(B44,""^((D ?vs\. ?(U ?D|D ?U))|((D ?U|U ?D) ?vs\. ?D)) *$""))"),FALSE)</f>
        <v>0</v>
      </c>
      <c r="AR44" s="37" t="b">
        <f>IFERROR(__xludf.DUMMYFUNCTION("if(isblank(A44),,REGEXMATCH(B44,""^((U ?vs\. ?(U ?D|D ?U))|((D ?U|U ?D) ?vs\. ?U)) *$""))"),FALSE)</f>
        <v>0</v>
      </c>
      <c r="AS44" s="37" t="b">
        <f>IFERROR(__xludf.DUMMYFUNCTION("if(isblank(A44),,REGEXMATCH(B44,""^((D ?I|I ?D) ?vs\. ?(D ?I|I ?D)) *$""))"),FALSE)</f>
        <v>0</v>
      </c>
      <c r="AT44" s="37" t="b">
        <f>IFERROR(__xludf.DUMMYFUNCTION("if(isblank(A44),,REGEXMATCH(B44,""^((D ?I|I ?D) ?vs\. ?(U ?I|I ?U))|((U ?I|I ?U) ?vs\. ?(D ?I|I ?D)) *$""))"),FALSE)</f>
        <v>0</v>
      </c>
      <c r="AU44" s="37" t="b">
        <f>IFERROR(__xludf.DUMMYFUNCTION("if(isblank(A44),,REGEXMATCH(B44,""^((D ?I|I ?D) ?vs\. ?(U ?D|D ?U))|((U ?D|D ?U) ?vs\. ?(D ?I|I ?D)) *$""))"),FALSE)</f>
        <v>0</v>
      </c>
      <c r="AV44" s="37" t="b">
        <f>IFERROR(__xludf.DUMMYFUNCTION("if(isblank(A44),,REGEXMATCH(B44,""^((U ?I|I ?U) ?vs\. ?(U ?I|I ?U)) *$""))"),FALSE)</f>
        <v>0</v>
      </c>
    </row>
    <row r="45" ht="26.25" customHeight="1">
      <c r="A45" s="79" t="str">
        <f>Paper_Textual_Conflict!M45</f>
        <v>U vs. D (file)</v>
      </c>
      <c r="B45" s="37" t="str">
        <f>IFERROR(__xludf.DUMMYFUNCTION("if(isblank(A45),,regexextract(REGEXEXTRACT(A45,""^.*""),""^[^(]*""))"),"U vs. D ")</f>
        <v>U vs. D </v>
      </c>
      <c r="C45" s="37" t="b">
        <f>IFERROR(__xludf.DUMMYFUNCTION("if(isblank(A45),,REGEXMATCH(B45,"".*\+.*"") )"),FALSE)</f>
        <v>0</v>
      </c>
      <c r="D45" s="37" t="b">
        <f>IFERROR(__xludf.DUMMYFUNCTION("if(isblank(A45),,REGEXMATCH(B45,"".*vs.*"") )"),TRUE)</f>
        <v>1</v>
      </c>
      <c r="E45" s="37" t="b">
        <f>Paper_Textual_Conflict!H45</f>
        <v>1</v>
      </c>
      <c r="F45" s="37" t="str">
        <f>Paper_Textual_Conflict!Q45</f>
        <v>Java</v>
      </c>
      <c r="G45" s="33">
        <v>45.0</v>
      </c>
      <c r="H45" s="37" t="b">
        <f>IFERROR(__xludf.DUMMYFUNCTION("if(isblank(A45),,REGEXMATCH(B45,""^I *\+ I *$""))"),FALSE)</f>
        <v>0</v>
      </c>
      <c r="I45" s="37" t="b">
        <f>IFERROR(__xludf.DUMMYFUNCTION("if(isblank(A45),,REGEXMATCH(B45,""(^I *\+ D *$)|(^D *\+ I *$)""))"),FALSE)</f>
        <v>0</v>
      </c>
      <c r="J45" s="37" t="b">
        <f>IFERROR(__xludf.DUMMYFUNCTION("if(isblank(A45),,REGEXMATCH(B45,""(^I *\+ U *$)|(^U *\+ I *$)""))"),FALSE)</f>
        <v>0</v>
      </c>
      <c r="K45" s="37" t="b">
        <f>IFERROR(__xludf.DUMMYFUNCTION("if(isblank(A45),,REGEXMATCH(B45,""(^I *\+ N *$)|(^N *\+ I *$)"") )"),FALSE)</f>
        <v>0</v>
      </c>
      <c r="L45" s="37" t="b">
        <f>IFERROR(__xludf.DUMMYFUNCTION("if(isblank(A45),,REGEXMATCH(B45,""^D *\+ D *$""))"),FALSE)</f>
        <v>0</v>
      </c>
      <c r="M45" s="37" t="b">
        <f>IFERROR(__xludf.DUMMYFUNCTION("if(isblank(A45),,REGEXMATCH(B45,""(^U *\+ D *$)|(^D *\+ U *$)""))"),FALSE)</f>
        <v>0</v>
      </c>
      <c r="N45" s="37" t="b">
        <f>IFERROR(__xludf.DUMMYFUNCTION("if(isblank(A45),,REGEXMATCH(B45,""(^N *\+ D *$)|(^D *\+ N *$)""))"),FALSE)</f>
        <v>0</v>
      </c>
      <c r="O45" s="37" t="b">
        <f>IFERROR(__xludf.DUMMYFUNCTION("if(isblank(A45),,REGEXMATCH(B45,""^U *\+ U *$""))"),FALSE)</f>
        <v>0</v>
      </c>
      <c r="P45" s="37" t="b">
        <f>IFERROR(__xludf.DUMMYFUNCTION("if(isblank(A45),,REGEXMATCH(B45,""(^U *\+ N *$)|(^N *\+ U *$)""))"),FALSE)</f>
        <v>0</v>
      </c>
      <c r="Q45" s="37" t="b">
        <f>IFERROR(__xludf.DUMMYFUNCTION("if(isblank(A45),,REGEXMATCH(B45,""^((I ?\+ ?(D ?I|I ?D))|((D ?I|I ?D) ?\+ ?I)) *$""))"),FALSE)</f>
        <v>0</v>
      </c>
      <c r="R45" s="37" t="b">
        <f>IFERROR(__xludf.DUMMYFUNCTION("if(isblank(A45),,REGEXMATCH(B45,""^((D ?\+ ?(D ?I|I ?D))|((D ?I|I ?D) ?\+ ?D)) *$""))"),FALSE)</f>
        <v>0</v>
      </c>
      <c r="S45" s="37" t="b">
        <f>IFERROR(__xludf.DUMMYFUNCTION("if(isblank(A45),,REGEXMATCH(B45,""^((U ?\+ ?(D ?I|I ?D))|((D ?I|I ?D) ?\+ ?U)) *$""))"),FALSE)</f>
        <v>0</v>
      </c>
      <c r="T45" s="37" t="b">
        <f>IFERROR(__xludf.DUMMYFUNCTION("if(isblank(A45),,REGEXMATCH(B45,""^((N ?\+ ?(D ?I|I ?D))|((D ?I|I ?D) ?\+ ?N)) *$""))"),FALSE)</f>
        <v>0</v>
      </c>
      <c r="U45" s="37" t="b">
        <f>IFERROR(__xludf.DUMMYFUNCTION("if(isblank(A45),,REGEXMATCH(B45,""^((I ?\+ ?(U ?I|I ?U))|((I ?U|U ?I) ?\+ ?I)) *$""))"),FALSE)</f>
        <v>0</v>
      </c>
      <c r="V45" s="37" t="b">
        <f>IFERROR(__xludf.DUMMYFUNCTION("if(isblank(A45),,REGEXMATCH(B45,""^((D ?\+ ?(U ?I|I ?U))|((I ?U|U ?I) ?\+ ?D)) *$""))"),FALSE)</f>
        <v>0</v>
      </c>
      <c r="W45" s="37" t="b">
        <f>IFERROR(__xludf.DUMMYFUNCTION("if(isblank(A45),,REGEXMATCH(B45,""^((U ?\+ ?(U ?I|I ?U))|((I ?U|U ?I) ?\+ ?U)) *$""))"),FALSE)</f>
        <v>0</v>
      </c>
      <c r="X45" s="37" t="b">
        <f>IFERROR(__xludf.DUMMYFUNCTION("if(isblank(A45),,REGEXMATCH(B45,""^((N ?\+ ?(U ?I|I ?U))|((I ?U|U ?I) ?\+ ?N)) *$""))"),FALSE)</f>
        <v>0</v>
      </c>
      <c r="Y45" s="37" t="b">
        <f>IFERROR(__xludf.DUMMYFUNCTION("if(isblank(A45),,REGEXMATCH(B45,""^((I ?\+ ?(U ?D|D ?U))|((D ?U|U ?D) ?\+ ?I)) *$""))"),FALSE)</f>
        <v>0</v>
      </c>
      <c r="Z45" s="37" t="b">
        <f>IFERROR(__xludf.DUMMYFUNCTION("if(isblank(A45),,REGEXMATCH(B45,""^((D ?\+ ?(U ?D|D ?U))|((D ?U|U ?D) ?\+ ?D)) *$""))"),FALSE)</f>
        <v>0</v>
      </c>
      <c r="AA45" s="37" t="b">
        <f>IFERROR(__xludf.DUMMYFUNCTION("if(isblank(A45),,REGEXMATCH(B45,""^((U ?\+ ?(U ?D|D ?U))|((D ?U|U ?D) ?\+ ?U)) *$""))"),FALSE)</f>
        <v>0</v>
      </c>
      <c r="AB45" s="37" t="b">
        <f>IFERROR(__xludf.DUMMYFUNCTION("if(isblank(A45),,REGEXMATCH(B45,""^((D ?I|I ?D) ?\+ ?(D ?I|I ?D)) *$""))"),FALSE)</f>
        <v>0</v>
      </c>
      <c r="AC45" s="37" t="b">
        <f>IFERROR(__xludf.DUMMYFUNCTION("if(isblank(A45),,REGEXMATCH(B45,""^((D ?I|I ?D) ?\+ ?(U ?I|I ?U))|((U ?I|I ?U) ?\+ ?(D ?I|I ?D)) *$""))"),FALSE)</f>
        <v>0</v>
      </c>
      <c r="AD45" s="37" t="b">
        <f>IFERROR(__xludf.DUMMYFUNCTION("if(isblank(A45),,REGEXMATCH(B45,""^I *vs\. I *$""))"),FALSE)</f>
        <v>0</v>
      </c>
      <c r="AE45" s="37" t="b">
        <f>IFERROR(__xludf.DUMMYFUNCTION("if(isblank(A45),,REGEXMATCH(B45,""(^I *vs\. D *$)|(^D *vs\. I *$)""))"),FALSE)</f>
        <v>0</v>
      </c>
      <c r="AF45" s="37" t="b">
        <f>IFERROR(__xludf.DUMMYFUNCTION("if(isblank(A45),,REGEXMATCH(B45,""(^I *vs\. U *$)|(^U *vs\. I *$)""))"),FALSE)</f>
        <v>0</v>
      </c>
      <c r="AG45" s="37" t="b">
        <f>IFERROR(__xludf.DUMMYFUNCTION("if(isblank(A45),,REGEXMATCH(B45,""^D *vs\. D *$""))"),FALSE)</f>
        <v>0</v>
      </c>
      <c r="AH45" s="37" t="b">
        <f>IFERROR(__xludf.DUMMYFUNCTION("if(isblank(A45),,REGEXMATCH(B45,""(^U *vs\. D *$)|(^D *vs\. U *$)""))"),TRUE)</f>
        <v>1</v>
      </c>
      <c r="AI45" s="37" t="b">
        <f>IFERROR(__xludf.DUMMYFUNCTION("if(isblank(A45),,REGEXMATCH(B45,""^U *vs\. U *$""))"),FALSE)</f>
        <v>0</v>
      </c>
      <c r="AJ45" s="37" t="b">
        <f>IFERROR(__xludf.DUMMYFUNCTION("if(isblank(A45),,REGEXMATCH(B45,""^((I ?vs\. ?(D ?I|I ?D))|((D ?I|I ?D) ?vs\. ?I)) *$""))"),FALSE)</f>
        <v>0</v>
      </c>
      <c r="AK45" s="37" t="b">
        <f>IFERROR(__xludf.DUMMYFUNCTION("if(isblank(A45),,REGEXMATCH(B45,""^((D ?vs\. ?(D ?I|I ?D))|((D ?I|I ?D) ?vs\. ?D)) *$""))"),FALSE)</f>
        <v>0</v>
      </c>
      <c r="AL45" s="37" t="b">
        <f>IFERROR(__xludf.DUMMYFUNCTION("if(isblank(A45),,REGEXMATCH(B45,""^((U ?vs\. ?(D ?I|I ?D))|((D ?I|I ?D) ?vs\. ?U)) *$""))"),FALSE)</f>
        <v>0</v>
      </c>
      <c r="AM45" s="37" t="b">
        <f>IFERROR(__xludf.DUMMYFUNCTION("if(isblank(A45),,REGEXMATCH(B45,""^((I ?vs\. ?(U ?I|I ?U))|((U ?I|I ?U) ?vs\. ?I)) *$""))"),FALSE)</f>
        <v>0</v>
      </c>
      <c r="AN45" s="37" t="b">
        <f>IFERROR(__xludf.DUMMYFUNCTION("if(isblank(A45),,REGEXMATCH(B45,""^((D ?vs\. ?(U ?I|I ?U))|((U ?I|I ?U) ?vs\. ?D)) *$""))"),FALSE)</f>
        <v>0</v>
      </c>
      <c r="AO45" s="37" t="b">
        <f>IFERROR(__xludf.DUMMYFUNCTION("if(isblank(A45),,REGEXMATCH(B45,""^((U ?vs\. ?(U ?I|I ?U))|((U ?I|I ?U) ?vs\. ?U)) *$""))"),FALSE)</f>
        <v>0</v>
      </c>
      <c r="AP45" s="37" t="b">
        <f>IFERROR(__xludf.DUMMYFUNCTION("if(isblank(A45),,REGEXMATCH(B45,""^((I ?vs\. ?(U ?D|D ?U))|((D ?U|U ?D) ?vs\. ?I)) *$""))"),FALSE)</f>
        <v>0</v>
      </c>
      <c r="AQ45" s="37" t="b">
        <f>IFERROR(__xludf.DUMMYFUNCTION("if(isblank(A45),,REGEXMATCH(B45,""^((D ?vs\. ?(U ?D|D ?U))|((D ?U|U ?D) ?vs\. ?D)) *$""))"),FALSE)</f>
        <v>0</v>
      </c>
      <c r="AR45" s="37" t="b">
        <f>IFERROR(__xludf.DUMMYFUNCTION("if(isblank(A45),,REGEXMATCH(B45,""^((U ?vs\. ?(U ?D|D ?U))|((D ?U|U ?D) ?vs\. ?U)) *$""))"),FALSE)</f>
        <v>0</v>
      </c>
      <c r="AS45" s="37" t="b">
        <f>IFERROR(__xludf.DUMMYFUNCTION("if(isblank(A45),,REGEXMATCH(B45,""^((D ?I|I ?D) ?vs\. ?(D ?I|I ?D)) *$""))"),FALSE)</f>
        <v>0</v>
      </c>
      <c r="AT45" s="37" t="b">
        <f>IFERROR(__xludf.DUMMYFUNCTION("if(isblank(A45),,REGEXMATCH(B45,""^((D ?I|I ?D) ?vs\. ?(U ?I|I ?U))|((U ?I|I ?U) ?vs\. ?(D ?I|I ?D)) *$""))"),FALSE)</f>
        <v>0</v>
      </c>
      <c r="AU45" s="37" t="b">
        <f>IFERROR(__xludf.DUMMYFUNCTION("if(isblank(A45),,REGEXMATCH(B45,""^((D ?I|I ?D) ?vs\. ?(U ?D|D ?U))|((U ?D|D ?U) ?vs\. ?(D ?I|I ?D)) *$""))"),FALSE)</f>
        <v>0</v>
      </c>
      <c r="AV45" s="37" t="b">
        <f>IFERROR(__xludf.DUMMYFUNCTION("if(isblank(A45),,REGEXMATCH(B45,""^((U ?I|I ?U) ?vs\. ?(U ?I|I ?U)) *$""))"),FALSE)</f>
        <v>0</v>
      </c>
    </row>
    <row r="46" ht="26.25" customHeight="1">
      <c r="A46" s="79" t="str">
        <f>Paper_Textual_Conflict!M46</f>
        <v>I vs. I (import)</v>
      </c>
      <c r="B46" s="37" t="str">
        <f>IFERROR(__xludf.DUMMYFUNCTION("if(isblank(A46),,regexextract(REGEXEXTRACT(A46,""^.*""),""^[^(]*""))"),"I vs. I ")</f>
        <v>I vs. I </v>
      </c>
      <c r="C46" s="37" t="b">
        <f>IFERROR(__xludf.DUMMYFUNCTION("if(isblank(A46),,REGEXMATCH(B46,"".*\+.*"") )"),FALSE)</f>
        <v>0</v>
      </c>
      <c r="D46" s="37" t="b">
        <f>IFERROR(__xludf.DUMMYFUNCTION("if(isblank(A46),,REGEXMATCH(B46,"".*vs.*"") )"),TRUE)</f>
        <v>1</v>
      </c>
      <c r="E46" s="37" t="b">
        <f>Paper_Textual_Conflict!H46</f>
        <v>1</v>
      </c>
      <c r="F46" s="37" t="str">
        <f>Paper_Textual_Conflict!Q46</f>
        <v>Java</v>
      </c>
      <c r="G46" s="33">
        <v>46.0</v>
      </c>
      <c r="H46" s="37" t="b">
        <f>IFERROR(__xludf.DUMMYFUNCTION("if(isblank(A46),,REGEXMATCH(B46,""^I *\+ I *$""))"),FALSE)</f>
        <v>0</v>
      </c>
      <c r="I46" s="37" t="b">
        <f>IFERROR(__xludf.DUMMYFUNCTION("if(isblank(A46),,REGEXMATCH(B46,""(^I *\+ D *$)|(^D *\+ I *$)""))"),FALSE)</f>
        <v>0</v>
      </c>
      <c r="J46" s="37" t="b">
        <f>IFERROR(__xludf.DUMMYFUNCTION("if(isblank(A46),,REGEXMATCH(B46,""(^I *\+ U *$)|(^U *\+ I *$)""))"),FALSE)</f>
        <v>0</v>
      </c>
      <c r="K46" s="37" t="b">
        <f>IFERROR(__xludf.DUMMYFUNCTION("if(isblank(A46),,REGEXMATCH(B46,""(^I *\+ N *$)|(^N *\+ I *$)"") )"),FALSE)</f>
        <v>0</v>
      </c>
      <c r="L46" s="37" t="b">
        <f>IFERROR(__xludf.DUMMYFUNCTION("if(isblank(A46),,REGEXMATCH(B46,""^D *\+ D *$""))"),FALSE)</f>
        <v>0</v>
      </c>
      <c r="M46" s="37" t="b">
        <f>IFERROR(__xludf.DUMMYFUNCTION("if(isblank(A46),,REGEXMATCH(B46,""(^U *\+ D *$)|(^D *\+ U *$)""))"),FALSE)</f>
        <v>0</v>
      </c>
      <c r="N46" s="37" t="b">
        <f>IFERROR(__xludf.DUMMYFUNCTION("if(isblank(A46),,REGEXMATCH(B46,""(^N *\+ D *$)|(^D *\+ N *$)""))"),FALSE)</f>
        <v>0</v>
      </c>
      <c r="O46" s="37" t="b">
        <f>IFERROR(__xludf.DUMMYFUNCTION("if(isblank(A46),,REGEXMATCH(B46,""^U *\+ U *$""))"),FALSE)</f>
        <v>0</v>
      </c>
      <c r="P46" s="37" t="b">
        <f>IFERROR(__xludf.DUMMYFUNCTION("if(isblank(A46),,REGEXMATCH(B46,""(^U *\+ N *$)|(^N *\+ U *$)""))"),FALSE)</f>
        <v>0</v>
      </c>
      <c r="Q46" s="37" t="b">
        <f>IFERROR(__xludf.DUMMYFUNCTION("if(isblank(A46),,REGEXMATCH(B46,""^((I ?\+ ?(D ?I|I ?D))|((D ?I|I ?D) ?\+ ?I)) *$""))"),FALSE)</f>
        <v>0</v>
      </c>
      <c r="R46" s="37" t="b">
        <f>IFERROR(__xludf.DUMMYFUNCTION("if(isblank(A46),,REGEXMATCH(B46,""^((D ?\+ ?(D ?I|I ?D))|((D ?I|I ?D) ?\+ ?D)) *$""))"),FALSE)</f>
        <v>0</v>
      </c>
      <c r="S46" s="37" t="b">
        <f>IFERROR(__xludf.DUMMYFUNCTION("if(isblank(A46),,REGEXMATCH(B46,""^((U ?\+ ?(D ?I|I ?D))|((D ?I|I ?D) ?\+ ?U)) *$""))"),FALSE)</f>
        <v>0</v>
      </c>
      <c r="T46" s="37" t="b">
        <f>IFERROR(__xludf.DUMMYFUNCTION("if(isblank(A46),,REGEXMATCH(B46,""^((N ?\+ ?(D ?I|I ?D))|((D ?I|I ?D) ?\+ ?N)) *$""))"),FALSE)</f>
        <v>0</v>
      </c>
      <c r="U46" s="37" t="b">
        <f>IFERROR(__xludf.DUMMYFUNCTION("if(isblank(A46),,REGEXMATCH(B46,""^((I ?\+ ?(U ?I|I ?U))|((I ?U|U ?I) ?\+ ?I)) *$""))"),FALSE)</f>
        <v>0</v>
      </c>
      <c r="V46" s="37" t="b">
        <f>IFERROR(__xludf.DUMMYFUNCTION("if(isblank(A46),,REGEXMATCH(B46,""^((D ?\+ ?(U ?I|I ?U))|((I ?U|U ?I) ?\+ ?D)) *$""))"),FALSE)</f>
        <v>0</v>
      </c>
      <c r="W46" s="37" t="b">
        <f>IFERROR(__xludf.DUMMYFUNCTION("if(isblank(A46),,REGEXMATCH(B46,""^((U ?\+ ?(U ?I|I ?U))|((I ?U|U ?I) ?\+ ?U)) *$""))"),FALSE)</f>
        <v>0</v>
      </c>
      <c r="X46" s="37" t="b">
        <f>IFERROR(__xludf.DUMMYFUNCTION("if(isblank(A46),,REGEXMATCH(B46,""^((N ?\+ ?(U ?I|I ?U))|((I ?U|U ?I) ?\+ ?N)) *$""))"),FALSE)</f>
        <v>0</v>
      </c>
      <c r="Y46" s="37" t="b">
        <f>IFERROR(__xludf.DUMMYFUNCTION("if(isblank(A46),,REGEXMATCH(B46,""^((I ?\+ ?(U ?D|D ?U))|((D ?U|U ?D) ?\+ ?I)) *$""))"),FALSE)</f>
        <v>0</v>
      </c>
      <c r="Z46" s="37" t="b">
        <f>IFERROR(__xludf.DUMMYFUNCTION("if(isblank(A46),,REGEXMATCH(B46,""^((D ?\+ ?(U ?D|D ?U))|((D ?U|U ?D) ?\+ ?D)) *$""))"),FALSE)</f>
        <v>0</v>
      </c>
      <c r="AA46" s="37" t="b">
        <f>IFERROR(__xludf.DUMMYFUNCTION("if(isblank(A46),,REGEXMATCH(B46,""^((U ?\+ ?(U ?D|D ?U))|((D ?U|U ?D) ?\+ ?U)) *$""))"),FALSE)</f>
        <v>0</v>
      </c>
      <c r="AB46" s="37" t="b">
        <f>IFERROR(__xludf.DUMMYFUNCTION("if(isblank(A46),,REGEXMATCH(B46,""^((D ?I|I ?D) ?\+ ?(D ?I|I ?D)) *$""))"),FALSE)</f>
        <v>0</v>
      </c>
      <c r="AC46" s="37" t="b">
        <f>IFERROR(__xludf.DUMMYFUNCTION("if(isblank(A46),,REGEXMATCH(B46,""^((D ?I|I ?D) ?\+ ?(U ?I|I ?U))|((U ?I|I ?U) ?\+ ?(D ?I|I ?D)) *$""))"),FALSE)</f>
        <v>0</v>
      </c>
      <c r="AD46" s="37" t="b">
        <f>IFERROR(__xludf.DUMMYFUNCTION("if(isblank(A46),,REGEXMATCH(B46,""^I *vs\. I *$""))"),TRUE)</f>
        <v>1</v>
      </c>
      <c r="AE46" s="37" t="b">
        <f>IFERROR(__xludf.DUMMYFUNCTION("if(isblank(A46),,REGEXMATCH(B46,""(^I *vs\. D *$)|(^D *vs\. I *$)""))"),FALSE)</f>
        <v>0</v>
      </c>
      <c r="AF46" s="37" t="b">
        <f>IFERROR(__xludf.DUMMYFUNCTION("if(isblank(A46),,REGEXMATCH(B46,""(^I *vs\. U *$)|(^U *vs\. I *$)""))"),FALSE)</f>
        <v>0</v>
      </c>
      <c r="AG46" s="37" t="b">
        <f>IFERROR(__xludf.DUMMYFUNCTION("if(isblank(A46),,REGEXMATCH(B46,""^D *vs\. D *$""))"),FALSE)</f>
        <v>0</v>
      </c>
      <c r="AH46" s="37" t="b">
        <f>IFERROR(__xludf.DUMMYFUNCTION("if(isblank(A46),,REGEXMATCH(B46,""(^U *vs\. D *$)|(^D *vs\. U *$)""))"),FALSE)</f>
        <v>0</v>
      </c>
      <c r="AI46" s="37" t="b">
        <f>IFERROR(__xludf.DUMMYFUNCTION("if(isblank(A46),,REGEXMATCH(B46,""^U *vs\. U *$""))"),FALSE)</f>
        <v>0</v>
      </c>
      <c r="AJ46" s="37" t="b">
        <f>IFERROR(__xludf.DUMMYFUNCTION("if(isblank(A46),,REGEXMATCH(B46,""^((I ?vs\. ?(D ?I|I ?D))|((D ?I|I ?D) ?vs\. ?I)) *$""))"),FALSE)</f>
        <v>0</v>
      </c>
      <c r="AK46" s="37" t="b">
        <f>IFERROR(__xludf.DUMMYFUNCTION("if(isblank(A46),,REGEXMATCH(B46,""^((D ?vs\. ?(D ?I|I ?D))|((D ?I|I ?D) ?vs\. ?D)) *$""))"),FALSE)</f>
        <v>0</v>
      </c>
      <c r="AL46" s="37" t="b">
        <f>IFERROR(__xludf.DUMMYFUNCTION("if(isblank(A46),,REGEXMATCH(B46,""^((U ?vs\. ?(D ?I|I ?D))|((D ?I|I ?D) ?vs\. ?U)) *$""))"),FALSE)</f>
        <v>0</v>
      </c>
      <c r="AM46" s="37" t="b">
        <f>IFERROR(__xludf.DUMMYFUNCTION("if(isblank(A46),,REGEXMATCH(B46,""^((I ?vs\. ?(U ?I|I ?U))|((U ?I|I ?U) ?vs\. ?I)) *$""))"),FALSE)</f>
        <v>0</v>
      </c>
      <c r="AN46" s="37" t="b">
        <f>IFERROR(__xludf.DUMMYFUNCTION("if(isblank(A46),,REGEXMATCH(B46,""^((D ?vs\. ?(U ?I|I ?U))|((U ?I|I ?U) ?vs\. ?D)) *$""))"),FALSE)</f>
        <v>0</v>
      </c>
      <c r="AO46" s="37" t="b">
        <f>IFERROR(__xludf.DUMMYFUNCTION("if(isblank(A46),,REGEXMATCH(B46,""^((U ?vs\. ?(U ?I|I ?U))|((U ?I|I ?U) ?vs\. ?U)) *$""))"),FALSE)</f>
        <v>0</v>
      </c>
      <c r="AP46" s="37" t="b">
        <f>IFERROR(__xludf.DUMMYFUNCTION("if(isblank(A46),,REGEXMATCH(B46,""^((I ?vs\. ?(U ?D|D ?U))|((D ?U|U ?D) ?vs\. ?I)) *$""))"),FALSE)</f>
        <v>0</v>
      </c>
      <c r="AQ46" s="37" t="b">
        <f>IFERROR(__xludf.DUMMYFUNCTION("if(isblank(A46),,REGEXMATCH(B46,""^((D ?vs\. ?(U ?D|D ?U))|((D ?U|U ?D) ?vs\. ?D)) *$""))"),FALSE)</f>
        <v>0</v>
      </c>
      <c r="AR46" s="37" t="b">
        <f>IFERROR(__xludf.DUMMYFUNCTION("if(isblank(A46),,REGEXMATCH(B46,""^((U ?vs\. ?(U ?D|D ?U))|((D ?U|U ?D) ?vs\. ?U)) *$""))"),FALSE)</f>
        <v>0</v>
      </c>
      <c r="AS46" s="37" t="b">
        <f>IFERROR(__xludf.DUMMYFUNCTION("if(isblank(A46),,REGEXMATCH(B46,""^((D ?I|I ?D) ?vs\. ?(D ?I|I ?D)) *$""))"),FALSE)</f>
        <v>0</v>
      </c>
      <c r="AT46" s="37" t="b">
        <f>IFERROR(__xludf.DUMMYFUNCTION("if(isblank(A46),,REGEXMATCH(B46,""^((D ?I|I ?D) ?vs\. ?(U ?I|I ?U))|((U ?I|I ?U) ?vs\. ?(D ?I|I ?D)) *$""))"),FALSE)</f>
        <v>0</v>
      </c>
      <c r="AU46" s="37" t="b">
        <f>IFERROR(__xludf.DUMMYFUNCTION("if(isblank(A46),,REGEXMATCH(B46,""^((D ?I|I ?D) ?vs\. ?(U ?D|D ?U))|((U ?D|D ?U) ?vs\. ?(D ?I|I ?D)) *$""))"),FALSE)</f>
        <v>0</v>
      </c>
      <c r="AV46" s="37" t="b">
        <f>IFERROR(__xludf.DUMMYFUNCTION("if(isblank(A46),,REGEXMATCH(B46,""^((U ?I|I ?U) ?vs\. ?(U ?I|I ?U)) *$""))"),FALSE)</f>
        <v>0</v>
      </c>
    </row>
    <row r="47" ht="26.25" customHeight="1">
      <c r="A47" s="79" t="str">
        <f>Paper_Textual_Conflict!M47</f>
        <v>D I + U (Java code)
Origin(U + U)</v>
      </c>
      <c r="B47" s="37" t="str">
        <f>IFERROR(__xludf.DUMMYFUNCTION("if(isblank(A47),,regexextract(REGEXEXTRACT(A47,""^.*""),""^[^(]*""))"),"D I + U ")</f>
        <v>D I + U </v>
      </c>
      <c r="C47" s="37" t="b">
        <f>IFERROR(__xludf.DUMMYFUNCTION("if(isblank(A47),,REGEXMATCH(B47,"".*\+.*"") )"),TRUE)</f>
        <v>1</v>
      </c>
      <c r="D47" s="37" t="b">
        <f>IFERROR(__xludf.DUMMYFUNCTION("if(isblank(A47),,REGEXMATCH(B47,"".*vs.*"") )"),FALSE)</f>
        <v>0</v>
      </c>
      <c r="E47" s="37" t="b">
        <f>Paper_Textual_Conflict!H47</f>
        <v>0</v>
      </c>
      <c r="F47" s="37" t="str">
        <f>Paper_Textual_Conflict!Q47</f>
        <v>Java</v>
      </c>
      <c r="G47" s="33">
        <v>47.0</v>
      </c>
      <c r="H47" s="37" t="b">
        <f>IFERROR(__xludf.DUMMYFUNCTION("if(isblank(A47),,REGEXMATCH(B47,""^I *\+ I *$""))"),FALSE)</f>
        <v>0</v>
      </c>
      <c r="I47" s="37" t="b">
        <f>IFERROR(__xludf.DUMMYFUNCTION("if(isblank(A47),,REGEXMATCH(B47,""(^I *\+ D *$)|(^D *\+ I *$)""))"),FALSE)</f>
        <v>0</v>
      </c>
      <c r="J47" s="37" t="b">
        <f>IFERROR(__xludf.DUMMYFUNCTION("if(isblank(A47),,REGEXMATCH(B47,""(^I *\+ U *$)|(^U *\+ I *$)""))"),FALSE)</f>
        <v>0</v>
      </c>
      <c r="K47" s="37" t="b">
        <f>IFERROR(__xludf.DUMMYFUNCTION("if(isblank(A47),,REGEXMATCH(B47,""(^I *\+ N *$)|(^N *\+ I *$)"") )"),FALSE)</f>
        <v>0</v>
      </c>
      <c r="L47" s="37" t="b">
        <f>IFERROR(__xludf.DUMMYFUNCTION("if(isblank(A47),,REGEXMATCH(B47,""^D *\+ D *$""))"),FALSE)</f>
        <v>0</v>
      </c>
      <c r="M47" s="37" t="b">
        <f>IFERROR(__xludf.DUMMYFUNCTION("if(isblank(A47),,REGEXMATCH(B47,""(^U *\+ D *$)|(^D *\+ U *$)""))"),FALSE)</f>
        <v>0</v>
      </c>
      <c r="N47" s="37" t="b">
        <f>IFERROR(__xludf.DUMMYFUNCTION("if(isblank(A47),,REGEXMATCH(B47,""(^N *\+ D *$)|(^D *\+ N *$)""))"),FALSE)</f>
        <v>0</v>
      </c>
      <c r="O47" s="37" t="b">
        <f>IFERROR(__xludf.DUMMYFUNCTION("if(isblank(A47),,REGEXMATCH(B47,""^U *\+ U *$""))"),FALSE)</f>
        <v>0</v>
      </c>
      <c r="P47" s="37" t="b">
        <f>IFERROR(__xludf.DUMMYFUNCTION("if(isblank(A47),,REGEXMATCH(B47,""(^U *\+ N *$)|(^N *\+ U *$)""))"),FALSE)</f>
        <v>0</v>
      </c>
      <c r="Q47" s="37" t="b">
        <f>IFERROR(__xludf.DUMMYFUNCTION("if(isblank(A47),,REGEXMATCH(B47,""^((I ?\+ ?(D ?I|I ?D))|((D ?I|I ?D) ?\+ ?I)) *$""))"),FALSE)</f>
        <v>0</v>
      </c>
      <c r="R47" s="37" t="b">
        <f>IFERROR(__xludf.DUMMYFUNCTION("if(isblank(A47),,REGEXMATCH(B47,""^((D ?\+ ?(D ?I|I ?D))|((D ?I|I ?D) ?\+ ?D)) *$""))"),FALSE)</f>
        <v>0</v>
      </c>
      <c r="S47" s="37" t="b">
        <f>IFERROR(__xludf.DUMMYFUNCTION("if(isblank(A47),,REGEXMATCH(B47,""^((U ?\+ ?(D ?I|I ?D))|((D ?I|I ?D) ?\+ ?U)) *$""))"),TRUE)</f>
        <v>1</v>
      </c>
      <c r="T47" s="37" t="b">
        <f>IFERROR(__xludf.DUMMYFUNCTION("if(isblank(A47),,REGEXMATCH(B47,""^((N ?\+ ?(D ?I|I ?D))|((D ?I|I ?D) ?\+ ?N)) *$""))"),FALSE)</f>
        <v>0</v>
      </c>
      <c r="U47" s="37" t="b">
        <f>IFERROR(__xludf.DUMMYFUNCTION("if(isblank(A47),,REGEXMATCH(B47,""^((I ?\+ ?(U ?I|I ?U))|((I ?U|U ?I) ?\+ ?I)) *$""))"),FALSE)</f>
        <v>0</v>
      </c>
      <c r="V47" s="37" t="b">
        <f>IFERROR(__xludf.DUMMYFUNCTION("if(isblank(A47),,REGEXMATCH(B47,""^((D ?\+ ?(U ?I|I ?U))|((I ?U|U ?I) ?\+ ?D)) *$""))"),FALSE)</f>
        <v>0</v>
      </c>
      <c r="W47" s="37" t="b">
        <f>IFERROR(__xludf.DUMMYFUNCTION("if(isblank(A47),,REGEXMATCH(B47,""^((U ?\+ ?(U ?I|I ?U))|((I ?U|U ?I) ?\+ ?U)) *$""))"),FALSE)</f>
        <v>0</v>
      </c>
      <c r="X47" s="37" t="b">
        <f>IFERROR(__xludf.DUMMYFUNCTION("if(isblank(A47),,REGEXMATCH(B47,""^((N ?\+ ?(U ?I|I ?U))|((I ?U|U ?I) ?\+ ?N)) *$""))"),FALSE)</f>
        <v>0</v>
      </c>
      <c r="Y47" s="37" t="b">
        <f>IFERROR(__xludf.DUMMYFUNCTION("if(isblank(A47),,REGEXMATCH(B47,""^((I ?\+ ?(U ?D|D ?U))|((D ?U|U ?D) ?\+ ?I)) *$""))"),FALSE)</f>
        <v>0</v>
      </c>
      <c r="Z47" s="37" t="b">
        <f>IFERROR(__xludf.DUMMYFUNCTION("if(isblank(A47),,REGEXMATCH(B47,""^((D ?\+ ?(U ?D|D ?U))|((D ?U|U ?D) ?\+ ?D)) *$""))"),FALSE)</f>
        <v>0</v>
      </c>
      <c r="AA47" s="37" t="b">
        <f>IFERROR(__xludf.DUMMYFUNCTION("if(isblank(A47),,REGEXMATCH(B47,""^((U ?\+ ?(U ?D|D ?U))|((D ?U|U ?D) ?\+ ?U)) *$""))"),FALSE)</f>
        <v>0</v>
      </c>
      <c r="AB47" s="37" t="b">
        <f>IFERROR(__xludf.DUMMYFUNCTION("if(isblank(A47),,REGEXMATCH(B47,""^((D ?I|I ?D) ?\+ ?(D ?I|I ?D)) *$""))"),FALSE)</f>
        <v>0</v>
      </c>
      <c r="AC47" s="37" t="b">
        <f>IFERROR(__xludf.DUMMYFUNCTION("if(isblank(A47),,REGEXMATCH(B47,""^((D ?I|I ?D) ?\+ ?(U ?I|I ?U))|((U ?I|I ?U) ?\+ ?(D ?I|I ?D)) *$""))"),FALSE)</f>
        <v>0</v>
      </c>
      <c r="AD47" s="37" t="b">
        <f>IFERROR(__xludf.DUMMYFUNCTION("if(isblank(A47),,REGEXMATCH(B47,""^I *vs\. I *$""))"),FALSE)</f>
        <v>0</v>
      </c>
      <c r="AE47" s="37" t="b">
        <f>IFERROR(__xludf.DUMMYFUNCTION("if(isblank(A47),,REGEXMATCH(B47,""(^I *vs\. D *$)|(^D *vs\. I *$)""))"),FALSE)</f>
        <v>0</v>
      </c>
      <c r="AF47" s="37" t="b">
        <f>IFERROR(__xludf.DUMMYFUNCTION("if(isblank(A47),,REGEXMATCH(B47,""(^I *vs\. U *$)|(^U *vs\. I *$)""))"),FALSE)</f>
        <v>0</v>
      </c>
      <c r="AG47" s="37" t="b">
        <f>IFERROR(__xludf.DUMMYFUNCTION("if(isblank(A47),,REGEXMATCH(B47,""^D *vs\. D *$""))"),FALSE)</f>
        <v>0</v>
      </c>
      <c r="AH47" s="37" t="b">
        <f>IFERROR(__xludf.DUMMYFUNCTION("if(isblank(A47),,REGEXMATCH(B47,""(^U *vs\. D *$)|(^D *vs\. U *$)""))"),FALSE)</f>
        <v>0</v>
      </c>
      <c r="AI47" s="37" t="b">
        <f>IFERROR(__xludf.DUMMYFUNCTION("if(isblank(A47),,REGEXMATCH(B47,""^U *vs\. U *$""))"),FALSE)</f>
        <v>0</v>
      </c>
      <c r="AJ47" s="37" t="b">
        <f>IFERROR(__xludf.DUMMYFUNCTION("if(isblank(A47),,REGEXMATCH(B47,""^((I ?vs\. ?(D ?I|I ?D))|((D ?I|I ?D) ?vs\. ?I)) *$""))"),FALSE)</f>
        <v>0</v>
      </c>
      <c r="AK47" s="37" t="b">
        <f>IFERROR(__xludf.DUMMYFUNCTION("if(isblank(A47),,REGEXMATCH(B47,""^((D ?vs\. ?(D ?I|I ?D))|((D ?I|I ?D) ?vs\. ?D)) *$""))"),FALSE)</f>
        <v>0</v>
      </c>
      <c r="AL47" s="37" t="b">
        <f>IFERROR(__xludf.DUMMYFUNCTION("if(isblank(A47),,REGEXMATCH(B47,""^((U ?vs\. ?(D ?I|I ?D))|((D ?I|I ?D) ?vs\. ?U)) *$""))"),FALSE)</f>
        <v>0</v>
      </c>
      <c r="AM47" s="37" t="b">
        <f>IFERROR(__xludf.DUMMYFUNCTION("if(isblank(A47),,REGEXMATCH(B47,""^((I ?vs\. ?(U ?I|I ?U))|((U ?I|I ?U) ?vs\. ?I)) *$""))"),FALSE)</f>
        <v>0</v>
      </c>
      <c r="AN47" s="37" t="b">
        <f>IFERROR(__xludf.DUMMYFUNCTION("if(isblank(A47),,REGEXMATCH(B47,""^((D ?vs\. ?(U ?I|I ?U))|((U ?I|I ?U) ?vs\. ?D)) *$""))"),FALSE)</f>
        <v>0</v>
      </c>
      <c r="AO47" s="37" t="b">
        <f>IFERROR(__xludf.DUMMYFUNCTION("if(isblank(A47),,REGEXMATCH(B47,""^((U ?vs\. ?(U ?I|I ?U))|((U ?I|I ?U) ?vs\. ?U)) *$""))"),FALSE)</f>
        <v>0</v>
      </c>
      <c r="AP47" s="37" t="b">
        <f>IFERROR(__xludf.DUMMYFUNCTION("if(isblank(A47),,REGEXMATCH(B47,""^((I ?vs\. ?(U ?D|D ?U))|((D ?U|U ?D) ?vs\. ?I)) *$""))"),FALSE)</f>
        <v>0</v>
      </c>
      <c r="AQ47" s="37" t="b">
        <f>IFERROR(__xludf.DUMMYFUNCTION("if(isblank(A47),,REGEXMATCH(B47,""^((D ?vs\. ?(U ?D|D ?U))|((D ?U|U ?D) ?vs\. ?D)) *$""))"),FALSE)</f>
        <v>0</v>
      </c>
      <c r="AR47" s="37" t="b">
        <f>IFERROR(__xludf.DUMMYFUNCTION("if(isblank(A47),,REGEXMATCH(B47,""^((U ?vs\. ?(U ?D|D ?U))|((D ?U|U ?D) ?vs\. ?U)) *$""))"),FALSE)</f>
        <v>0</v>
      </c>
      <c r="AS47" s="37" t="b">
        <f>IFERROR(__xludf.DUMMYFUNCTION("if(isblank(A47),,REGEXMATCH(B47,""^((D ?I|I ?D) ?vs\. ?(D ?I|I ?D)) *$""))"),FALSE)</f>
        <v>0</v>
      </c>
      <c r="AT47" s="37" t="b">
        <f>IFERROR(__xludf.DUMMYFUNCTION("if(isblank(A47),,REGEXMATCH(B47,""^((D ?I|I ?D) ?vs\. ?(U ?I|I ?U))|((U ?I|I ?U) ?vs\. ?(D ?I|I ?D)) *$""))"),FALSE)</f>
        <v>0</v>
      </c>
      <c r="AU47" s="37" t="b">
        <f>IFERROR(__xludf.DUMMYFUNCTION("if(isblank(A47),,REGEXMATCH(B47,""^((D ?I|I ?D) ?vs\. ?(U ?D|D ?U))|((U ?D|D ?U) ?vs\. ?(D ?I|I ?D)) *$""))"),FALSE)</f>
        <v>0</v>
      </c>
      <c r="AV47" s="37" t="b">
        <f>IFERROR(__xludf.DUMMYFUNCTION("if(isblank(A47),,REGEXMATCH(B47,""^((U ?I|I ?U) ?vs\. ?(U ?I|I ?U)) *$""))"),FALSE)</f>
        <v>0</v>
      </c>
    </row>
    <row r="48" ht="26.25" customHeight="1">
      <c r="A48" s="79" t="str">
        <f>Paper_Textual_Conflict!M48</f>
        <v>D U vs. D I (properties) L &gt; R version
Origin(U vs. U)</v>
      </c>
      <c r="B48" s="37" t="str">
        <f>IFERROR(__xludf.DUMMYFUNCTION("if(isblank(A48),,regexextract(REGEXEXTRACT(A48,""^.*""),""^[^(]*""))"),"D U vs. D I ")</f>
        <v>D U vs. D I </v>
      </c>
      <c r="C48" s="37" t="b">
        <f>IFERROR(__xludf.DUMMYFUNCTION("if(isblank(A48),,REGEXMATCH(B48,"".*\+.*"") )"),FALSE)</f>
        <v>0</v>
      </c>
      <c r="D48" s="37" t="b">
        <f>IFERROR(__xludf.DUMMYFUNCTION("if(isblank(A48),,REGEXMATCH(B48,"".*vs.*"") )"),TRUE)</f>
        <v>1</v>
      </c>
      <c r="E48" s="37" t="b">
        <f>Paper_Textual_Conflict!H48</f>
        <v>1</v>
      </c>
      <c r="F48" s="37" t="str">
        <f>Paper_Textual_Conflict!Q48</f>
        <v>Non-Java</v>
      </c>
      <c r="G48" s="33">
        <v>48.0</v>
      </c>
      <c r="H48" s="37" t="b">
        <f>IFERROR(__xludf.DUMMYFUNCTION("if(isblank(A48),,REGEXMATCH(B48,""^I *\+ I *$""))"),FALSE)</f>
        <v>0</v>
      </c>
      <c r="I48" s="37" t="b">
        <f>IFERROR(__xludf.DUMMYFUNCTION("if(isblank(A48),,REGEXMATCH(B48,""(^I *\+ D *$)|(^D *\+ I *$)""))"),FALSE)</f>
        <v>0</v>
      </c>
      <c r="J48" s="37" t="b">
        <f>IFERROR(__xludf.DUMMYFUNCTION("if(isblank(A48),,REGEXMATCH(B48,""(^I *\+ U *$)|(^U *\+ I *$)""))"),FALSE)</f>
        <v>0</v>
      </c>
      <c r="K48" s="37" t="b">
        <f>IFERROR(__xludf.DUMMYFUNCTION("if(isblank(A48),,REGEXMATCH(B48,""(^I *\+ N *$)|(^N *\+ I *$)"") )"),FALSE)</f>
        <v>0</v>
      </c>
      <c r="L48" s="37" t="b">
        <f>IFERROR(__xludf.DUMMYFUNCTION("if(isblank(A48),,REGEXMATCH(B48,""^D *\+ D *$""))"),FALSE)</f>
        <v>0</v>
      </c>
      <c r="M48" s="37" t="b">
        <f>IFERROR(__xludf.DUMMYFUNCTION("if(isblank(A48),,REGEXMATCH(B48,""(^U *\+ D *$)|(^D *\+ U *$)""))"),FALSE)</f>
        <v>0</v>
      </c>
      <c r="N48" s="37" t="b">
        <f>IFERROR(__xludf.DUMMYFUNCTION("if(isblank(A48),,REGEXMATCH(B48,""(^N *\+ D *$)|(^D *\+ N *$)""))"),FALSE)</f>
        <v>0</v>
      </c>
      <c r="O48" s="37" t="b">
        <f>IFERROR(__xludf.DUMMYFUNCTION("if(isblank(A48),,REGEXMATCH(B48,""^U *\+ U *$""))"),FALSE)</f>
        <v>0</v>
      </c>
      <c r="P48" s="37" t="b">
        <f>IFERROR(__xludf.DUMMYFUNCTION("if(isblank(A48),,REGEXMATCH(B48,""(^U *\+ N *$)|(^N *\+ U *$)""))"),FALSE)</f>
        <v>0</v>
      </c>
      <c r="Q48" s="37" t="b">
        <f>IFERROR(__xludf.DUMMYFUNCTION("if(isblank(A48),,REGEXMATCH(B48,""^((I ?\+ ?(D ?I|I ?D))|((D ?I|I ?D) ?\+ ?I)) *$""))"),FALSE)</f>
        <v>0</v>
      </c>
      <c r="R48" s="37" t="b">
        <f>IFERROR(__xludf.DUMMYFUNCTION("if(isblank(A48),,REGEXMATCH(B48,""^((D ?\+ ?(D ?I|I ?D))|((D ?I|I ?D) ?\+ ?D)) *$""))"),FALSE)</f>
        <v>0</v>
      </c>
      <c r="S48" s="37" t="b">
        <f>IFERROR(__xludf.DUMMYFUNCTION("if(isblank(A48),,REGEXMATCH(B48,""^((U ?\+ ?(D ?I|I ?D))|((D ?I|I ?D) ?\+ ?U)) *$""))"),FALSE)</f>
        <v>0</v>
      </c>
      <c r="T48" s="37" t="b">
        <f>IFERROR(__xludf.DUMMYFUNCTION("if(isblank(A48),,REGEXMATCH(B48,""^((N ?\+ ?(D ?I|I ?D))|((D ?I|I ?D) ?\+ ?N)) *$""))"),FALSE)</f>
        <v>0</v>
      </c>
      <c r="U48" s="37" t="b">
        <f>IFERROR(__xludf.DUMMYFUNCTION("if(isblank(A48),,REGEXMATCH(B48,""^((I ?\+ ?(U ?I|I ?U))|((I ?U|U ?I) ?\+ ?I)) *$""))"),FALSE)</f>
        <v>0</v>
      </c>
      <c r="V48" s="37" t="b">
        <f>IFERROR(__xludf.DUMMYFUNCTION("if(isblank(A48),,REGEXMATCH(B48,""^((D ?\+ ?(U ?I|I ?U))|((I ?U|U ?I) ?\+ ?D)) *$""))"),FALSE)</f>
        <v>0</v>
      </c>
      <c r="W48" s="37" t="b">
        <f>IFERROR(__xludf.DUMMYFUNCTION("if(isblank(A48),,REGEXMATCH(B48,""^((U ?\+ ?(U ?I|I ?U))|((I ?U|U ?I) ?\+ ?U)) *$""))"),FALSE)</f>
        <v>0</v>
      </c>
      <c r="X48" s="37" t="b">
        <f>IFERROR(__xludf.DUMMYFUNCTION("if(isblank(A48),,REGEXMATCH(B48,""^((N ?\+ ?(U ?I|I ?U))|((I ?U|U ?I) ?\+ ?N)) *$""))"),FALSE)</f>
        <v>0</v>
      </c>
      <c r="Y48" s="37" t="b">
        <f>IFERROR(__xludf.DUMMYFUNCTION("if(isblank(A48),,REGEXMATCH(B48,""^((I ?\+ ?(U ?D|D ?U))|((D ?U|U ?D) ?\+ ?I)) *$""))"),FALSE)</f>
        <v>0</v>
      </c>
      <c r="Z48" s="37" t="b">
        <f>IFERROR(__xludf.DUMMYFUNCTION("if(isblank(A48),,REGEXMATCH(B48,""^((D ?\+ ?(U ?D|D ?U))|((D ?U|U ?D) ?\+ ?D)) *$""))"),FALSE)</f>
        <v>0</v>
      </c>
      <c r="AA48" s="37" t="b">
        <f>IFERROR(__xludf.DUMMYFUNCTION("if(isblank(A48),,REGEXMATCH(B48,""^((U ?\+ ?(U ?D|D ?U))|((D ?U|U ?D) ?\+ ?U)) *$""))"),FALSE)</f>
        <v>0</v>
      </c>
      <c r="AB48" s="37" t="b">
        <f>IFERROR(__xludf.DUMMYFUNCTION("if(isblank(A48),,REGEXMATCH(B48,""^((D ?I|I ?D) ?\+ ?(D ?I|I ?D)) *$""))"),FALSE)</f>
        <v>0</v>
      </c>
      <c r="AC48" s="37" t="b">
        <f>IFERROR(__xludf.DUMMYFUNCTION("if(isblank(A48),,REGEXMATCH(B48,""^((D ?I|I ?D) ?\+ ?(U ?I|I ?U))|((U ?I|I ?U) ?\+ ?(D ?I|I ?D)) *$""))"),FALSE)</f>
        <v>0</v>
      </c>
      <c r="AD48" s="37" t="b">
        <f>IFERROR(__xludf.DUMMYFUNCTION("if(isblank(A48),,REGEXMATCH(B48,""^I *vs\. I *$""))"),FALSE)</f>
        <v>0</v>
      </c>
      <c r="AE48" s="37" t="b">
        <f>IFERROR(__xludf.DUMMYFUNCTION("if(isblank(A48),,REGEXMATCH(B48,""(^I *vs\. D *$)|(^D *vs\. I *$)""))"),FALSE)</f>
        <v>0</v>
      </c>
      <c r="AF48" s="37" t="b">
        <f>IFERROR(__xludf.DUMMYFUNCTION("if(isblank(A48),,REGEXMATCH(B48,""(^I *vs\. U *$)|(^U *vs\. I *$)""))"),FALSE)</f>
        <v>0</v>
      </c>
      <c r="AG48" s="37" t="b">
        <f>IFERROR(__xludf.DUMMYFUNCTION("if(isblank(A48),,REGEXMATCH(B48,""^D *vs\. D *$""))"),FALSE)</f>
        <v>0</v>
      </c>
      <c r="AH48" s="37" t="b">
        <f>IFERROR(__xludf.DUMMYFUNCTION("if(isblank(A48),,REGEXMATCH(B48,""(^U *vs\. D *$)|(^D *vs\. U *$)""))"),FALSE)</f>
        <v>0</v>
      </c>
      <c r="AI48" s="37" t="b">
        <f>IFERROR(__xludf.DUMMYFUNCTION("if(isblank(A48),,REGEXMATCH(B48,""^U *vs\. U *$""))"),FALSE)</f>
        <v>0</v>
      </c>
      <c r="AJ48" s="37" t="b">
        <f>IFERROR(__xludf.DUMMYFUNCTION("if(isblank(A48),,REGEXMATCH(B48,""^((I ?vs\. ?(D ?I|I ?D))|((D ?I|I ?D) ?vs\. ?I)) *$""))"),FALSE)</f>
        <v>0</v>
      </c>
      <c r="AK48" s="37" t="b">
        <f>IFERROR(__xludf.DUMMYFUNCTION("if(isblank(A48),,REGEXMATCH(B48,""^((D ?vs\. ?(D ?I|I ?D))|((D ?I|I ?D) ?vs\. ?D)) *$""))"),FALSE)</f>
        <v>0</v>
      </c>
      <c r="AL48" s="37" t="b">
        <f>IFERROR(__xludf.DUMMYFUNCTION("if(isblank(A48),,REGEXMATCH(B48,""^((U ?vs\. ?(D ?I|I ?D))|((D ?I|I ?D) ?vs\. ?U)) *$""))"),FALSE)</f>
        <v>0</v>
      </c>
      <c r="AM48" s="37" t="b">
        <f>IFERROR(__xludf.DUMMYFUNCTION("if(isblank(A48),,REGEXMATCH(B48,""^((I ?vs\. ?(U ?I|I ?U))|((U ?I|I ?U) ?vs\. ?I)) *$""))"),FALSE)</f>
        <v>0</v>
      </c>
      <c r="AN48" s="37" t="b">
        <f>IFERROR(__xludf.DUMMYFUNCTION("if(isblank(A48),,REGEXMATCH(B48,""^((D ?vs\. ?(U ?I|I ?U))|((U ?I|I ?U) ?vs\. ?D)) *$""))"),FALSE)</f>
        <v>0</v>
      </c>
      <c r="AO48" s="37" t="b">
        <f>IFERROR(__xludf.DUMMYFUNCTION("if(isblank(A48),,REGEXMATCH(B48,""^((U ?vs\. ?(U ?I|I ?U))|((U ?I|I ?U) ?vs\. ?U)) *$""))"),FALSE)</f>
        <v>0</v>
      </c>
      <c r="AP48" s="37" t="b">
        <f>IFERROR(__xludf.DUMMYFUNCTION("if(isblank(A48),,REGEXMATCH(B48,""^((I ?vs\. ?(U ?D|D ?U))|((D ?U|U ?D) ?vs\. ?I)) *$""))"),FALSE)</f>
        <v>0</v>
      </c>
      <c r="AQ48" s="37" t="b">
        <f>IFERROR(__xludf.DUMMYFUNCTION("if(isblank(A48),,REGEXMATCH(B48,""^((D ?vs\. ?(U ?D|D ?U))|((D ?U|U ?D) ?vs\. ?D)) *$""))"),FALSE)</f>
        <v>0</v>
      </c>
      <c r="AR48" s="37" t="b">
        <f>IFERROR(__xludf.DUMMYFUNCTION("if(isblank(A48),,REGEXMATCH(B48,""^((U ?vs\. ?(U ?D|D ?U))|((D ?U|U ?D) ?vs\. ?U)) *$""))"),FALSE)</f>
        <v>0</v>
      </c>
      <c r="AS48" s="37" t="b">
        <f>IFERROR(__xludf.DUMMYFUNCTION("if(isblank(A48),,REGEXMATCH(B48,""^((D ?I|I ?D) ?vs\. ?(D ?I|I ?D)) *$""))"),FALSE)</f>
        <v>0</v>
      </c>
      <c r="AT48" s="37" t="b">
        <f>IFERROR(__xludf.DUMMYFUNCTION("if(isblank(A48),,REGEXMATCH(B48,""^((D ?I|I ?D) ?vs\. ?(U ?I|I ?U))|((U ?I|I ?U) ?vs\. ?(D ?I|I ?D)) *$""))"),FALSE)</f>
        <v>0</v>
      </c>
      <c r="AU48" s="37" t="b">
        <f>IFERROR(__xludf.DUMMYFUNCTION("if(isblank(A48),,REGEXMATCH(B48,""^((D ?I|I ?D) ?vs\. ?(U ?D|D ?U))|((U ?D|D ?U) ?vs\. ?(D ?I|I ?D)) *$""))"),TRUE)</f>
        <v>1</v>
      </c>
      <c r="AV48" s="37" t="b">
        <f>IFERROR(__xludf.DUMMYFUNCTION("if(isblank(A48),,REGEXMATCH(B48,""^((U ?I|I ?U) ?vs\. ?(U ?I|I ?U)) *$""))"),FALSE)</f>
        <v>0</v>
      </c>
    </row>
    <row r="49" ht="26.25" customHeight="1">
      <c r="A49" s="79" t="str">
        <f>Paper_Textual_Conflict!M49</f>
        <v>U vs. U (distinct update on the same Java code)
</v>
      </c>
      <c r="B49" s="37" t="str">
        <f>IFERROR(__xludf.DUMMYFUNCTION("if(isblank(A49),,regexextract(REGEXEXTRACT(A49,""^.*""),""^[^(]*""))"),"U vs. U ")</f>
        <v>U vs. U </v>
      </c>
      <c r="C49" s="37" t="b">
        <f>IFERROR(__xludf.DUMMYFUNCTION("if(isblank(A49),,REGEXMATCH(B49,"".*\+.*"") )"),FALSE)</f>
        <v>0</v>
      </c>
      <c r="D49" s="37" t="b">
        <f>IFERROR(__xludf.DUMMYFUNCTION("if(isblank(A49),,REGEXMATCH(B49,"".*vs.*"") )"),TRUE)</f>
        <v>1</v>
      </c>
      <c r="E49" s="37" t="b">
        <f>Paper_Textual_Conflict!H49</f>
        <v>1</v>
      </c>
      <c r="F49" s="37" t="str">
        <f>Paper_Textual_Conflict!Q49</f>
        <v>Java</v>
      </c>
      <c r="G49" s="33">
        <v>49.0</v>
      </c>
      <c r="H49" s="37" t="b">
        <f>IFERROR(__xludf.DUMMYFUNCTION("if(isblank(A49),,REGEXMATCH(B49,""^I *\+ I *$""))"),FALSE)</f>
        <v>0</v>
      </c>
      <c r="I49" s="37" t="b">
        <f>IFERROR(__xludf.DUMMYFUNCTION("if(isblank(A49),,REGEXMATCH(B49,""(^I *\+ D *$)|(^D *\+ I *$)""))"),FALSE)</f>
        <v>0</v>
      </c>
      <c r="J49" s="37" t="b">
        <f>IFERROR(__xludf.DUMMYFUNCTION("if(isblank(A49),,REGEXMATCH(B49,""(^I *\+ U *$)|(^U *\+ I *$)""))"),FALSE)</f>
        <v>0</v>
      </c>
      <c r="K49" s="37" t="b">
        <f>IFERROR(__xludf.DUMMYFUNCTION("if(isblank(A49),,REGEXMATCH(B49,""(^I *\+ N *$)|(^N *\+ I *$)"") )"),FALSE)</f>
        <v>0</v>
      </c>
      <c r="L49" s="37" t="b">
        <f>IFERROR(__xludf.DUMMYFUNCTION("if(isblank(A49),,REGEXMATCH(B49,""^D *\+ D *$""))"),FALSE)</f>
        <v>0</v>
      </c>
      <c r="M49" s="37" t="b">
        <f>IFERROR(__xludf.DUMMYFUNCTION("if(isblank(A49),,REGEXMATCH(B49,""(^U *\+ D *$)|(^D *\+ U *$)""))"),FALSE)</f>
        <v>0</v>
      </c>
      <c r="N49" s="37" t="b">
        <f>IFERROR(__xludf.DUMMYFUNCTION("if(isblank(A49),,REGEXMATCH(B49,""(^N *\+ D *$)|(^D *\+ N *$)""))"),FALSE)</f>
        <v>0</v>
      </c>
      <c r="O49" s="37" t="b">
        <f>IFERROR(__xludf.DUMMYFUNCTION("if(isblank(A49),,REGEXMATCH(B49,""^U *\+ U *$""))"),FALSE)</f>
        <v>0</v>
      </c>
      <c r="P49" s="37" t="b">
        <f>IFERROR(__xludf.DUMMYFUNCTION("if(isblank(A49),,REGEXMATCH(B49,""(^U *\+ N *$)|(^N *\+ U *$)""))"),FALSE)</f>
        <v>0</v>
      </c>
      <c r="Q49" s="37" t="b">
        <f>IFERROR(__xludf.DUMMYFUNCTION("if(isblank(A49),,REGEXMATCH(B49,""^((I ?\+ ?(D ?I|I ?D))|((D ?I|I ?D) ?\+ ?I)) *$""))"),FALSE)</f>
        <v>0</v>
      </c>
      <c r="R49" s="37" t="b">
        <f>IFERROR(__xludf.DUMMYFUNCTION("if(isblank(A49),,REGEXMATCH(B49,""^((D ?\+ ?(D ?I|I ?D))|((D ?I|I ?D) ?\+ ?D)) *$""))"),FALSE)</f>
        <v>0</v>
      </c>
      <c r="S49" s="37" t="b">
        <f>IFERROR(__xludf.DUMMYFUNCTION("if(isblank(A49),,REGEXMATCH(B49,""^((U ?\+ ?(D ?I|I ?D))|((D ?I|I ?D) ?\+ ?U)) *$""))"),FALSE)</f>
        <v>0</v>
      </c>
      <c r="T49" s="37" t="b">
        <f>IFERROR(__xludf.DUMMYFUNCTION("if(isblank(A49),,REGEXMATCH(B49,""^((N ?\+ ?(D ?I|I ?D))|((D ?I|I ?D) ?\+ ?N)) *$""))"),FALSE)</f>
        <v>0</v>
      </c>
      <c r="U49" s="37" t="b">
        <f>IFERROR(__xludf.DUMMYFUNCTION("if(isblank(A49),,REGEXMATCH(B49,""^((I ?\+ ?(U ?I|I ?U))|((I ?U|U ?I) ?\+ ?I)) *$""))"),FALSE)</f>
        <v>0</v>
      </c>
      <c r="V49" s="37" t="b">
        <f>IFERROR(__xludf.DUMMYFUNCTION("if(isblank(A49),,REGEXMATCH(B49,""^((D ?\+ ?(U ?I|I ?U))|((I ?U|U ?I) ?\+ ?D)) *$""))"),FALSE)</f>
        <v>0</v>
      </c>
      <c r="W49" s="37" t="b">
        <f>IFERROR(__xludf.DUMMYFUNCTION("if(isblank(A49),,REGEXMATCH(B49,""^((U ?\+ ?(U ?I|I ?U))|((I ?U|U ?I) ?\+ ?U)) *$""))"),FALSE)</f>
        <v>0</v>
      </c>
      <c r="X49" s="37" t="b">
        <f>IFERROR(__xludf.DUMMYFUNCTION("if(isblank(A49),,REGEXMATCH(B49,""^((N ?\+ ?(U ?I|I ?U))|((I ?U|U ?I) ?\+ ?N)) *$""))"),FALSE)</f>
        <v>0</v>
      </c>
      <c r="Y49" s="37" t="b">
        <f>IFERROR(__xludf.DUMMYFUNCTION("if(isblank(A49),,REGEXMATCH(B49,""^((I ?\+ ?(U ?D|D ?U))|((D ?U|U ?D) ?\+ ?I)) *$""))"),FALSE)</f>
        <v>0</v>
      </c>
      <c r="Z49" s="37" t="b">
        <f>IFERROR(__xludf.DUMMYFUNCTION("if(isblank(A49),,REGEXMATCH(B49,""^((D ?\+ ?(U ?D|D ?U))|((D ?U|U ?D) ?\+ ?D)) *$""))"),FALSE)</f>
        <v>0</v>
      </c>
      <c r="AA49" s="37" t="b">
        <f>IFERROR(__xludf.DUMMYFUNCTION("if(isblank(A49),,REGEXMATCH(B49,""^((U ?\+ ?(U ?D|D ?U))|((D ?U|U ?D) ?\+ ?U)) *$""))"),FALSE)</f>
        <v>0</v>
      </c>
      <c r="AB49" s="37" t="b">
        <f>IFERROR(__xludf.DUMMYFUNCTION("if(isblank(A49),,REGEXMATCH(B49,""^((D ?I|I ?D) ?\+ ?(D ?I|I ?D)) *$""))"),FALSE)</f>
        <v>0</v>
      </c>
      <c r="AC49" s="37" t="b">
        <f>IFERROR(__xludf.DUMMYFUNCTION("if(isblank(A49),,REGEXMATCH(B49,""^((D ?I|I ?D) ?\+ ?(U ?I|I ?U))|((U ?I|I ?U) ?\+ ?(D ?I|I ?D)) *$""))"),FALSE)</f>
        <v>0</v>
      </c>
      <c r="AD49" s="37" t="b">
        <f>IFERROR(__xludf.DUMMYFUNCTION("if(isblank(A49),,REGEXMATCH(B49,""^I *vs\. I *$""))"),FALSE)</f>
        <v>0</v>
      </c>
      <c r="AE49" s="37" t="b">
        <f>IFERROR(__xludf.DUMMYFUNCTION("if(isblank(A49),,REGEXMATCH(B49,""(^I *vs\. D *$)|(^D *vs\. I *$)""))"),FALSE)</f>
        <v>0</v>
      </c>
      <c r="AF49" s="37" t="b">
        <f>IFERROR(__xludf.DUMMYFUNCTION("if(isblank(A49),,REGEXMATCH(B49,""(^I *vs\. U *$)|(^U *vs\. I *$)""))"),FALSE)</f>
        <v>0</v>
      </c>
      <c r="AG49" s="37" t="b">
        <f>IFERROR(__xludf.DUMMYFUNCTION("if(isblank(A49),,REGEXMATCH(B49,""^D *vs\. D *$""))"),FALSE)</f>
        <v>0</v>
      </c>
      <c r="AH49" s="37" t="b">
        <f>IFERROR(__xludf.DUMMYFUNCTION("if(isblank(A49),,REGEXMATCH(B49,""(^U *vs\. D *$)|(^D *vs\. U *$)""))"),FALSE)</f>
        <v>0</v>
      </c>
      <c r="AI49" s="37" t="b">
        <f>IFERROR(__xludf.DUMMYFUNCTION("if(isblank(A49),,REGEXMATCH(B49,""^U *vs\. U *$""))"),TRUE)</f>
        <v>1</v>
      </c>
      <c r="AJ49" s="37" t="b">
        <f>IFERROR(__xludf.DUMMYFUNCTION("if(isblank(A49),,REGEXMATCH(B49,""^((I ?vs\. ?(D ?I|I ?D))|((D ?I|I ?D) ?vs\. ?I)) *$""))"),FALSE)</f>
        <v>0</v>
      </c>
      <c r="AK49" s="37" t="b">
        <f>IFERROR(__xludf.DUMMYFUNCTION("if(isblank(A49),,REGEXMATCH(B49,""^((D ?vs\. ?(D ?I|I ?D))|((D ?I|I ?D) ?vs\. ?D)) *$""))"),FALSE)</f>
        <v>0</v>
      </c>
      <c r="AL49" s="37" t="b">
        <f>IFERROR(__xludf.DUMMYFUNCTION("if(isblank(A49),,REGEXMATCH(B49,""^((U ?vs\. ?(D ?I|I ?D))|((D ?I|I ?D) ?vs\. ?U)) *$""))"),FALSE)</f>
        <v>0</v>
      </c>
      <c r="AM49" s="37" t="b">
        <f>IFERROR(__xludf.DUMMYFUNCTION("if(isblank(A49),,REGEXMATCH(B49,""^((I ?vs\. ?(U ?I|I ?U))|((U ?I|I ?U) ?vs\. ?I)) *$""))"),FALSE)</f>
        <v>0</v>
      </c>
      <c r="AN49" s="37" t="b">
        <f>IFERROR(__xludf.DUMMYFUNCTION("if(isblank(A49),,REGEXMATCH(B49,""^((D ?vs\. ?(U ?I|I ?U))|((U ?I|I ?U) ?vs\. ?D)) *$""))"),FALSE)</f>
        <v>0</v>
      </c>
      <c r="AO49" s="37" t="b">
        <f>IFERROR(__xludf.DUMMYFUNCTION("if(isblank(A49),,REGEXMATCH(B49,""^((U ?vs\. ?(U ?I|I ?U))|((U ?I|I ?U) ?vs\. ?U)) *$""))"),FALSE)</f>
        <v>0</v>
      </c>
      <c r="AP49" s="37" t="b">
        <f>IFERROR(__xludf.DUMMYFUNCTION("if(isblank(A49),,REGEXMATCH(B49,""^((I ?vs\. ?(U ?D|D ?U))|((D ?U|U ?D) ?vs\. ?I)) *$""))"),FALSE)</f>
        <v>0</v>
      </c>
      <c r="AQ49" s="37" t="b">
        <f>IFERROR(__xludf.DUMMYFUNCTION("if(isblank(A49),,REGEXMATCH(B49,""^((D ?vs\. ?(U ?D|D ?U))|((D ?U|U ?D) ?vs\. ?D)) *$""))"),FALSE)</f>
        <v>0</v>
      </c>
      <c r="AR49" s="37" t="b">
        <f>IFERROR(__xludf.DUMMYFUNCTION("if(isblank(A49),,REGEXMATCH(B49,""^((U ?vs\. ?(U ?D|D ?U))|((D ?U|U ?D) ?vs\. ?U)) *$""))"),FALSE)</f>
        <v>0</v>
      </c>
      <c r="AS49" s="37" t="b">
        <f>IFERROR(__xludf.DUMMYFUNCTION("if(isblank(A49),,REGEXMATCH(B49,""^((D ?I|I ?D) ?vs\. ?(D ?I|I ?D)) *$""))"),FALSE)</f>
        <v>0</v>
      </c>
      <c r="AT49" s="37" t="b">
        <f>IFERROR(__xludf.DUMMYFUNCTION("if(isblank(A49),,REGEXMATCH(B49,""^((D ?I|I ?D) ?vs\. ?(U ?I|I ?U))|((U ?I|I ?U) ?vs\. ?(D ?I|I ?D)) *$""))"),FALSE)</f>
        <v>0</v>
      </c>
      <c r="AU49" s="37" t="b">
        <f>IFERROR(__xludf.DUMMYFUNCTION("if(isblank(A49),,REGEXMATCH(B49,""^((D ?I|I ?D) ?vs\. ?(U ?D|D ?U))|((U ?D|D ?U) ?vs\. ?(D ?I|I ?D)) *$""))"),FALSE)</f>
        <v>0</v>
      </c>
      <c r="AV49" s="37" t="b">
        <f>IFERROR(__xludf.DUMMYFUNCTION("if(isblank(A49),,REGEXMATCH(B49,""^((U ?I|I ?U) ?vs\. ?(U ?I|I ?U)) *$""))"),FALSE)</f>
        <v>0</v>
      </c>
    </row>
    <row r="50" ht="26.25" customHeight="1">
      <c r="A50" s="79" t="str">
        <f>Paper_Textual_Conflict!M50</f>
        <v>U vs. D I  (SQL expression)
Origin(U vs. U)</v>
      </c>
      <c r="B50" s="37" t="str">
        <f>IFERROR(__xludf.DUMMYFUNCTION("if(isblank(A50),,regexextract(REGEXEXTRACT(A50,""^.*""),""^[^(]*""))"),"U vs. D I  ")</f>
        <v>U vs. D I  </v>
      </c>
      <c r="C50" s="37" t="b">
        <f>IFERROR(__xludf.DUMMYFUNCTION("if(isblank(A50),,REGEXMATCH(B50,"".*\+.*"") )"),FALSE)</f>
        <v>0</v>
      </c>
      <c r="D50" s="37" t="b">
        <f>IFERROR(__xludf.DUMMYFUNCTION("if(isblank(A50),,REGEXMATCH(B50,"".*vs.*"") )"),TRUE)</f>
        <v>1</v>
      </c>
      <c r="E50" s="37" t="b">
        <f>Paper_Textual_Conflict!H50</f>
        <v>1</v>
      </c>
      <c r="F50" s="37" t="str">
        <f>Paper_Textual_Conflict!Q50</f>
        <v>Java</v>
      </c>
      <c r="G50" s="33">
        <v>50.0</v>
      </c>
      <c r="H50" s="37" t="b">
        <f>IFERROR(__xludf.DUMMYFUNCTION("if(isblank(A50),,REGEXMATCH(B50,""^I *\+ I *$""))"),FALSE)</f>
        <v>0</v>
      </c>
      <c r="I50" s="37" t="b">
        <f>IFERROR(__xludf.DUMMYFUNCTION("if(isblank(A50),,REGEXMATCH(B50,""(^I *\+ D *$)|(^D *\+ I *$)""))"),FALSE)</f>
        <v>0</v>
      </c>
      <c r="J50" s="37" t="b">
        <f>IFERROR(__xludf.DUMMYFUNCTION("if(isblank(A50),,REGEXMATCH(B50,""(^I *\+ U *$)|(^U *\+ I *$)""))"),FALSE)</f>
        <v>0</v>
      </c>
      <c r="K50" s="37" t="b">
        <f>IFERROR(__xludf.DUMMYFUNCTION("if(isblank(A50),,REGEXMATCH(B50,""(^I *\+ N *$)|(^N *\+ I *$)"") )"),FALSE)</f>
        <v>0</v>
      </c>
      <c r="L50" s="37" t="b">
        <f>IFERROR(__xludf.DUMMYFUNCTION("if(isblank(A50),,REGEXMATCH(B50,""^D *\+ D *$""))"),FALSE)</f>
        <v>0</v>
      </c>
      <c r="M50" s="37" t="b">
        <f>IFERROR(__xludf.DUMMYFUNCTION("if(isblank(A50),,REGEXMATCH(B50,""(^U *\+ D *$)|(^D *\+ U *$)""))"),FALSE)</f>
        <v>0</v>
      </c>
      <c r="N50" s="37" t="b">
        <f>IFERROR(__xludf.DUMMYFUNCTION("if(isblank(A50),,REGEXMATCH(B50,""(^N *\+ D *$)|(^D *\+ N *$)""))"),FALSE)</f>
        <v>0</v>
      </c>
      <c r="O50" s="37" t="b">
        <f>IFERROR(__xludf.DUMMYFUNCTION("if(isblank(A50),,REGEXMATCH(B50,""^U *\+ U *$""))"),FALSE)</f>
        <v>0</v>
      </c>
      <c r="P50" s="37" t="b">
        <f>IFERROR(__xludf.DUMMYFUNCTION("if(isblank(A50),,REGEXMATCH(B50,""(^U *\+ N *$)|(^N *\+ U *$)""))"),FALSE)</f>
        <v>0</v>
      </c>
      <c r="Q50" s="37" t="b">
        <f>IFERROR(__xludf.DUMMYFUNCTION("if(isblank(A50),,REGEXMATCH(B50,""^((I ?\+ ?(D ?I|I ?D))|((D ?I|I ?D) ?\+ ?I)) *$""))"),FALSE)</f>
        <v>0</v>
      </c>
      <c r="R50" s="37" t="b">
        <f>IFERROR(__xludf.DUMMYFUNCTION("if(isblank(A50),,REGEXMATCH(B50,""^((D ?\+ ?(D ?I|I ?D))|((D ?I|I ?D) ?\+ ?D)) *$""))"),FALSE)</f>
        <v>0</v>
      </c>
      <c r="S50" s="37" t="b">
        <f>IFERROR(__xludf.DUMMYFUNCTION("if(isblank(A50),,REGEXMATCH(B50,""^((U ?\+ ?(D ?I|I ?D))|((D ?I|I ?D) ?\+ ?U)) *$""))"),FALSE)</f>
        <v>0</v>
      </c>
      <c r="T50" s="37" t="b">
        <f>IFERROR(__xludf.DUMMYFUNCTION("if(isblank(A50),,REGEXMATCH(B50,""^((N ?\+ ?(D ?I|I ?D))|((D ?I|I ?D) ?\+ ?N)) *$""))"),FALSE)</f>
        <v>0</v>
      </c>
      <c r="U50" s="37" t="b">
        <f>IFERROR(__xludf.DUMMYFUNCTION("if(isblank(A50),,REGEXMATCH(B50,""^((I ?\+ ?(U ?I|I ?U))|((I ?U|U ?I) ?\+ ?I)) *$""))"),FALSE)</f>
        <v>0</v>
      </c>
      <c r="V50" s="37" t="b">
        <f>IFERROR(__xludf.DUMMYFUNCTION("if(isblank(A50),,REGEXMATCH(B50,""^((D ?\+ ?(U ?I|I ?U))|((I ?U|U ?I) ?\+ ?D)) *$""))"),FALSE)</f>
        <v>0</v>
      </c>
      <c r="W50" s="37" t="b">
        <f>IFERROR(__xludf.DUMMYFUNCTION("if(isblank(A50),,REGEXMATCH(B50,""^((U ?\+ ?(U ?I|I ?U))|((I ?U|U ?I) ?\+ ?U)) *$""))"),FALSE)</f>
        <v>0</v>
      </c>
      <c r="X50" s="37" t="b">
        <f>IFERROR(__xludf.DUMMYFUNCTION("if(isblank(A50),,REGEXMATCH(B50,""^((N ?\+ ?(U ?I|I ?U))|((I ?U|U ?I) ?\+ ?N)) *$""))"),FALSE)</f>
        <v>0</v>
      </c>
      <c r="Y50" s="37" t="b">
        <f>IFERROR(__xludf.DUMMYFUNCTION("if(isblank(A50),,REGEXMATCH(B50,""^((I ?\+ ?(U ?D|D ?U))|((D ?U|U ?D) ?\+ ?I)) *$""))"),FALSE)</f>
        <v>0</v>
      </c>
      <c r="Z50" s="37" t="b">
        <f>IFERROR(__xludf.DUMMYFUNCTION("if(isblank(A50),,REGEXMATCH(B50,""^((D ?\+ ?(U ?D|D ?U))|((D ?U|U ?D) ?\+ ?D)) *$""))"),FALSE)</f>
        <v>0</v>
      </c>
      <c r="AA50" s="37" t="b">
        <f>IFERROR(__xludf.DUMMYFUNCTION("if(isblank(A50),,REGEXMATCH(B50,""^((U ?\+ ?(U ?D|D ?U))|((D ?U|U ?D) ?\+ ?U)) *$""))"),FALSE)</f>
        <v>0</v>
      </c>
      <c r="AB50" s="37" t="b">
        <f>IFERROR(__xludf.DUMMYFUNCTION("if(isblank(A50),,REGEXMATCH(B50,""^((D ?I|I ?D) ?\+ ?(D ?I|I ?D)) *$""))"),FALSE)</f>
        <v>0</v>
      </c>
      <c r="AC50" s="37" t="b">
        <f>IFERROR(__xludf.DUMMYFUNCTION("if(isblank(A50),,REGEXMATCH(B50,""^((D ?I|I ?D) ?\+ ?(U ?I|I ?U))|((U ?I|I ?U) ?\+ ?(D ?I|I ?D)) *$""))"),FALSE)</f>
        <v>0</v>
      </c>
      <c r="AD50" s="37" t="b">
        <f>IFERROR(__xludf.DUMMYFUNCTION("if(isblank(A50),,REGEXMATCH(B50,""^I *vs\. I *$""))"),FALSE)</f>
        <v>0</v>
      </c>
      <c r="AE50" s="37" t="b">
        <f>IFERROR(__xludf.DUMMYFUNCTION("if(isblank(A50),,REGEXMATCH(B50,""(^I *vs\. D *$)|(^D *vs\. I *$)""))"),FALSE)</f>
        <v>0</v>
      </c>
      <c r="AF50" s="37" t="b">
        <f>IFERROR(__xludf.DUMMYFUNCTION("if(isblank(A50),,REGEXMATCH(B50,""(^I *vs\. U *$)|(^U *vs\. I *$)""))"),FALSE)</f>
        <v>0</v>
      </c>
      <c r="AG50" s="37" t="b">
        <f>IFERROR(__xludf.DUMMYFUNCTION("if(isblank(A50),,REGEXMATCH(B50,""^D *vs\. D *$""))"),FALSE)</f>
        <v>0</v>
      </c>
      <c r="AH50" s="37" t="b">
        <f>IFERROR(__xludf.DUMMYFUNCTION("if(isblank(A50),,REGEXMATCH(B50,""(^U *vs\. D *$)|(^D *vs\. U *$)""))"),FALSE)</f>
        <v>0</v>
      </c>
      <c r="AI50" s="37" t="b">
        <f>IFERROR(__xludf.DUMMYFUNCTION("if(isblank(A50),,REGEXMATCH(B50,""^U *vs\. U *$""))"),FALSE)</f>
        <v>0</v>
      </c>
      <c r="AJ50" s="37" t="b">
        <f>IFERROR(__xludf.DUMMYFUNCTION("if(isblank(A50),,REGEXMATCH(B50,""^((I ?vs\. ?(D ?I|I ?D))|((D ?I|I ?D) ?vs\. ?I)) *$""))"),FALSE)</f>
        <v>0</v>
      </c>
      <c r="AK50" s="37" t="b">
        <f>IFERROR(__xludf.DUMMYFUNCTION("if(isblank(A50),,REGEXMATCH(B50,""^((D ?vs\. ?(D ?I|I ?D))|((D ?I|I ?D) ?vs\. ?D)) *$""))"),FALSE)</f>
        <v>0</v>
      </c>
      <c r="AL50" s="37" t="b">
        <f>IFERROR(__xludf.DUMMYFUNCTION("if(isblank(A50),,REGEXMATCH(B50,""^((U ?vs\. ?(D ?I|I ?D))|((D ?I|I ?D) ?vs\. ?U)) *$""))"),TRUE)</f>
        <v>1</v>
      </c>
      <c r="AM50" s="37" t="b">
        <f>IFERROR(__xludf.DUMMYFUNCTION("if(isblank(A50),,REGEXMATCH(B50,""^((I ?vs\. ?(U ?I|I ?U))|((U ?I|I ?U) ?vs\. ?I)) *$""))"),FALSE)</f>
        <v>0</v>
      </c>
      <c r="AN50" s="37" t="b">
        <f>IFERROR(__xludf.DUMMYFUNCTION("if(isblank(A50),,REGEXMATCH(B50,""^((D ?vs\. ?(U ?I|I ?U))|((U ?I|I ?U) ?vs\. ?D)) *$""))"),FALSE)</f>
        <v>0</v>
      </c>
      <c r="AO50" s="37" t="b">
        <f>IFERROR(__xludf.DUMMYFUNCTION("if(isblank(A50),,REGEXMATCH(B50,""^((U ?vs\. ?(U ?I|I ?U))|((U ?I|I ?U) ?vs\. ?U)) *$""))"),FALSE)</f>
        <v>0</v>
      </c>
      <c r="AP50" s="37" t="b">
        <f>IFERROR(__xludf.DUMMYFUNCTION("if(isblank(A50),,REGEXMATCH(B50,""^((I ?vs\. ?(U ?D|D ?U))|((D ?U|U ?D) ?vs\. ?I)) *$""))"),FALSE)</f>
        <v>0</v>
      </c>
      <c r="AQ50" s="37" t="b">
        <f>IFERROR(__xludf.DUMMYFUNCTION("if(isblank(A50),,REGEXMATCH(B50,""^((D ?vs\. ?(U ?D|D ?U))|((D ?U|U ?D) ?vs\. ?D)) *$""))"),FALSE)</f>
        <v>0</v>
      </c>
      <c r="AR50" s="37" t="b">
        <f>IFERROR(__xludf.DUMMYFUNCTION("if(isblank(A50),,REGEXMATCH(B50,""^((U ?vs\. ?(U ?D|D ?U))|((D ?U|U ?D) ?vs\. ?U)) *$""))"),FALSE)</f>
        <v>0</v>
      </c>
      <c r="AS50" s="37" t="b">
        <f>IFERROR(__xludf.DUMMYFUNCTION("if(isblank(A50),,REGEXMATCH(B50,""^((D ?I|I ?D) ?vs\. ?(D ?I|I ?D)) *$""))"),FALSE)</f>
        <v>0</v>
      </c>
      <c r="AT50" s="37" t="b">
        <f>IFERROR(__xludf.DUMMYFUNCTION("if(isblank(A50),,REGEXMATCH(B50,""^((D ?I|I ?D) ?vs\. ?(U ?I|I ?U))|((U ?I|I ?U) ?vs\. ?(D ?I|I ?D)) *$""))"),FALSE)</f>
        <v>0</v>
      </c>
      <c r="AU50" s="37" t="b">
        <f>IFERROR(__xludf.DUMMYFUNCTION("if(isblank(A50),,REGEXMATCH(B50,""^((D ?I|I ?D) ?vs\. ?(U ?D|D ?U))|((U ?D|D ?U) ?vs\. ?(D ?I|I ?D)) *$""))"),FALSE)</f>
        <v>0</v>
      </c>
      <c r="AV50" s="37" t="b">
        <f>IFERROR(__xludf.DUMMYFUNCTION("if(isblank(A50),,REGEXMATCH(B50,""^((U ?I|I ?U) ?vs\. ?(U ?I|I ?U)) *$""))"),FALSE)</f>
        <v>0</v>
      </c>
    </row>
    <row r="51" ht="26.25" customHeight="1">
      <c r="A51" s="79" t="str">
        <f>Paper_Textual_Conflict!M51</f>
        <v>D vs. U (Java file)</v>
      </c>
      <c r="B51" s="37" t="str">
        <f>IFERROR(__xludf.DUMMYFUNCTION("if(isblank(A51),,regexextract(REGEXEXTRACT(A51,""^.*""),""^[^(]*""))"),"D vs. U ")</f>
        <v>D vs. U </v>
      </c>
      <c r="C51" s="37" t="b">
        <f>IFERROR(__xludf.DUMMYFUNCTION("if(isblank(A51),,REGEXMATCH(B51,"".*\+.*"") )"),FALSE)</f>
        <v>0</v>
      </c>
      <c r="D51" s="37" t="b">
        <f>IFERROR(__xludf.DUMMYFUNCTION("if(isblank(A51),,REGEXMATCH(B51,"".*vs.*"") )"),TRUE)</f>
        <v>1</v>
      </c>
      <c r="E51" s="37" t="b">
        <f>Paper_Textual_Conflict!H51</f>
        <v>1</v>
      </c>
      <c r="F51" s="37" t="str">
        <f>Paper_Textual_Conflict!Q51</f>
        <v>Java</v>
      </c>
      <c r="G51" s="33">
        <v>51.0</v>
      </c>
      <c r="H51" s="37" t="b">
        <f>IFERROR(__xludf.DUMMYFUNCTION("if(isblank(A51),,REGEXMATCH(B51,""^I *\+ I *$""))"),FALSE)</f>
        <v>0</v>
      </c>
      <c r="I51" s="37" t="b">
        <f>IFERROR(__xludf.DUMMYFUNCTION("if(isblank(A51),,REGEXMATCH(B51,""(^I *\+ D *$)|(^D *\+ I *$)""))"),FALSE)</f>
        <v>0</v>
      </c>
      <c r="J51" s="37" t="b">
        <f>IFERROR(__xludf.DUMMYFUNCTION("if(isblank(A51),,REGEXMATCH(B51,""(^I *\+ U *$)|(^U *\+ I *$)""))"),FALSE)</f>
        <v>0</v>
      </c>
      <c r="K51" s="37" t="b">
        <f>IFERROR(__xludf.DUMMYFUNCTION("if(isblank(A51),,REGEXMATCH(B51,""(^I *\+ N *$)|(^N *\+ I *$)"") )"),FALSE)</f>
        <v>0</v>
      </c>
      <c r="L51" s="37" t="b">
        <f>IFERROR(__xludf.DUMMYFUNCTION("if(isblank(A51),,REGEXMATCH(B51,""^D *\+ D *$""))"),FALSE)</f>
        <v>0</v>
      </c>
      <c r="M51" s="37" t="b">
        <f>IFERROR(__xludf.DUMMYFUNCTION("if(isblank(A51),,REGEXMATCH(B51,""(^U *\+ D *$)|(^D *\+ U *$)""))"),FALSE)</f>
        <v>0</v>
      </c>
      <c r="N51" s="37" t="b">
        <f>IFERROR(__xludf.DUMMYFUNCTION("if(isblank(A51),,REGEXMATCH(B51,""(^N *\+ D *$)|(^D *\+ N *$)""))"),FALSE)</f>
        <v>0</v>
      </c>
      <c r="O51" s="37" t="b">
        <f>IFERROR(__xludf.DUMMYFUNCTION("if(isblank(A51),,REGEXMATCH(B51,""^U *\+ U *$""))"),FALSE)</f>
        <v>0</v>
      </c>
      <c r="P51" s="37" t="b">
        <f>IFERROR(__xludf.DUMMYFUNCTION("if(isblank(A51),,REGEXMATCH(B51,""(^U *\+ N *$)|(^N *\+ U *$)""))"),FALSE)</f>
        <v>0</v>
      </c>
      <c r="Q51" s="37" t="b">
        <f>IFERROR(__xludf.DUMMYFUNCTION("if(isblank(A51),,REGEXMATCH(B51,""^((I ?\+ ?(D ?I|I ?D))|((D ?I|I ?D) ?\+ ?I)) *$""))"),FALSE)</f>
        <v>0</v>
      </c>
      <c r="R51" s="37" t="b">
        <f>IFERROR(__xludf.DUMMYFUNCTION("if(isblank(A51),,REGEXMATCH(B51,""^((D ?\+ ?(D ?I|I ?D))|((D ?I|I ?D) ?\+ ?D)) *$""))"),FALSE)</f>
        <v>0</v>
      </c>
      <c r="S51" s="37" t="b">
        <f>IFERROR(__xludf.DUMMYFUNCTION("if(isblank(A51),,REGEXMATCH(B51,""^((U ?\+ ?(D ?I|I ?D))|((D ?I|I ?D) ?\+ ?U)) *$""))"),FALSE)</f>
        <v>0</v>
      </c>
      <c r="T51" s="37" t="b">
        <f>IFERROR(__xludf.DUMMYFUNCTION("if(isblank(A51),,REGEXMATCH(B51,""^((N ?\+ ?(D ?I|I ?D))|((D ?I|I ?D) ?\+ ?N)) *$""))"),FALSE)</f>
        <v>0</v>
      </c>
      <c r="U51" s="37" t="b">
        <f>IFERROR(__xludf.DUMMYFUNCTION("if(isblank(A51),,REGEXMATCH(B51,""^((I ?\+ ?(U ?I|I ?U))|((I ?U|U ?I) ?\+ ?I)) *$""))"),FALSE)</f>
        <v>0</v>
      </c>
      <c r="V51" s="37" t="b">
        <f>IFERROR(__xludf.DUMMYFUNCTION("if(isblank(A51),,REGEXMATCH(B51,""^((D ?\+ ?(U ?I|I ?U))|((I ?U|U ?I) ?\+ ?D)) *$""))"),FALSE)</f>
        <v>0</v>
      </c>
      <c r="W51" s="37" t="b">
        <f>IFERROR(__xludf.DUMMYFUNCTION("if(isblank(A51),,REGEXMATCH(B51,""^((U ?\+ ?(U ?I|I ?U))|((I ?U|U ?I) ?\+ ?U)) *$""))"),FALSE)</f>
        <v>0</v>
      </c>
      <c r="X51" s="37" t="b">
        <f>IFERROR(__xludf.DUMMYFUNCTION("if(isblank(A51),,REGEXMATCH(B51,""^((N ?\+ ?(U ?I|I ?U))|((I ?U|U ?I) ?\+ ?N)) *$""))"),FALSE)</f>
        <v>0</v>
      </c>
      <c r="Y51" s="37" t="b">
        <f>IFERROR(__xludf.DUMMYFUNCTION("if(isblank(A51),,REGEXMATCH(B51,""^((I ?\+ ?(U ?D|D ?U))|((D ?U|U ?D) ?\+ ?I)) *$""))"),FALSE)</f>
        <v>0</v>
      </c>
      <c r="Z51" s="37" t="b">
        <f>IFERROR(__xludf.DUMMYFUNCTION("if(isblank(A51),,REGEXMATCH(B51,""^((D ?\+ ?(U ?D|D ?U))|((D ?U|U ?D) ?\+ ?D)) *$""))"),FALSE)</f>
        <v>0</v>
      </c>
      <c r="AA51" s="37" t="b">
        <f>IFERROR(__xludf.DUMMYFUNCTION("if(isblank(A51),,REGEXMATCH(B51,""^((U ?\+ ?(U ?D|D ?U))|((D ?U|U ?D) ?\+ ?U)) *$""))"),FALSE)</f>
        <v>0</v>
      </c>
      <c r="AB51" s="37" t="b">
        <f>IFERROR(__xludf.DUMMYFUNCTION("if(isblank(A51),,REGEXMATCH(B51,""^((D ?I|I ?D) ?\+ ?(D ?I|I ?D)) *$""))"),FALSE)</f>
        <v>0</v>
      </c>
      <c r="AC51" s="37" t="b">
        <f>IFERROR(__xludf.DUMMYFUNCTION("if(isblank(A51),,REGEXMATCH(B51,""^((D ?I|I ?D) ?\+ ?(U ?I|I ?U))|((U ?I|I ?U) ?\+ ?(D ?I|I ?D)) *$""))"),FALSE)</f>
        <v>0</v>
      </c>
      <c r="AD51" s="37" t="b">
        <f>IFERROR(__xludf.DUMMYFUNCTION("if(isblank(A51),,REGEXMATCH(B51,""^I *vs\. I *$""))"),FALSE)</f>
        <v>0</v>
      </c>
      <c r="AE51" s="37" t="b">
        <f>IFERROR(__xludf.DUMMYFUNCTION("if(isblank(A51),,REGEXMATCH(B51,""(^I *vs\. D *$)|(^D *vs\. I *$)""))"),FALSE)</f>
        <v>0</v>
      </c>
      <c r="AF51" s="37" t="b">
        <f>IFERROR(__xludf.DUMMYFUNCTION("if(isblank(A51),,REGEXMATCH(B51,""(^I *vs\. U *$)|(^U *vs\. I *$)""))"),FALSE)</f>
        <v>0</v>
      </c>
      <c r="AG51" s="37" t="b">
        <f>IFERROR(__xludf.DUMMYFUNCTION("if(isblank(A51),,REGEXMATCH(B51,""^D *vs\. D *$""))"),FALSE)</f>
        <v>0</v>
      </c>
      <c r="AH51" s="37" t="b">
        <f>IFERROR(__xludf.DUMMYFUNCTION("if(isblank(A51),,REGEXMATCH(B51,""(^U *vs\. D *$)|(^D *vs\. U *$)""))"),TRUE)</f>
        <v>1</v>
      </c>
      <c r="AI51" s="37" t="b">
        <f>IFERROR(__xludf.DUMMYFUNCTION("if(isblank(A51),,REGEXMATCH(B51,""^U *vs\. U *$""))"),FALSE)</f>
        <v>0</v>
      </c>
      <c r="AJ51" s="37" t="b">
        <f>IFERROR(__xludf.DUMMYFUNCTION("if(isblank(A51),,REGEXMATCH(B51,""^((I ?vs\. ?(D ?I|I ?D))|((D ?I|I ?D) ?vs\. ?I)) *$""))"),FALSE)</f>
        <v>0</v>
      </c>
      <c r="AK51" s="37" t="b">
        <f>IFERROR(__xludf.DUMMYFUNCTION("if(isblank(A51),,REGEXMATCH(B51,""^((D ?vs\. ?(D ?I|I ?D))|((D ?I|I ?D) ?vs\. ?D)) *$""))"),FALSE)</f>
        <v>0</v>
      </c>
      <c r="AL51" s="37" t="b">
        <f>IFERROR(__xludf.DUMMYFUNCTION("if(isblank(A51),,REGEXMATCH(B51,""^((U ?vs\. ?(D ?I|I ?D))|((D ?I|I ?D) ?vs\. ?U)) *$""))"),FALSE)</f>
        <v>0</v>
      </c>
      <c r="AM51" s="37" t="b">
        <f>IFERROR(__xludf.DUMMYFUNCTION("if(isblank(A51),,REGEXMATCH(B51,""^((I ?vs\. ?(U ?I|I ?U))|((U ?I|I ?U) ?vs\. ?I)) *$""))"),FALSE)</f>
        <v>0</v>
      </c>
      <c r="AN51" s="37" t="b">
        <f>IFERROR(__xludf.DUMMYFUNCTION("if(isblank(A51),,REGEXMATCH(B51,""^((D ?vs\. ?(U ?I|I ?U))|((U ?I|I ?U) ?vs\. ?D)) *$""))"),FALSE)</f>
        <v>0</v>
      </c>
      <c r="AO51" s="37" t="b">
        <f>IFERROR(__xludf.DUMMYFUNCTION("if(isblank(A51),,REGEXMATCH(B51,""^((U ?vs\. ?(U ?I|I ?U))|((U ?I|I ?U) ?vs\. ?U)) *$""))"),FALSE)</f>
        <v>0</v>
      </c>
      <c r="AP51" s="37" t="b">
        <f>IFERROR(__xludf.DUMMYFUNCTION("if(isblank(A51),,REGEXMATCH(B51,""^((I ?vs\. ?(U ?D|D ?U))|((D ?U|U ?D) ?vs\. ?I)) *$""))"),FALSE)</f>
        <v>0</v>
      </c>
      <c r="AQ51" s="37" t="b">
        <f>IFERROR(__xludf.DUMMYFUNCTION("if(isblank(A51),,REGEXMATCH(B51,""^((D ?vs\. ?(U ?D|D ?U))|((D ?U|U ?D) ?vs\. ?D)) *$""))"),FALSE)</f>
        <v>0</v>
      </c>
      <c r="AR51" s="37" t="b">
        <f>IFERROR(__xludf.DUMMYFUNCTION("if(isblank(A51),,REGEXMATCH(B51,""^((U ?vs\. ?(U ?D|D ?U))|((D ?U|U ?D) ?vs\. ?U)) *$""))"),FALSE)</f>
        <v>0</v>
      </c>
      <c r="AS51" s="37" t="b">
        <f>IFERROR(__xludf.DUMMYFUNCTION("if(isblank(A51),,REGEXMATCH(B51,""^((D ?I|I ?D) ?vs\. ?(D ?I|I ?D)) *$""))"),FALSE)</f>
        <v>0</v>
      </c>
      <c r="AT51" s="37" t="b">
        <f>IFERROR(__xludf.DUMMYFUNCTION("if(isblank(A51),,REGEXMATCH(B51,""^((D ?I|I ?D) ?vs\. ?(U ?I|I ?U))|((U ?I|I ?U) ?vs\. ?(D ?I|I ?D)) *$""))"),FALSE)</f>
        <v>0</v>
      </c>
      <c r="AU51" s="37" t="b">
        <f>IFERROR(__xludf.DUMMYFUNCTION("if(isblank(A51),,REGEXMATCH(B51,""^((D ?I|I ?D) ?vs\. ?(U ?D|D ?U))|((U ?D|D ?U) ?vs\. ?(D ?I|I ?D)) *$""))"),FALSE)</f>
        <v>0</v>
      </c>
      <c r="AV51" s="37" t="b">
        <f>IFERROR(__xludf.DUMMYFUNCTION("if(isblank(A51),,REGEXMATCH(B51,""^((U ?I|I ?U) ?vs\. ?(U ?I|I ?U)) *$""))"),FALSE)</f>
        <v>0</v>
      </c>
    </row>
    <row r="52" ht="26.25" customHeight="1">
      <c r="A52" s="79" t="str">
        <f>Paper_Textual_Conflict!M52</f>
        <v>U vs. U (Java code) L &gt; R version</v>
      </c>
      <c r="B52" s="37" t="str">
        <f>IFERROR(__xludf.DUMMYFUNCTION("if(isblank(A52),,regexextract(REGEXEXTRACT(A52,""^.*""),""^[^(]*""))"),"U vs. U ")</f>
        <v>U vs. U </v>
      </c>
      <c r="C52" s="37" t="b">
        <f>IFERROR(__xludf.DUMMYFUNCTION("if(isblank(A52),,REGEXMATCH(B52,"".*\+.*"") )"),FALSE)</f>
        <v>0</v>
      </c>
      <c r="D52" s="37" t="b">
        <f>IFERROR(__xludf.DUMMYFUNCTION("if(isblank(A52),,REGEXMATCH(B52,"".*vs.*"") )"),TRUE)</f>
        <v>1</v>
      </c>
      <c r="E52" s="37" t="b">
        <f>Paper_Textual_Conflict!H52</f>
        <v>1</v>
      </c>
      <c r="F52" s="37" t="str">
        <f>Paper_Textual_Conflict!Q52</f>
        <v>Java</v>
      </c>
      <c r="G52" s="33">
        <v>52.0</v>
      </c>
      <c r="H52" s="37" t="b">
        <f>IFERROR(__xludf.DUMMYFUNCTION("if(isblank(A52),,REGEXMATCH(B52,""^I *\+ I *$""))"),FALSE)</f>
        <v>0</v>
      </c>
      <c r="I52" s="37" t="b">
        <f>IFERROR(__xludf.DUMMYFUNCTION("if(isblank(A52),,REGEXMATCH(B52,""(^I *\+ D *$)|(^D *\+ I *$)""))"),FALSE)</f>
        <v>0</v>
      </c>
      <c r="J52" s="37" t="b">
        <f>IFERROR(__xludf.DUMMYFUNCTION("if(isblank(A52),,REGEXMATCH(B52,""(^I *\+ U *$)|(^U *\+ I *$)""))"),FALSE)</f>
        <v>0</v>
      </c>
      <c r="K52" s="37" t="b">
        <f>IFERROR(__xludf.DUMMYFUNCTION("if(isblank(A52),,REGEXMATCH(B52,""(^I *\+ N *$)|(^N *\+ I *$)"") )"),FALSE)</f>
        <v>0</v>
      </c>
      <c r="L52" s="37" t="b">
        <f>IFERROR(__xludf.DUMMYFUNCTION("if(isblank(A52),,REGEXMATCH(B52,""^D *\+ D *$""))"),FALSE)</f>
        <v>0</v>
      </c>
      <c r="M52" s="37" t="b">
        <f>IFERROR(__xludf.DUMMYFUNCTION("if(isblank(A52),,REGEXMATCH(B52,""(^U *\+ D *$)|(^D *\+ U *$)""))"),FALSE)</f>
        <v>0</v>
      </c>
      <c r="N52" s="37" t="b">
        <f>IFERROR(__xludf.DUMMYFUNCTION("if(isblank(A52),,REGEXMATCH(B52,""(^N *\+ D *$)|(^D *\+ N *$)""))"),FALSE)</f>
        <v>0</v>
      </c>
      <c r="O52" s="37" t="b">
        <f>IFERROR(__xludf.DUMMYFUNCTION("if(isblank(A52),,REGEXMATCH(B52,""^U *\+ U *$""))"),FALSE)</f>
        <v>0</v>
      </c>
      <c r="P52" s="37" t="b">
        <f>IFERROR(__xludf.DUMMYFUNCTION("if(isblank(A52),,REGEXMATCH(B52,""(^U *\+ N *$)|(^N *\+ U *$)""))"),FALSE)</f>
        <v>0</v>
      </c>
      <c r="Q52" s="37" t="b">
        <f>IFERROR(__xludf.DUMMYFUNCTION("if(isblank(A52),,REGEXMATCH(B52,""^((I ?\+ ?(D ?I|I ?D))|((D ?I|I ?D) ?\+ ?I)) *$""))"),FALSE)</f>
        <v>0</v>
      </c>
      <c r="R52" s="37" t="b">
        <f>IFERROR(__xludf.DUMMYFUNCTION("if(isblank(A52),,REGEXMATCH(B52,""^((D ?\+ ?(D ?I|I ?D))|((D ?I|I ?D) ?\+ ?D)) *$""))"),FALSE)</f>
        <v>0</v>
      </c>
      <c r="S52" s="37" t="b">
        <f>IFERROR(__xludf.DUMMYFUNCTION("if(isblank(A52),,REGEXMATCH(B52,""^((U ?\+ ?(D ?I|I ?D))|((D ?I|I ?D) ?\+ ?U)) *$""))"),FALSE)</f>
        <v>0</v>
      </c>
      <c r="T52" s="37" t="b">
        <f>IFERROR(__xludf.DUMMYFUNCTION("if(isblank(A52),,REGEXMATCH(B52,""^((N ?\+ ?(D ?I|I ?D))|((D ?I|I ?D) ?\+ ?N)) *$""))"),FALSE)</f>
        <v>0</v>
      </c>
      <c r="U52" s="37" t="b">
        <f>IFERROR(__xludf.DUMMYFUNCTION("if(isblank(A52),,REGEXMATCH(B52,""^((I ?\+ ?(U ?I|I ?U))|((I ?U|U ?I) ?\+ ?I)) *$""))"),FALSE)</f>
        <v>0</v>
      </c>
      <c r="V52" s="37" t="b">
        <f>IFERROR(__xludf.DUMMYFUNCTION("if(isblank(A52),,REGEXMATCH(B52,""^((D ?\+ ?(U ?I|I ?U))|((I ?U|U ?I) ?\+ ?D)) *$""))"),FALSE)</f>
        <v>0</v>
      </c>
      <c r="W52" s="37" t="b">
        <f>IFERROR(__xludf.DUMMYFUNCTION("if(isblank(A52),,REGEXMATCH(B52,""^((U ?\+ ?(U ?I|I ?U))|((I ?U|U ?I) ?\+ ?U)) *$""))"),FALSE)</f>
        <v>0</v>
      </c>
      <c r="X52" s="37" t="b">
        <f>IFERROR(__xludf.DUMMYFUNCTION("if(isblank(A52),,REGEXMATCH(B52,""^((N ?\+ ?(U ?I|I ?U))|((I ?U|U ?I) ?\+ ?N)) *$""))"),FALSE)</f>
        <v>0</v>
      </c>
      <c r="Y52" s="37" t="b">
        <f>IFERROR(__xludf.DUMMYFUNCTION("if(isblank(A52),,REGEXMATCH(B52,""^((I ?\+ ?(U ?D|D ?U))|((D ?U|U ?D) ?\+ ?I)) *$""))"),FALSE)</f>
        <v>0</v>
      </c>
      <c r="Z52" s="37" t="b">
        <f>IFERROR(__xludf.DUMMYFUNCTION("if(isblank(A52),,REGEXMATCH(B52,""^((D ?\+ ?(U ?D|D ?U))|((D ?U|U ?D) ?\+ ?D)) *$""))"),FALSE)</f>
        <v>0</v>
      </c>
      <c r="AA52" s="37" t="b">
        <f>IFERROR(__xludf.DUMMYFUNCTION("if(isblank(A52),,REGEXMATCH(B52,""^((U ?\+ ?(U ?D|D ?U))|((D ?U|U ?D) ?\+ ?U)) *$""))"),FALSE)</f>
        <v>0</v>
      </c>
      <c r="AB52" s="37" t="b">
        <f>IFERROR(__xludf.DUMMYFUNCTION("if(isblank(A52),,REGEXMATCH(B52,""^((D ?I|I ?D) ?\+ ?(D ?I|I ?D)) *$""))"),FALSE)</f>
        <v>0</v>
      </c>
      <c r="AC52" s="37" t="b">
        <f>IFERROR(__xludf.DUMMYFUNCTION("if(isblank(A52),,REGEXMATCH(B52,""^((D ?I|I ?D) ?\+ ?(U ?I|I ?U))|((U ?I|I ?U) ?\+ ?(D ?I|I ?D)) *$""))"),FALSE)</f>
        <v>0</v>
      </c>
      <c r="AD52" s="37" t="b">
        <f>IFERROR(__xludf.DUMMYFUNCTION("if(isblank(A52),,REGEXMATCH(B52,""^I *vs\. I *$""))"),FALSE)</f>
        <v>0</v>
      </c>
      <c r="AE52" s="37" t="b">
        <f>IFERROR(__xludf.DUMMYFUNCTION("if(isblank(A52),,REGEXMATCH(B52,""(^I *vs\. D *$)|(^D *vs\. I *$)""))"),FALSE)</f>
        <v>0</v>
      </c>
      <c r="AF52" s="37" t="b">
        <f>IFERROR(__xludf.DUMMYFUNCTION("if(isblank(A52),,REGEXMATCH(B52,""(^I *vs\. U *$)|(^U *vs\. I *$)""))"),FALSE)</f>
        <v>0</v>
      </c>
      <c r="AG52" s="37" t="b">
        <f>IFERROR(__xludf.DUMMYFUNCTION("if(isblank(A52),,REGEXMATCH(B52,""^D *vs\. D *$""))"),FALSE)</f>
        <v>0</v>
      </c>
      <c r="AH52" s="37" t="b">
        <f>IFERROR(__xludf.DUMMYFUNCTION("if(isblank(A52),,REGEXMATCH(B52,""(^U *vs\. D *$)|(^D *vs\. U *$)""))"),FALSE)</f>
        <v>0</v>
      </c>
      <c r="AI52" s="37" t="b">
        <f>IFERROR(__xludf.DUMMYFUNCTION("if(isblank(A52),,REGEXMATCH(B52,""^U *vs\. U *$""))"),TRUE)</f>
        <v>1</v>
      </c>
      <c r="AJ52" s="37" t="b">
        <f>IFERROR(__xludf.DUMMYFUNCTION("if(isblank(A52),,REGEXMATCH(B52,""^((I ?vs\. ?(D ?I|I ?D))|((D ?I|I ?D) ?vs\. ?I)) *$""))"),FALSE)</f>
        <v>0</v>
      </c>
      <c r="AK52" s="37" t="b">
        <f>IFERROR(__xludf.DUMMYFUNCTION("if(isblank(A52),,REGEXMATCH(B52,""^((D ?vs\. ?(D ?I|I ?D))|((D ?I|I ?D) ?vs\. ?D)) *$""))"),FALSE)</f>
        <v>0</v>
      </c>
      <c r="AL52" s="37" t="b">
        <f>IFERROR(__xludf.DUMMYFUNCTION("if(isblank(A52),,REGEXMATCH(B52,""^((U ?vs\. ?(D ?I|I ?D))|((D ?I|I ?D) ?vs\. ?U)) *$""))"),FALSE)</f>
        <v>0</v>
      </c>
      <c r="AM52" s="37" t="b">
        <f>IFERROR(__xludf.DUMMYFUNCTION("if(isblank(A52),,REGEXMATCH(B52,""^((I ?vs\. ?(U ?I|I ?U))|((U ?I|I ?U) ?vs\. ?I)) *$""))"),FALSE)</f>
        <v>0</v>
      </c>
      <c r="AN52" s="37" t="b">
        <f>IFERROR(__xludf.DUMMYFUNCTION("if(isblank(A52),,REGEXMATCH(B52,""^((D ?vs\. ?(U ?I|I ?U))|((U ?I|I ?U) ?vs\. ?D)) *$""))"),FALSE)</f>
        <v>0</v>
      </c>
      <c r="AO52" s="37" t="b">
        <f>IFERROR(__xludf.DUMMYFUNCTION("if(isblank(A52),,REGEXMATCH(B52,""^((U ?vs\. ?(U ?I|I ?U))|((U ?I|I ?U) ?vs\. ?U)) *$""))"),FALSE)</f>
        <v>0</v>
      </c>
      <c r="AP52" s="37" t="b">
        <f>IFERROR(__xludf.DUMMYFUNCTION("if(isblank(A52),,REGEXMATCH(B52,""^((I ?vs\. ?(U ?D|D ?U))|((D ?U|U ?D) ?vs\. ?I)) *$""))"),FALSE)</f>
        <v>0</v>
      </c>
      <c r="AQ52" s="37" t="b">
        <f>IFERROR(__xludf.DUMMYFUNCTION("if(isblank(A52),,REGEXMATCH(B52,""^((D ?vs\. ?(U ?D|D ?U))|((D ?U|U ?D) ?vs\. ?D)) *$""))"),FALSE)</f>
        <v>0</v>
      </c>
      <c r="AR52" s="37" t="b">
        <f>IFERROR(__xludf.DUMMYFUNCTION("if(isblank(A52),,REGEXMATCH(B52,""^((U ?vs\. ?(U ?D|D ?U))|((D ?U|U ?D) ?vs\. ?U)) *$""))"),FALSE)</f>
        <v>0</v>
      </c>
      <c r="AS52" s="37" t="b">
        <f>IFERROR(__xludf.DUMMYFUNCTION("if(isblank(A52),,REGEXMATCH(B52,""^((D ?I|I ?D) ?vs\. ?(D ?I|I ?D)) *$""))"),FALSE)</f>
        <v>0</v>
      </c>
      <c r="AT52" s="37" t="b">
        <f>IFERROR(__xludf.DUMMYFUNCTION("if(isblank(A52),,REGEXMATCH(B52,""^((D ?I|I ?D) ?vs\. ?(U ?I|I ?U))|((U ?I|I ?U) ?vs\. ?(D ?I|I ?D)) *$""))"),FALSE)</f>
        <v>0</v>
      </c>
      <c r="AU52" s="37" t="b">
        <f>IFERROR(__xludf.DUMMYFUNCTION("if(isblank(A52),,REGEXMATCH(B52,""^((D ?I|I ?D) ?vs\. ?(U ?D|D ?U))|((U ?D|D ?U) ?vs\. ?(D ?I|I ?D)) *$""))"),FALSE)</f>
        <v>0</v>
      </c>
      <c r="AV52" s="37" t="b">
        <f>IFERROR(__xludf.DUMMYFUNCTION("if(isblank(A52),,REGEXMATCH(B52,""^((U ?I|I ?U) ?vs\. ?(U ?I|I ?U)) *$""))"),FALSE)</f>
        <v>0</v>
      </c>
    </row>
    <row r="53" ht="26.25" customHeight="1">
      <c r="A53" s="79" t="str">
        <f>Paper_Textual_Conflict!M53</f>
        <v>U vs. U (version no., xml) L &gt; R version</v>
      </c>
      <c r="B53" s="37" t="str">
        <f>IFERROR(__xludf.DUMMYFUNCTION("if(isblank(A53),,regexextract(REGEXEXTRACT(A53,""^.*""),""^[^(]*""))"),"U vs. U ")</f>
        <v>U vs. U </v>
      </c>
      <c r="C53" s="37" t="b">
        <f>IFERROR(__xludf.DUMMYFUNCTION("if(isblank(A53),,REGEXMATCH(B53,"".*\+.*"") )"),FALSE)</f>
        <v>0</v>
      </c>
      <c r="D53" s="37" t="b">
        <f>IFERROR(__xludf.DUMMYFUNCTION("if(isblank(A53),,REGEXMATCH(B53,"".*vs.*"") )"),TRUE)</f>
        <v>1</v>
      </c>
      <c r="E53" s="37" t="b">
        <f>Paper_Textual_Conflict!H53</f>
        <v>1</v>
      </c>
      <c r="F53" s="37" t="str">
        <f>Paper_Textual_Conflict!Q53</f>
        <v>Non-Java</v>
      </c>
      <c r="G53" s="33">
        <v>53.0</v>
      </c>
      <c r="H53" s="37" t="b">
        <f>IFERROR(__xludf.DUMMYFUNCTION("if(isblank(A53),,REGEXMATCH(B53,""^I *\+ I *$""))"),FALSE)</f>
        <v>0</v>
      </c>
      <c r="I53" s="37" t="b">
        <f>IFERROR(__xludf.DUMMYFUNCTION("if(isblank(A53),,REGEXMATCH(B53,""(^I *\+ D *$)|(^D *\+ I *$)""))"),FALSE)</f>
        <v>0</v>
      </c>
      <c r="J53" s="37" t="b">
        <f>IFERROR(__xludf.DUMMYFUNCTION("if(isblank(A53),,REGEXMATCH(B53,""(^I *\+ U *$)|(^U *\+ I *$)""))"),FALSE)</f>
        <v>0</v>
      </c>
      <c r="K53" s="37" t="b">
        <f>IFERROR(__xludf.DUMMYFUNCTION("if(isblank(A53),,REGEXMATCH(B53,""(^I *\+ N *$)|(^N *\+ I *$)"") )"),FALSE)</f>
        <v>0</v>
      </c>
      <c r="L53" s="37" t="b">
        <f>IFERROR(__xludf.DUMMYFUNCTION("if(isblank(A53),,REGEXMATCH(B53,""^D *\+ D *$""))"),FALSE)</f>
        <v>0</v>
      </c>
      <c r="M53" s="37" t="b">
        <f>IFERROR(__xludf.DUMMYFUNCTION("if(isblank(A53),,REGEXMATCH(B53,""(^U *\+ D *$)|(^D *\+ U *$)""))"),FALSE)</f>
        <v>0</v>
      </c>
      <c r="N53" s="37" t="b">
        <f>IFERROR(__xludf.DUMMYFUNCTION("if(isblank(A53),,REGEXMATCH(B53,""(^N *\+ D *$)|(^D *\+ N *$)""))"),FALSE)</f>
        <v>0</v>
      </c>
      <c r="O53" s="37" t="b">
        <f>IFERROR(__xludf.DUMMYFUNCTION("if(isblank(A53),,REGEXMATCH(B53,""^U *\+ U *$""))"),FALSE)</f>
        <v>0</v>
      </c>
      <c r="P53" s="37" t="b">
        <f>IFERROR(__xludf.DUMMYFUNCTION("if(isblank(A53),,REGEXMATCH(B53,""(^U *\+ N *$)|(^N *\+ U *$)""))"),FALSE)</f>
        <v>0</v>
      </c>
      <c r="Q53" s="37" t="b">
        <f>IFERROR(__xludf.DUMMYFUNCTION("if(isblank(A53),,REGEXMATCH(B53,""^((I ?\+ ?(D ?I|I ?D))|((D ?I|I ?D) ?\+ ?I)) *$""))"),FALSE)</f>
        <v>0</v>
      </c>
      <c r="R53" s="37" t="b">
        <f>IFERROR(__xludf.DUMMYFUNCTION("if(isblank(A53),,REGEXMATCH(B53,""^((D ?\+ ?(D ?I|I ?D))|((D ?I|I ?D) ?\+ ?D)) *$""))"),FALSE)</f>
        <v>0</v>
      </c>
      <c r="S53" s="37" t="b">
        <f>IFERROR(__xludf.DUMMYFUNCTION("if(isblank(A53),,REGEXMATCH(B53,""^((U ?\+ ?(D ?I|I ?D))|((D ?I|I ?D) ?\+ ?U)) *$""))"),FALSE)</f>
        <v>0</v>
      </c>
      <c r="T53" s="37" t="b">
        <f>IFERROR(__xludf.DUMMYFUNCTION("if(isblank(A53),,REGEXMATCH(B53,""^((N ?\+ ?(D ?I|I ?D))|((D ?I|I ?D) ?\+ ?N)) *$""))"),FALSE)</f>
        <v>0</v>
      </c>
      <c r="U53" s="37" t="b">
        <f>IFERROR(__xludf.DUMMYFUNCTION("if(isblank(A53),,REGEXMATCH(B53,""^((I ?\+ ?(U ?I|I ?U))|((I ?U|U ?I) ?\+ ?I)) *$""))"),FALSE)</f>
        <v>0</v>
      </c>
      <c r="V53" s="37" t="b">
        <f>IFERROR(__xludf.DUMMYFUNCTION("if(isblank(A53),,REGEXMATCH(B53,""^((D ?\+ ?(U ?I|I ?U))|((I ?U|U ?I) ?\+ ?D)) *$""))"),FALSE)</f>
        <v>0</v>
      </c>
      <c r="W53" s="37" t="b">
        <f>IFERROR(__xludf.DUMMYFUNCTION("if(isblank(A53),,REGEXMATCH(B53,""^((U ?\+ ?(U ?I|I ?U))|((I ?U|U ?I) ?\+ ?U)) *$""))"),FALSE)</f>
        <v>0</v>
      </c>
      <c r="X53" s="37" t="b">
        <f>IFERROR(__xludf.DUMMYFUNCTION("if(isblank(A53),,REGEXMATCH(B53,""^((N ?\+ ?(U ?I|I ?U))|((I ?U|U ?I) ?\+ ?N)) *$""))"),FALSE)</f>
        <v>0</v>
      </c>
      <c r="Y53" s="37" t="b">
        <f>IFERROR(__xludf.DUMMYFUNCTION("if(isblank(A53),,REGEXMATCH(B53,""^((I ?\+ ?(U ?D|D ?U))|((D ?U|U ?D) ?\+ ?I)) *$""))"),FALSE)</f>
        <v>0</v>
      </c>
      <c r="Z53" s="37" t="b">
        <f>IFERROR(__xludf.DUMMYFUNCTION("if(isblank(A53),,REGEXMATCH(B53,""^((D ?\+ ?(U ?D|D ?U))|((D ?U|U ?D) ?\+ ?D)) *$""))"),FALSE)</f>
        <v>0</v>
      </c>
      <c r="AA53" s="37" t="b">
        <f>IFERROR(__xludf.DUMMYFUNCTION("if(isblank(A53),,REGEXMATCH(B53,""^((U ?\+ ?(U ?D|D ?U))|((D ?U|U ?D) ?\+ ?U)) *$""))"),FALSE)</f>
        <v>0</v>
      </c>
      <c r="AB53" s="37" t="b">
        <f>IFERROR(__xludf.DUMMYFUNCTION("if(isblank(A53),,REGEXMATCH(B53,""^((D ?I|I ?D) ?\+ ?(D ?I|I ?D)) *$""))"),FALSE)</f>
        <v>0</v>
      </c>
      <c r="AC53" s="37" t="b">
        <f>IFERROR(__xludf.DUMMYFUNCTION("if(isblank(A53),,REGEXMATCH(B53,""^((D ?I|I ?D) ?\+ ?(U ?I|I ?U))|((U ?I|I ?U) ?\+ ?(D ?I|I ?D)) *$""))"),FALSE)</f>
        <v>0</v>
      </c>
      <c r="AD53" s="37" t="b">
        <f>IFERROR(__xludf.DUMMYFUNCTION("if(isblank(A53),,REGEXMATCH(B53,""^I *vs\. I *$""))"),FALSE)</f>
        <v>0</v>
      </c>
      <c r="AE53" s="37" t="b">
        <f>IFERROR(__xludf.DUMMYFUNCTION("if(isblank(A53),,REGEXMATCH(B53,""(^I *vs\. D *$)|(^D *vs\. I *$)""))"),FALSE)</f>
        <v>0</v>
      </c>
      <c r="AF53" s="37" t="b">
        <f>IFERROR(__xludf.DUMMYFUNCTION("if(isblank(A53),,REGEXMATCH(B53,""(^I *vs\. U *$)|(^U *vs\. I *$)""))"),FALSE)</f>
        <v>0</v>
      </c>
      <c r="AG53" s="37" t="b">
        <f>IFERROR(__xludf.DUMMYFUNCTION("if(isblank(A53),,REGEXMATCH(B53,""^D *vs\. D *$""))"),FALSE)</f>
        <v>0</v>
      </c>
      <c r="AH53" s="37" t="b">
        <f>IFERROR(__xludf.DUMMYFUNCTION("if(isblank(A53),,REGEXMATCH(B53,""(^U *vs\. D *$)|(^D *vs\. U *$)""))"),FALSE)</f>
        <v>0</v>
      </c>
      <c r="AI53" s="37" t="b">
        <f>IFERROR(__xludf.DUMMYFUNCTION("if(isblank(A53),,REGEXMATCH(B53,""^U *vs\. U *$""))"),TRUE)</f>
        <v>1</v>
      </c>
      <c r="AJ53" s="37" t="b">
        <f>IFERROR(__xludf.DUMMYFUNCTION("if(isblank(A53),,REGEXMATCH(B53,""^((I ?vs\. ?(D ?I|I ?D))|((D ?I|I ?D) ?vs\. ?I)) *$""))"),FALSE)</f>
        <v>0</v>
      </c>
      <c r="AK53" s="37" t="b">
        <f>IFERROR(__xludf.DUMMYFUNCTION("if(isblank(A53),,REGEXMATCH(B53,""^((D ?vs\. ?(D ?I|I ?D))|((D ?I|I ?D) ?vs\. ?D)) *$""))"),FALSE)</f>
        <v>0</v>
      </c>
      <c r="AL53" s="37" t="b">
        <f>IFERROR(__xludf.DUMMYFUNCTION("if(isblank(A53),,REGEXMATCH(B53,""^((U ?vs\. ?(D ?I|I ?D))|((D ?I|I ?D) ?vs\. ?U)) *$""))"),FALSE)</f>
        <v>0</v>
      </c>
      <c r="AM53" s="37" t="b">
        <f>IFERROR(__xludf.DUMMYFUNCTION("if(isblank(A53),,REGEXMATCH(B53,""^((I ?vs\. ?(U ?I|I ?U))|((U ?I|I ?U) ?vs\. ?I)) *$""))"),FALSE)</f>
        <v>0</v>
      </c>
      <c r="AN53" s="37" t="b">
        <f>IFERROR(__xludf.DUMMYFUNCTION("if(isblank(A53),,REGEXMATCH(B53,""^((D ?vs\. ?(U ?I|I ?U))|((U ?I|I ?U) ?vs\. ?D)) *$""))"),FALSE)</f>
        <v>0</v>
      </c>
      <c r="AO53" s="37" t="b">
        <f>IFERROR(__xludf.DUMMYFUNCTION("if(isblank(A53),,REGEXMATCH(B53,""^((U ?vs\. ?(U ?I|I ?U))|((U ?I|I ?U) ?vs\. ?U)) *$""))"),FALSE)</f>
        <v>0</v>
      </c>
      <c r="AP53" s="37" t="b">
        <f>IFERROR(__xludf.DUMMYFUNCTION("if(isblank(A53),,REGEXMATCH(B53,""^((I ?vs\. ?(U ?D|D ?U))|((D ?U|U ?D) ?vs\. ?I)) *$""))"),FALSE)</f>
        <v>0</v>
      </c>
      <c r="AQ53" s="37" t="b">
        <f>IFERROR(__xludf.DUMMYFUNCTION("if(isblank(A53),,REGEXMATCH(B53,""^((D ?vs\. ?(U ?D|D ?U))|((D ?U|U ?D) ?vs\. ?D)) *$""))"),FALSE)</f>
        <v>0</v>
      </c>
      <c r="AR53" s="37" t="b">
        <f>IFERROR(__xludf.DUMMYFUNCTION("if(isblank(A53),,REGEXMATCH(B53,""^((U ?vs\. ?(U ?D|D ?U))|((D ?U|U ?D) ?vs\. ?U)) *$""))"),FALSE)</f>
        <v>0</v>
      </c>
      <c r="AS53" s="37" t="b">
        <f>IFERROR(__xludf.DUMMYFUNCTION("if(isblank(A53),,REGEXMATCH(B53,""^((D ?I|I ?D) ?vs\. ?(D ?I|I ?D)) *$""))"),FALSE)</f>
        <v>0</v>
      </c>
      <c r="AT53" s="37" t="b">
        <f>IFERROR(__xludf.DUMMYFUNCTION("if(isblank(A53),,REGEXMATCH(B53,""^((D ?I|I ?D) ?vs\. ?(U ?I|I ?U))|((U ?I|I ?U) ?vs\. ?(D ?I|I ?D)) *$""))"),FALSE)</f>
        <v>0</v>
      </c>
      <c r="AU53" s="37" t="b">
        <f>IFERROR(__xludf.DUMMYFUNCTION("if(isblank(A53),,REGEXMATCH(B53,""^((D ?I|I ?D) ?vs\. ?(U ?D|D ?U))|((U ?D|D ?U) ?vs\. ?(D ?I|I ?D)) *$""))"),FALSE)</f>
        <v>0</v>
      </c>
      <c r="AV53" s="37" t="b">
        <f>IFERROR(__xludf.DUMMYFUNCTION("if(isblank(A53),,REGEXMATCH(B53,""^((U ?I|I ?U) ?vs\. ?(U ?I|I ?U)) *$""))"),FALSE)</f>
        <v>0</v>
      </c>
    </row>
    <row r="54" ht="26.25" customHeight="1">
      <c r="A54" s="79" t="str">
        <f>Paper_Textual_Conflict!M54</f>
        <v>D I vs. I(Java code)
Origin(U + I)</v>
      </c>
      <c r="B54" s="37" t="str">
        <f>IFERROR(__xludf.DUMMYFUNCTION("if(isblank(A54),,regexextract(REGEXEXTRACT(A54,""^.*""),""^[^(]*""))"),"D I vs. I")</f>
        <v>D I vs. I</v>
      </c>
      <c r="C54" s="37" t="b">
        <f>IFERROR(__xludf.DUMMYFUNCTION("if(isblank(A54),,REGEXMATCH(B54,"".*\+.*"") )"),FALSE)</f>
        <v>0</v>
      </c>
      <c r="D54" s="37" t="b">
        <f>IFERROR(__xludf.DUMMYFUNCTION("if(isblank(A54),,REGEXMATCH(B54,"".*vs.*"") )"),TRUE)</f>
        <v>1</v>
      </c>
      <c r="E54" s="37" t="b">
        <f>Paper_Textual_Conflict!H54</f>
        <v>1</v>
      </c>
      <c r="F54" s="37" t="str">
        <f>Paper_Textual_Conflict!Q54</f>
        <v>Java</v>
      </c>
      <c r="G54" s="33">
        <v>54.0</v>
      </c>
      <c r="H54" s="37" t="b">
        <f>IFERROR(__xludf.DUMMYFUNCTION("if(isblank(A54),,REGEXMATCH(B54,""^I *\+ I *$""))"),FALSE)</f>
        <v>0</v>
      </c>
      <c r="I54" s="37" t="b">
        <f>IFERROR(__xludf.DUMMYFUNCTION("if(isblank(A54),,REGEXMATCH(B54,""(^I *\+ D *$)|(^D *\+ I *$)""))"),FALSE)</f>
        <v>0</v>
      </c>
      <c r="J54" s="37" t="b">
        <f>IFERROR(__xludf.DUMMYFUNCTION("if(isblank(A54),,REGEXMATCH(B54,""(^I *\+ U *$)|(^U *\+ I *$)""))"),FALSE)</f>
        <v>0</v>
      </c>
      <c r="K54" s="37" t="b">
        <f>IFERROR(__xludf.DUMMYFUNCTION("if(isblank(A54),,REGEXMATCH(B54,""(^I *\+ N *$)|(^N *\+ I *$)"") )"),FALSE)</f>
        <v>0</v>
      </c>
      <c r="L54" s="37" t="b">
        <f>IFERROR(__xludf.DUMMYFUNCTION("if(isblank(A54),,REGEXMATCH(B54,""^D *\+ D *$""))"),FALSE)</f>
        <v>0</v>
      </c>
      <c r="M54" s="37" t="b">
        <f>IFERROR(__xludf.DUMMYFUNCTION("if(isblank(A54),,REGEXMATCH(B54,""(^U *\+ D *$)|(^D *\+ U *$)""))"),FALSE)</f>
        <v>0</v>
      </c>
      <c r="N54" s="37" t="b">
        <f>IFERROR(__xludf.DUMMYFUNCTION("if(isblank(A54),,REGEXMATCH(B54,""(^N *\+ D *$)|(^D *\+ N *$)""))"),FALSE)</f>
        <v>0</v>
      </c>
      <c r="O54" s="37" t="b">
        <f>IFERROR(__xludf.DUMMYFUNCTION("if(isblank(A54),,REGEXMATCH(B54,""^U *\+ U *$""))"),FALSE)</f>
        <v>0</v>
      </c>
      <c r="P54" s="37" t="b">
        <f>IFERROR(__xludf.DUMMYFUNCTION("if(isblank(A54),,REGEXMATCH(B54,""(^U *\+ N *$)|(^N *\+ U *$)""))"),FALSE)</f>
        <v>0</v>
      </c>
      <c r="Q54" s="37" t="b">
        <f>IFERROR(__xludf.DUMMYFUNCTION("if(isblank(A54),,REGEXMATCH(B54,""^((I ?\+ ?(D ?I|I ?D))|((D ?I|I ?D) ?\+ ?I)) *$""))"),FALSE)</f>
        <v>0</v>
      </c>
      <c r="R54" s="37" t="b">
        <f>IFERROR(__xludf.DUMMYFUNCTION("if(isblank(A54),,REGEXMATCH(B54,""^((D ?\+ ?(D ?I|I ?D))|((D ?I|I ?D) ?\+ ?D)) *$""))"),FALSE)</f>
        <v>0</v>
      </c>
      <c r="S54" s="37" t="b">
        <f>IFERROR(__xludf.DUMMYFUNCTION("if(isblank(A54),,REGEXMATCH(B54,""^((U ?\+ ?(D ?I|I ?D))|((D ?I|I ?D) ?\+ ?U)) *$""))"),FALSE)</f>
        <v>0</v>
      </c>
      <c r="T54" s="37" t="b">
        <f>IFERROR(__xludf.DUMMYFUNCTION("if(isblank(A54),,REGEXMATCH(B54,""^((N ?\+ ?(D ?I|I ?D))|((D ?I|I ?D) ?\+ ?N)) *$""))"),FALSE)</f>
        <v>0</v>
      </c>
      <c r="U54" s="37" t="b">
        <f>IFERROR(__xludf.DUMMYFUNCTION("if(isblank(A54),,REGEXMATCH(B54,""^((I ?\+ ?(U ?I|I ?U))|((I ?U|U ?I) ?\+ ?I)) *$""))"),FALSE)</f>
        <v>0</v>
      </c>
      <c r="V54" s="37" t="b">
        <f>IFERROR(__xludf.DUMMYFUNCTION("if(isblank(A54),,REGEXMATCH(B54,""^((D ?\+ ?(U ?I|I ?U))|((I ?U|U ?I) ?\+ ?D)) *$""))"),FALSE)</f>
        <v>0</v>
      </c>
      <c r="W54" s="37" t="b">
        <f>IFERROR(__xludf.DUMMYFUNCTION("if(isblank(A54),,REGEXMATCH(B54,""^((U ?\+ ?(U ?I|I ?U))|((I ?U|U ?I) ?\+ ?U)) *$""))"),FALSE)</f>
        <v>0</v>
      </c>
      <c r="X54" s="37" t="b">
        <f>IFERROR(__xludf.DUMMYFUNCTION("if(isblank(A54),,REGEXMATCH(B54,""^((N ?\+ ?(U ?I|I ?U))|((I ?U|U ?I) ?\+ ?N)) *$""))"),FALSE)</f>
        <v>0</v>
      </c>
      <c r="Y54" s="37" t="b">
        <f>IFERROR(__xludf.DUMMYFUNCTION("if(isblank(A54),,REGEXMATCH(B54,""^((I ?\+ ?(U ?D|D ?U))|((D ?U|U ?D) ?\+ ?I)) *$""))"),FALSE)</f>
        <v>0</v>
      </c>
      <c r="Z54" s="37" t="b">
        <f>IFERROR(__xludf.DUMMYFUNCTION("if(isblank(A54),,REGEXMATCH(B54,""^((D ?\+ ?(U ?D|D ?U))|((D ?U|U ?D) ?\+ ?D)) *$""))"),FALSE)</f>
        <v>0</v>
      </c>
      <c r="AA54" s="37" t="b">
        <f>IFERROR(__xludf.DUMMYFUNCTION("if(isblank(A54),,REGEXMATCH(B54,""^((U ?\+ ?(U ?D|D ?U))|((D ?U|U ?D) ?\+ ?U)) *$""))"),FALSE)</f>
        <v>0</v>
      </c>
      <c r="AB54" s="37" t="b">
        <f>IFERROR(__xludf.DUMMYFUNCTION("if(isblank(A54),,REGEXMATCH(B54,""^((D ?I|I ?D) ?\+ ?(D ?I|I ?D)) *$""))"),FALSE)</f>
        <v>0</v>
      </c>
      <c r="AC54" s="37" t="b">
        <f>IFERROR(__xludf.DUMMYFUNCTION("if(isblank(A54),,REGEXMATCH(B54,""^((D ?I|I ?D) ?\+ ?(U ?I|I ?U))|((U ?I|I ?U) ?\+ ?(D ?I|I ?D)) *$""))"),FALSE)</f>
        <v>0</v>
      </c>
      <c r="AD54" s="37" t="b">
        <f>IFERROR(__xludf.DUMMYFUNCTION("if(isblank(A54),,REGEXMATCH(B54,""^I *vs\. I *$""))"),FALSE)</f>
        <v>0</v>
      </c>
      <c r="AE54" s="37" t="b">
        <f>IFERROR(__xludf.DUMMYFUNCTION("if(isblank(A54),,REGEXMATCH(B54,""(^I *vs\. D *$)|(^D *vs\. I *$)""))"),FALSE)</f>
        <v>0</v>
      </c>
      <c r="AF54" s="37" t="b">
        <f>IFERROR(__xludf.DUMMYFUNCTION("if(isblank(A54),,REGEXMATCH(B54,""(^I *vs\. U *$)|(^U *vs\. I *$)""))"),FALSE)</f>
        <v>0</v>
      </c>
      <c r="AG54" s="37" t="b">
        <f>IFERROR(__xludf.DUMMYFUNCTION("if(isblank(A54),,REGEXMATCH(B54,""^D *vs\. D *$""))"),FALSE)</f>
        <v>0</v>
      </c>
      <c r="AH54" s="37" t="b">
        <f>IFERROR(__xludf.DUMMYFUNCTION("if(isblank(A54),,REGEXMATCH(B54,""(^U *vs\. D *$)|(^D *vs\. U *$)""))"),FALSE)</f>
        <v>0</v>
      </c>
      <c r="AI54" s="37" t="b">
        <f>IFERROR(__xludf.DUMMYFUNCTION("if(isblank(A54),,REGEXMATCH(B54,""^U *vs\. U *$""))"),FALSE)</f>
        <v>0</v>
      </c>
      <c r="AJ54" s="37" t="b">
        <f>IFERROR(__xludf.DUMMYFUNCTION("if(isblank(A54),,REGEXMATCH(B54,""^((I ?vs\. ?(D ?I|I ?D))|((D ?I|I ?D) ?vs\. ?I)) *$""))"),TRUE)</f>
        <v>1</v>
      </c>
      <c r="AK54" s="37" t="b">
        <f>IFERROR(__xludf.DUMMYFUNCTION("if(isblank(A54),,REGEXMATCH(B54,""^((D ?vs\. ?(D ?I|I ?D))|((D ?I|I ?D) ?vs\. ?D)) *$""))"),FALSE)</f>
        <v>0</v>
      </c>
      <c r="AL54" s="37" t="b">
        <f>IFERROR(__xludf.DUMMYFUNCTION("if(isblank(A54),,REGEXMATCH(B54,""^((U ?vs\. ?(D ?I|I ?D))|((D ?I|I ?D) ?vs\. ?U)) *$""))"),FALSE)</f>
        <v>0</v>
      </c>
      <c r="AM54" s="37" t="b">
        <f>IFERROR(__xludf.DUMMYFUNCTION("if(isblank(A54),,REGEXMATCH(B54,""^((I ?vs\. ?(U ?I|I ?U))|((U ?I|I ?U) ?vs\. ?I)) *$""))"),FALSE)</f>
        <v>0</v>
      </c>
      <c r="AN54" s="37" t="b">
        <f>IFERROR(__xludf.DUMMYFUNCTION("if(isblank(A54),,REGEXMATCH(B54,""^((D ?vs\. ?(U ?I|I ?U))|((U ?I|I ?U) ?vs\. ?D)) *$""))"),FALSE)</f>
        <v>0</v>
      </c>
      <c r="AO54" s="37" t="b">
        <f>IFERROR(__xludf.DUMMYFUNCTION("if(isblank(A54),,REGEXMATCH(B54,""^((U ?vs\. ?(U ?I|I ?U))|((U ?I|I ?U) ?vs\. ?U)) *$""))"),FALSE)</f>
        <v>0</v>
      </c>
      <c r="AP54" s="37" t="b">
        <f>IFERROR(__xludf.DUMMYFUNCTION("if(isblank(A54),,REGEXMATCH(B54,""^((I ?vs\. ?(U ?D|D ?U))|((D ?U|U ?D) ?vs\. ?I)) *$""))"),FALSE)</f>
        <v>0</v>
      </c>
      <c r="AQ54" s="37" t="b">
        <f>IFERROR(__xludf.DUMMYFUNCTION("if(isblank(A54),,REGEXMATCH(B54,""^((D ?vs\. ?(U ?D|D ?U))|((D ?U|U ?D) ?vs\. ?D)) *$""))"),FALSE)</f>
        <v>0</v>
      </c>
      <c r="AR54" s="37" t="b">
        <f>IFERROR(__xludf.DUMMYFUNCTION("if(isblank(A54),,REGEXMATCH(B54,""^((U ?vs\. ?(U ?D|D ?U))|((D ?U|U ?D) ?vs\. ?U)) *$""))"),FALSE)</f>
        <v>0</v>
      </c>
      <c r="AS54" s="37" t="b">
        <f>IFERROR(__xludf.DUMMYFUNCTION("if(isblank(A54),,REGEXMATCH(B54,""^((D ?I|I ?D) ?vs\. ?(D ?I|I ?D)) *$""))"),FALSE)</f>
        <v>0</v>
      </c>
      <c r="AT54" s="37" t="b">
        <f>IFERROR(__xludf.DUMMYFUNCTION("if(isblank(A54),,REGEXMATCH(B54,""^((D ?I|I ?D) ?vs\. ?(U ?I|I ?U))|((U ?I|I ?U) ?vs\. ?(D ?I|I ?D)) *$""))"),FALSE)</f>
        <v>0</v>
      </c>
      <c r="AU54" s="37" t="b">
        <f>IFERROR(__xludf.DUMMYFUNCTION("if(isblank(A54),,REGEXMATCH(B54,""^((D ?I|I ?D) ?vs\. ?(U ?D|D ?U))|((U ?D|D ?U) ?vs\. ?(D ?I|I ?D)) *$""))"),FALSE)</f>
        <v>0</v>
      </c>
      <c r="AV54" s="37" t="b">
        <f>IFERROR(__xludf.DUMMYFUNCTION("if(isblank(A54),,REGEXMATCH(B54,""^((U ?I|I ?U) ?vs\. ?(U ?I|I ?U)) *$""))"),FALSE)</f>
        <v>0</v>
      </c>
    </row>
    <row r="55" ht="26.25" customHeight="1">
      <c r="A55" s="79" t="str">
        <f>Paper_Textual_Conflict!M55</f>
        <v>U vs. U</v>
      </c>
      <c r="B55" s="37" t="str">
        <f>IFERROR(__xludf.DUMMYFUNCTION("if(isblank(A55),,regexextract(REGEXEXTRACT(A55,""^.*""),""^[^(]*""))"),"U vs. U")</f>
        <v>U vs. U</v>
      </c>
      <c r="C55" s="37" t="b">
        <f>IFERROR(__xludf.DUMMYFUNCTION("if(isblank(A55),,REGEXMATCH(B55,"".*\+.*"") )"),FALSE)</f>
        <v>0</v>
      </c>
      <c r="D55" s="37" t="b">
        <f>IFERROR(__xludf.DUMMYFUNCTION("if(isblank(A55),,REGEXMATCH(B55,"".*vs.*"") )"),TRUE)</f>
        <v>1</v>
      </c>
      <c r="E55" s="37" t="b">
        <f>Paper_Textual_Conflict!H55</f>
        <v>1</v>
      </c>
      <c r="F55" s="37" t="str">
        <f>Paper_Textual_Conflict!Q55</f>
        <v>Non-Java</v>
      </c>
      <c r="G55" s="33">
        <v>55.0</v>
      </c>
      <c r="H55" s="37" t="b">
        <f>IFERROR(__xludf.DUMMYFUNCTION("if(isblank(A55),,REGEXMATCH(B55,""^I *\+ I *$""))"),FALSE)</f>
        <v>0</v>
      </c>
      <c r="I55" s="37" t="b">
        <f>IFERROR(__xludf.DUMMYFUNCTION("if(isblank(A55),,REGEXMATCH(B55,""(^I *\+ D *$)|(^D *\+ I *$)""))"),FALSE)</f>
        <v>0</v>
      </c>
      <c r="J55" s="37" t="b">
        <f>IFERROR(__xludf.DUMMYFUNCTION("if(isblank(A55),,REGEXMATCH(B55,""(^I *\+ U *$)|(^U *\+ I *$)""))"),FALSE)</f>
        <v>0</v>
      </c>
      <c r="K55" s="37" t="b">
        <f>IFERROR(__xludf.DUMMYFUNCTION("if(isblank(A55),,REGEXMATCH(B55,""(^I *\+ N *$)|(^N *\+ I *$)"") )"),FALSE)</f>
        <v>0</v>
      </c>
      <c r="L55" s="37" t="b">
        <f>IFERROR(__xludf.DUMMYFUNCTION("if(isblank(A55),,REGEXMATCH(B55,""^D *\+ D *$""))"),FALSE)</f>
        <v>0</v>
      </c>
      <c r="M55" s="37" t="b">
        <f>IFERROR(__xludf.DUMMYFUNCTION("if(isblank(A55),,REGEXMATCH(B55,""(^U *\+ D *$)|(^D *\+ U *$)""))"),FALSE)</f>
        <v>0</v>
      </c>
      <c r="N55" s="37" t="b">
        <f>IFERROR(__xludf.DUMMYFUNCTION("if(isblank(A55),,REGEXMATCH(B55,""(^N *\+ D *$)|(^D *\+ N *$)""))"),FALSE)</f>
        <v>0</v>
      </c>
      <c r="O55" s="37" t="b">
        <f>IFERROR(__xludf.DUMMYFUNCTION("if(isblank(A55),,REGEXMATCH(B55,""^U *\+ U *$""))"),FALSE)</f>
        <v>0</v>
      </c>
      <c r="P55" s="37" t="b">
        <f>IFERROR(__xludf.DUMMYFUNCTION("if(isblank(A55),,REGEXMATCH(B55,""(^U *\+ N *$)|(^N *\+ U *$)""))"),FALSE)</f>
        <v>0</v>
      </c>
      <c r="Q55" s="37" t="b">
        <f>IFERROR(__xludf.DUMMYFUNCTION("if(isblank(A55),,REGEXMATCH(B55,""^((I ?\+ ?(D ?I|I ?D))|((D ?I|I ?D) ?\+ ?I)) *$""))"),FALSE)</f>
        <v>0</v>
      </c>
      <c r="R55" s="37" t="b">
        <f>IFERROR(__xludf.DUMMYFUNCTION("if(isblank(A55),,REGEXMATCH(B55,""^((D ?\+ ?(D ?I|I ?D))|((D ?I|I ?D) ?\+ ?D)) *$""))"),FALSE)</f>
        <v>0</v>
      </c>
      <c r="S55" s="37" t="b">
        <f>IFERROR(__xludf.DUMMYFUNCTION("if(isblank(A55),,REGEXMATCH(B55,""^((U ?\+ ?(D ?I|I ?D))|((D ?I|I ?D) ?\+ ?U)) *$""))"),FALSE)</f>
        <v>0</v>
      </c>
      <c r="T55" s="37" t="b">
        <f>IFERROR(__xludf.DUMMYFUNCTION("if(isblank(A55),,REGEXMATCH(B55,""^((N ?\+ ?(D ?I|I ?D))|((D ?I|I ?D) ?\+ ?N)) *$""))"),FALSE)</f>
        <v>0</v>
      </c>
      <c r="U55" s="37" t="b">
        <f>IFERROR(__xludf.DUMMYFUNCTION("if(isblank(A55),,REGEXMATCH(B55,""^((I ?\+ ?(U ?I|I ?U))|((I ?U|U ?I) ?\+ ?I)) *$""))"),FALSE)</f>
        <v>0</v>
      </c>
      <c r="V55" s="37" t="b">
        <f>IFERROR(__xludf.DUMMYFUNCTION("if(isblank(A55),,REGEXMATCH(B55,""^((D ?\+ ?(U ?I|I ?U))|((I ?U|U ?I) ?\+ ?D)) *$""))"),FALSE)</f>
        <v>0</v>
      </c>
      <c r="W55" s="37" t="b">
        <f>IFERROR(__xludf.DUMMYFUNCTION("if(isblank(A55),,REGEXMATCH(B55,""^((U ?\+ ?(U ?I|I ?U))|((I ?U|U ?I) ?\+ ?U)) *$""))"),FALSE)</f>
        <v>0</v>
      </c>
      <c r="X55" s="37" t="b">
        <f>IFERROR(__xludf.DUMMYFUNCTION("if(isblank(A55),,REGEXMATCH(B55,""^((N ?\+ ?(U ?I|I ?U))|((I ?U|U ?I) ?\+ ?N)) *$""))"),FALSE)</f>
        <v>0</v>
      </c>
      <c r="Y55" s="37" t="b">
        <f>IFERROR(__xludf.DUMMYFUNCTION("if(isblank(A55),,REGEXMATCH(B55,""^((I ?\+ ?(U ?D|D ?U))|((D ?U|U ?D) ?\+ ?I)) *$""))"),FALSE)</f>
        <v>0</v>
      </c>
      <c r="Z55" s="37" t="b">
        <f>IFERROR(__xludf.DUMMYFUNCTION("if(isblank(A55),,REGEXMATCH(B55,""^((D ?\+ ?(U ?D|D ?U))|((D ?U|U ?D) ?\+ ?D)) *$""))"),FALSE)</f>
        <v>0</v>
      </c>
      <c r="AA55" s="37" t="b">
        <f>IFERROR(__xludf.DUMMYFUNCTION("if(isblank(A55),,REGEXMATCH(B55,""^((U ?\+ ?(U ?D|D ?U))|((D ?U|U ?D) ?\+ ?U)) *$""))"),FALSE)</f>
        <v>0</v>
      </c>
      <c r="AB55" s="37" t="b">
        <f>IFERROR(__xludf.DUMMYFUNCTION("if(isblank(A55),,REGEXMATCH(B55,""^((D ?I|I ?D) ?\+ ?(D ?I|I ?D)) *$""))"),FALSE)</f>
        <v>0</v>
      </c>
      <c r="AC55" s="37" t="b">
        <f>IFERROR(__xludf.DUMMYFUNCTION("if(isblank(A55),,REGEXMATCH(B55,""^((D ?I|I ?D) ?\+ ?(U ?I|I ?U))|((U ?I|I ?U) ?\+ ?(D ?I|I ?D)) *$""))"),FALSE)</f>
        <v>0</v>
      </c>
      <c r="AD55" s="37" t="b">
        <f>IFERROR(__xludf.DUMMYFUNCTION("if(isblank(A55),,REGEXMATCH(B55,""^I *vs\. I *$""))"),FALSE)</f>
        <v>0</v>
      </c>
      <c r="AE55" s="37" t="b">
        <f>IFERROR(__xludf.DUMMYFUNCTION("if(isblank(A55),,REGEXMATCH(B55,""(^I *vs\. D *$)|(^D *vs\. I *$)""))"),FALSE)</f>
        <v>0</v>
      </c>
      <c r="AF55" s="37" t="b">
        <f>IFERROR(__xludf.DUMMYFUNCTION("if(isblank(A55),,REGEXMATCH(B55,""(^I *vs\. U *$)|(^U *vs\. I *$)""))"),FALSE)</f>
        <v>0</v>
      </c>
      <c r="AG55" s="37" t="b">
        <f>IFERROR(__xludf.DUMMYFUNCTION("if(isblank(A55),,REGEXMATCH(B55,""^D *vs\. D *$""))"),FALSE)</f>
        <v>0</v>
      </c>
      <c r="AH55" s="37" t="b">
        <f>IFERROR(__xludf.DUMMYFUNCTION("if(isblank(A55),,REGEXMATCH(B55,""(^U *vs\. D *$)|(^D *vs\. U *$)""))"),FALSE)</f>
        <v>0</v>
      </c>
      <c r="AI55" s="37" t="b">
        <f>IFERROR(__xludf.DUMMYFUNCTION("if(isblank(A55),,REGEXMATCH(B55,""^U *vs\. U *$""))"),TRUE)</f>
        <v>1</v>
      </c>
      <c r="AJ55" s="37" t="b">
        <f>IFERROR(__xludf.DUMMYFUNCTION("if(isblank(A55),,REGEXMATCH(B55,""^((I ?vs\. ?(D ?I|I ?D))|((D ?I|I ?D) ?vs\. ?I)) *$""))"),FALSE)</f>
        <v>0</v>
      </c>
      <c r="AK55" s="37" t="b">
        <f>IFERROR(__xludf.DUMMYFUNCTION("if(isblank(A55),,REGEXMATCH(B55,""^((D ?vs\. ?(D ?I|I ?D))|((D ?I|I ?D) ?vs\. ?D)) *$""))"),FALSE)</f>
        <v>0</v>
      </c>
      <c r="AL55" s="37" t="b">
        <f>IFERROR(__xludf.DUMMYFUNCTION("if(isblank(A55),,REGEXMATCH(B55,""^((U ?vs\. ?(D ?I|I ?D))|((D ?I|I ?D) ?vs\. ?U)) *$""))"),FALSE)</f>
        <v>0</v>
      </c>
      <c r="AM55" s="37" t="b">
        <f>IFERROR(__xludf.DUMMYFUNCTION("if(isblank(A55),,REGEXMATCH(B55,""^((I ?vs\. ?(U ?I|I ?U))|((U ?I|I ?U) ?vs\. ?I)) *$""))"),FALSE)</f>
        <v>0</v>
      </c>
      <c r="AN55" s="37" t="b">
        <f>IFERROR(__xludf.DUMMYFUNCTION("if(isblank(A55),,REGEXMATCH(B55,""^((D ?vs\. ?(U ?I|I ?U))|((U ?I|I ?U) ?vs\. ?D)) *$""))"),FALSE)</f>
        <v>0</v>
      </c>
      <c r="AO55" s="37" t="b">
        <f>IFERROR(__xludf.DUMMYFUNCTION("if(isblank(A55),,REGEXMATCH(B55,""^((U ?vs\. ?(U ?I|I ?U))|((U ?I|I ?U) ?vs\. ?U)) *$""))"),FALSE)</f>
        <v>0</v>
      </c>
      <c r="AP55" s="37" t="b">
        <f>IFERROR(__xludf.DUMMYFUNCTION("if(isblank(A55),,REGEXMATCH(B55,""^((I ?vs\. ?(U ?D|D ?U))|((D ?U|U ?D) ?vs\. ?I)) *$""))"),FALSE)</f>
        <v>0</v>
      </c>
      <c r="AQ55" s="37" t="b">
        <f>IFERROR(__xludf.DUMMYFUNCTION("if(isblank(A55),,REGEXMATCH(B55,""^((D ?vs\. ?(U ?D|D ?U))|((D ?U|U ?D) ?vs\. ?D)) *$""))"),FALSE)</f>
        <v>0</v>
      </c>
      <c r="AR55" s="37" t="b">
        <f>IFERROR(__xludf.DUMMYFUNCTION("if(isblank(A55),,REGEXMATCH(B55,""^((U ?vs\. ?(U ?D|D ?U))|((D ?U|U ?D) ?vs\. ?U)) *$""))"),FALSE)</f>
        <v>0</v>
      </c>
      <c r="AS55" s="37" t="b">
        <f>IFERROR(__xludf.DUMMYFUNCTION("if(isblank(A55),,REGEXMATCH(B55,""^((D ?I|I ?D) ?vs\. ?(D ?I|I ?D)) *$""))"),FALSE)</f>
        <v>0</v>
      </c>
      <c r="AT55" s="37" t="b">
        <f>IFERROR(__xludf.DUMMYFUNCTION("if(isblank(A55),,REGEXMATCH(B55,""^((D ?I|I ?D) ?vs\. ?(U ?I|I ?U))|((U ?I|I ?U) ?vs\. ?(D ?I|I ?D)) *$""))"),FALSE)</f>
        <v>0</v>
      </c>
      <c r="AU55" s="37" t="b">
        <f>IFERROR(__xludf.DUMMYFUNCTION("if(isblank(A55),,REGEXMATCH(B55,""^((D ?I|I ?D) ?vs\. ?(U ?D|D ?U))|((U ?D|D ?U) ?vs\. ?(D ?I|I ?D)) *$""))"),FALSE)</f>
        <v>0</v>
      </c>
      <c r="AV55" s="37" t="b">
        <f>IFERROR(__xludf.DUMMYFUNCTION("if(isblank(A55),,REGEXMATCH(B55,""^((U ?I|I ?U) ?vs\. ?(U ?I|I ?U)) *$""))"),FALSE)</f>
        <v>0</v>
      </c>
    </row>
    <row r="56" ht="26.25" customHeight="1">
      <c r="A56" s="79" t="str">
        <f>Paper_Textual_Conflict!M56</f>
        <v>I + U (Java code)</v>
      </c>
      <c r="B56" s="37" t="str">
        <f>IFERROR(__xludf.DUMMYFUNCTION("if(isblank(A56),,regexextract(REGEXEXTRACT(A56,""^.*""),""^[^(]*""))"),"I + U ")</f>
        <v>I + U </v>
      </c>
      <c r="C56" s="37" t="b">
        <f>IFERROR(__xludf.DUMMYFUNCTION("if(isblank(A56),,REGEXMATCH(B56,"".*\+.*"") )"),TRUE)</f>
        <v>1</v>
      </c>
      <c r="D56" s="37" t="b">
        <f>IFERROR(__xludf.DUMMYFUNCTION("if(isblank(A56),,REGEXMATCH(B56,"".*vs.*"") )"),FALSE)</f>
        <v>0</v>
      </c>
      <c r="E56" s="37" t="b">
        <f>Paper_Textual_Conflict!H56</f>
        <v>0</v>
      </c>
      <c r="F56" s="37" t="str">
        <f>Paper_Textual_Conflict!Q56</f>
        <v>Java</v>
      </c>
      <c r="G56" s="33">
        <v>56.0</v>
      </c>
      <c r="H56" s="37" t="b">
        <f>IFERROR(__xludf.DUMMYFUNCTION("if(isblank(A56),,REGEXMATCH(B56,""^I *\+ I *$""))"),FALSE)</f>
        <v>0</v>
      </c>
      <c r="I56" s="37" t="b">
        <f>IFERROR(__xludf.DUMMYFUNCTION("if(isblank(A56),,REGEXMATCH(B56,""(^I *\+ D *$)|(^D *\+ I *$)""))"),FALSE)</f>
        <v>0</v>
      </c>
      <c r="J56" s="37" t="b">
        <f>IFERROR(__xludf.DUMMYFUNCTION("if(isblank(A56),,REGEXMATCH(B56,""(^I *\+ U *$)|(^U *\+ I *$)""))"),TRUE)</f>
        <v>1</v>
      </c>
      <c r="K56" s="37" t="b">
        <f>IFERROR(__xludf.DUMMYFUNCTION("if(isblank(A56),,REGEXMATCH(B56,""(^I *\+ N *$)|(^N *\+ I *$)"") )"),FALSE)</f>
        <v>0</v>
      </c>
      <c r="L56" s="37" t="b">
        <f>IFERROR(__xludf.DUMMYFUNCTION("if(isblank(A56),,REGEXMATCH(B56,""^D *\+ D *$""))"),FALSE)</f>
        <v>0</v>
      </c>
      <c r="M56" s="37" t="b">
        <f>IFERROR(__xludf.DUMMYFUNCTION("if(isblank(A56),,REGEXMATCH(B56,""(^U *\+ D *$)|(^D *\+ U *$)""))"),FALSE)</f>
        <v>0</v>
      </c>
      <c r="N56" s="37" t="b">
        <f>IFERROR(__xludf.DUMMYFUNCTION("if(isblank(A56),,REGEXMATCH(B56,""(^N *\+ D *$)|(^D *\+ N *$)""))"),FALSE)</f>
        <v>0</v>
      </c>
      <c r="O56" s="37" t="b">
        <f>IFERROR(__xludf.DUMMYFUNCTION("if(isblank(A56),,REGEXMATCH(B56,""^U *\+ U *$""))"),FALSE)</f>
        <v>0</v>
      </c>
      <c r="P56" s="37" t="b">
        <f>IFERROR(__xludf.DUMMYFUNCTION("if(isblank(A56),,REGEXMATCH(B56,""(^U *\+ N *$)|(^N *\+ U *$)""))"),FALSE)</f>
        <v>0</v>
      </c>
      <c r="Q56" s="37" t="b">
        <f>IFERROR(__xludf.DUMMYFUNCTION("if(isblank(A56),,REGEXMATCH(B56,""^((I ?\+ ?(D ?I|I ?D))|((D ?I|I ?D) ?\+ ?I)) *$""))"),FALSE)</f>
        <v>0</v>
      </c>
      <c r="R56" s="37" t="b">
        <f>IFERROR(__xludf.DUMMYFUNCTION("if(isblank(A56),,REGEXMATCH(B56,""^((D ?\+ ?(D ?I|I ?D))|((D ?I|I ?D) ?\+ ?D)) *$""))"),FALSE)</f>
        <v>0</v>
      </c>
      <c r="S56" s="37" t="b">
        <f>IFERROR(__xludf.DUMMYFUNCTION("if(isblank(A56),,REGEXMATCH(B56,""^((U ?\+ ?(D ?I|I ?D))|((D ?I|I ?D) ?\+ ?U)) *$""))"),FALSE)</f>
        <v>0</v>
      </c>
      <c r="T56" s="37" t="b">
        <f>IFERROR(__xludf.DUMMYFUNCTION("if(isblank(A56),,REGEXMATCH(B56,""^((N ?\+ ?(D ?I|I ?D))|((D ?I|I ?D) ?\+ ?N)) *$""))"),FALSE)</f>
        <v>0</v>
      </c>
      <c r="U56" s="37" t="b">
        <f>IFERROR(__xludf.DUMMYFUNCTION("if(isblank(A56),,REGEXMATCH(B56,""^((I ?\+ ?(U ?I|I ?U))|((I ?U|U ?I) ?\+ ?I)) *$""))"),FALSE)</f>
        <v>0</v>
      </c>
      <c r="V56" s="37" t="b">
        <f>IFERROR(__xludf.DUMMYFUNCTION("if(isblank(A56),,REGEXMATCH(B56,""^((D ?\+ ?(U ?I|I ?U))|((I ?U|U ?I) ?\+ ?D)) *$""))"),FALSE)</f>
        <v>0</v>
      </c>
      <c r="W56" s="37" t="b">
        <f>IFERROR(__xludf.DUMMYFUNCTION("if(isblank(A56),,REGEXMATCH(B56,""^((U ?\+ ?(U ?I|I ?U))|((I ?U|U ?I) ?\+ ?U)) *$""))"),FALSE)</f>
        <v>0</v>
      </c>
      <c r="X56" s="37" t="b">
        <f>IFERROR(__xludf.DUMMYFUNCTION("if(isblank(A56),,REGEXMATCH(B56,""^((N ?\+ ?(U ?I|I ?U))|((I ?U|U ?I) ?\+ ?N)) *$""))"),FALSE)</f>
        <v>0</v>
      </c>
      <c r="Y56" s="37" t="b">
        <f>IFERROR(__xludf.DUMMYFUNCTION("if(isblank(A56),,REGEXMATCH(B56,""^((I ?\+ ?(U ?D|D ?U))|((D ?U|U ?D) ?\+ ?I)) *$""))"),FALSE)</f>
        <v>0</v>
      </c>
      <c r="Z56" s="37" t="b">
        <f>IFERROR(__xludf.DUMMYFUNCTION("if(isblank(A56),,REGEXMATCH(B56,""^((D ?\+ ?(U ?D|D ?U))|((D ?U|U ?D) ?\+ ?D)) *$""))"),FALSE)</f>
        <v>0</v>
      </c>
      <c r="AA56" s="37" t="b">
        <f>IFERROR(__xludf.DUMMYFUNCTION("if(isblank(A56),,REGEXMATCH(B56,""^((U ?\+ ?(U ?D|D ?U))|((D ?U|U ?D) ?\+ ?U)) *$""))"),FALSE)</f>
        <v>0</v>
      </c>
      <c r="AB56" s="37" t="b">
        <f>IFERROR(__xludf.DUMMYFUNCTION("if(isblank(A56),,REGEXMATCH(B56,""^((D ?I|I ?D) ?\+ ?(D ?I|I ?D)) *$""))"),FALSE)</f>
        <v>0</v>
      </c>
      <c r="AC56" s="37" t="b">
        <f>IFERROR(__xludf.DUMMYFUNCTION("if(isblank(A56),,REGEXMATCH(B56,""^((D ?I|I ?D) ?\+ ?(U ?I|I ?U))|((U ?I|I ?U) ?\+ ?(D ?I|I ?D)) *$""))"),FALSE)</f>
        <v>0</v>
      </c>
      <c r="AD56" s="37" t="b">
        <f>IFERROR(__xludf.DUMMYFUNCTION("if(isblank(A56),,REGEXMATCH(B56,""^I *vs\. I *$""))"),FALSE)</f>
        <v>0</v>
      </c>
      <c r="AE56" s="37" t="b">
        <f>IFERROR(__xludf.DUMMYFUNCTION("if(isblank(A56),,REGEXMATCH(B56,""(^I *vs\. D *$)|(^D *vs\. I *$)""))"),FALSE)</f>
        <v>0</v>
      </c>
      <c r="AF56" s="37" t="b">
        <f>IFERROR(__xludf.DUMMYFUNCTION("if(isblank(A56),,REGEXMATCH(B56,""(^I *vs\. U *$)|(^U *vs\. I *$)""))"),FALSE)</f>
        <v>0</v>
      </c>
      <c r="AG56" s="37" t="b">
        <f>IFERROR(__xludf.DUMMYFUNCTION("if(isblank(A56),,REGEXMATCH(B56,""^D *vs\. D *$""))"),FALSE)</f>
        <v>0</v>
      </c>
      <c r="AH56" s="37" t="b">
        <f>IFERROR(__xludf.DUMMYFUNCTION("if(isblank(A56),,REGEXMATCH(B56,""(^U *vs\. D *$)|(^D *vs\. U *$)""))"),FALSE)</f>
        <v>0</v>
      </c>
      <c r="AI56" s="37" t="b">
        <f>IFERROR(__xludf.DUMMYFUNCTION("if(isblank(A56),,REGEXMATCH(B56,""^U *vs\. U *$""))"),FALSE)</f>
        <v>0</v>
      </c>
      <c r="AJ56" s="37" t="b">
        <f>IFERROR(__xludf.DUMMYFUNCTION("if(isblank(A56),,REGEXMATCH(B56,""^((I ?vs\. ?(D ?I|I ?D))|((D ?I|I ?D) ?vs\. ?I)) *$""))"),FALSE)</f>
        <v>0</v>
      </c>
      <c r="AK56" s="37" t="b">
        <f>IFERROR(__xludf.DUMMYFUNCTION("if(isblank(A56),,REGEXMATCH(B56,""^((D ?vs\. ?(D ?I|I ?D))|((D ?I|I ?D) ?vs\. ?D)) *$""))"),FALSE)</f>
        <v>0</v>
      </c>
      <c r="AL56" s="37" t="b">
        <f>IFERROR(__xludf.DUMMYFUNCTION("if(isblank(A56),,REGEXMATCH(B56,""^((U ?vs\. ?(D ?I|I ?D))|((D ?I|I ?D) ?vs\. ?U)) *$""))"),FALSE)</f>
        <v>0</v>
      </c>
      <c r="AM56" s="37" t="b">
        <f>IFERROR(__xludf.DUMMYFUNCTION("if(isblank(A56),,REGEXMATCH(B56,""^((I ?vs\. ?(U ?I|I ?U))|((U ?I|I ?U) ?vs\. ?I)) *$""))"),FALSE)</f>
        <v>0</v>
      </c>
      <c r="AN56" s="37" t="b">
        <f>IFERROR(__xludf.DUMMYFUNCTION("if(isblank(A56),,REGEXMATCH(B56,""^((D ?vs\. ?(U ?I|I ?U))|((U ?I|I ?U) ?vs\. ?D)) *$""))"),FALSE)</f>
        <v>0</v>
      </c>
      <c r="AO56" s="37" t="b">
        <f>IFERROR(__xludf.DUMMYFUNCTION("if(isblank(A56),,REGEXMATCH(B56,""^((U ?vs\. ?(U ?I|I ?U))|((U ?I|I ?U) ?vs\. ?U)) *$""))"),FALSE)</f>
        <v>0</v>
      </c>
      <c r="AP56" s="37" t="b">
        <f>IFERROR(__xludf.DUMMYFUNCTION("if(isblank(A56),,REGEXMATCH(B56,""^((I ?vs\. ?(U ?D|D ?U))|((D ?U|U ?D) ?vs\. ?I)) *$""))"),FALSE)</f>
        <v>0</v>
      </c>
      <c r="AQ56" s="37" t="b">
        <f>IFERROR(__xludf.DUMMYFUNCTION("if(isblank(A56),,REGEXMATCH(B56,""^((D ?vs\. ?(U ?D|D ?U))|((D ?U|U ?D) ?vs\. ?D)) *$""))"),FALSE)</f>
        <v>0</v>
      </c>
      <c r="AR56" s="37" t="b">
        <f>IFERROR(__xludf.DUMMYFUNCTION("if(isblank(A56),,REGEXMATCH(B56,""^((U ?vs\. ?(U ?D|D ?U))|((D ?U|U ?D) ?vs\. ?U)) *$""))"),FALSE)</f>
        <v>0</v>
      </c>
      <c r="AS56" s="37" t="b">
        <f>IFERROR(__xludf.DUMMYFUNCTION("if(isblank(A56),,REGEXMATCH(B56,""^((D ?I|I ?D) ?vs\. ?(D ?I|I ?D)) *$""))"),FALSE)</f>
        <v>0</v>
      </c>
      <c r="AT56" s="37" t="b">
        <f>IFERROR(__xludf.DUMMYFUNCTION("if(isblank(A56),,REGEXMATCH(B56,""^((D ?I|I ?D) ?vs\. ?(U ?I|I ?U))|((U ?I|I ?U) ?vs\. ?(D ?I|I ?D)) *$""))"),FALSE)</f>
        <v>0</v>
      </c>
      <c r="AU56" s="37" t="b">
        <f>IFERROR(__xludf.DUMMYFUNCTION("if(isblank(A56),,REGEXMATCH(B56,""^((D ?I|I ?D) ?vs\. ?(U ?D|D ?U))|((U ?D|D ?U) ?vs\. ?(D ?I|I ?D)) *$""))"),FALSE)</f>
        <v>0</v>
      </c>
      <c r="AV56" s="37" t="b">
        <f>IFERROR(__xludf.DUMMYFUNCTION("if(isblank(A56),,REGEXMATCH(B56,""^((U ?I|I ?U) ?vs\. ?(U ?I|I ?U)) *$""))"),FALSE)</f>
        <v>0</v>
      </c>
    </row>
    <row r="57" ht="26.25" customHeight="1">
      <c r="A57" s="79" t="str">
        <f>Paper_Textual_Conflict!M57</f>
        <v>I + U (import)
Origin(I vs. U)</v>
      </c>
      <c r="B57" s="37" t="str">
        <f>IFERROR(__xludf.DUMMYFUNCTION("if(isblank(A57),,regexextract(REGEXEXTRACT(A57,""^.*""),""^[^(]*""))"),"I + U ")</f>
        <v>I + U </v>
      </c>
      <c r="C57" s="37" t="b">
        <f>IFERROR(__xludf.DUMMYFUNCTION("if(isblank(A57),,REGEXMATCH(B57,"".*\+.*"") )"),TRUE)</f>
        <v>1</v>
      </c>
      <c r="D57" s="37" t="b">
        <f>IFERROR(__xludf.DUMMYFUNCTION("if(isblank(A57),,REGEXMATCH(B57,"".*vs.*"") )"),FALSE)</f>
        <v>0</v>
      </c>
      <c r="E57" s="37" t="b">
        <f>Paper_Textual_Conflict!H57</f>
        <v>0</v>
      </c>
      <c r="F57" s="37" t="str">
        <f>Paper_Textual_Conflict!Q57</f>
        <v>Java</v>
      </c>
      <c r="G57" s="33">
        <v>57.0</v>
      </c>
      <c r="H57" s="37" t="b">
        <f>IFERROR(__xludf.DUMMYFUNCTION("if(isblank(A57),,REGEXMATCH(B57,""^I *\+ I *$""))"),FALSE)</f>
        <v>0</v>
      </c>
      <c r="I57" s="37" t="b">
        <f>IFERROR(__xludf.DUMMYFUNCTION("if(isblank(A57),,REGEXMATCH(B57,""(^I *\+ D *$)|(^D *\+ I *$)""))"),FALSE)</f>
        <v>0</v>
      </c>
      <c r="J57" s="37" t="b">
        <f>IFERROR(__xludf.DUMMYFUNCTION("if(isblank(A57),,REGEXMATCH(B57,""(^I *\+ U *$)|(^U *\+ I *$)""))"),TRUE)</f>
        <v>1</v>
      </c>
      <c r="K57" s="37" t="b">
        <f>IFERROR(__xludf.DUMMYFUNCTION("if(isblank(A57),,REGEXMATCH(B57,""(^I *\+ N *$)|(^N *\+ I *$)"") )"),FALSE)</f>
        <v>0</v>
      </c>
      <c r="L57" s="37" t="b">
        <f>IFERROR(__xludf.DUMMYFUNCTION("if(isblank(A57),,REGEXMATCH(B57,""^D *\+ D *$""))"),FALSE)</f>
        <v>0</v>
      </c>
      <c r="M57" s="37" t="b">
        <f>IFERROR(__xludf.DUMMYFUNCTION("if(isblank(A57),,REGEXMATCH(B57,""(^U *\+ D *$)|(^D *\+ U *$)""))"),FALSE)</f>
        <v>0</v>
      </c>
      <c r="N57" s="37" t="b">
        <f>IFERROR(__xludf.DUMMYFUNCTION("if(isblank(A57),,REGEXMATCH(B57,""(^N *\+ D *$)|(^D *\+ N *$)""))"),FALSE)</f>
        <v>0</v>
      </c>
      <c r="O57" s="37" t="b">
        <f>IFERROR(__xludf.DUMMYFUNCTION("if(isblank(A57),,REGEXMATCH(B57,""^U *\+ U *$""))"),FALSE)</f>
        <v>0</v>
      </c>
      <c r="P57" s="37" t="b">
        <f>IFERROR(__xludf.DUMMYFUNCTION("if(isblank(A57),,REGEXMATCH(B57,""(^U *\+ N *$)|(^N *\+ U *$)""))"),FALSE)</f>
        <v>0</v>
      </c>
      <c r="Q57" s="37" t="b">
        <f>IFERROR(__xludf.DUMMYFUNCTION("if(isblank(A57),,REGEXMATCH(B57,""^((I ?\+ ?(D ?I|I ?D))|((D ?I|I ?D) ?\+ ?I)) *$""))"),FALSE)</f>
        <v>0</v>
      </c>
      <c r="R57" s="37" t="b">
        <f>IFERROR(__xludf.DUMMYFUNCTION("if(isblank(A57),,REGEXMATCH(B57,""^((D ?\+ ?(D ?I|I ?D))|((D ?I|I ?D) ?\+ ?D)) *$""))"),FALSE)</f>
        <v>0</v>
      </c>
      <c r="S57" s="37" t="b">
        <f>IFERROR(__xludf.DUMMYFUNCTION("if(isblank(A57),,REGEXMATCH(B57,""^((U ?\+ ?(D ?I|I ?D))|((D ?I|I ?D) ?\+ ?U)) *$""))"),FALSE)</f>
        <v>0</v>
      </c>
      <c r="T57" s="37" t="b">
        <f>IFERROR(__xludf.DUMMYFUNCTION("if(isblank(A57),,REGEXMATCH(B57,""^((N ?\+ ?(D ?I|I ?D))|((D ?I|I ?D) ?\+ ?N)) *$""))"),FALSE)</f>
        <v>0</v>
      </c>
      <c r="U57" s="37" t="b">
        <f>IFERROR(__xludf.DUMMYFUNCTION("if(isblank(A57),,REGEXMATCH(B57,""^((I ?\+ ?(U ?I|I ?U))|((I ?U|U ?I) ?\+ ?I)) *$""))"),FALSE)</f>
        <v>0</v>
      </c>
      <c r="V57" s="37" t="b">
        <f>IFERROR(__xludf.DUMMYFUNCTION("if(isblank(A57),,REGEXMATCH(B57,""^((D ?\+ ?(U ?I|I ?U))|((I ?U|U ?I) ?\+ ?D)) *$""))"),FALSE)</f>
        <v>0</v>
      </c>
      <c r="W57" s="37" t="b">
        <f>IFERROR(__xludf.DUMMYFUNCTION("if(isblank(A57),,REGEXMATCH(B57,""^((U ?\+ ?(U ?I|I ?U))|((I ?U|U ?I) ?\+ ?U)) *$""))"),FALSE)</f>
        <v>0</v>
      </c>
      <c r="X57" s="37" t="b">
        <f>IFERROR(__xludf.DUMMYFUNCTION("if(isblank(A57),,REGEXMATCH(B57,""^((N ?\+ ?(U ?I|I ?U))|((I ?U|U ?I) ?\+ ?N)) *$""))"),FALSE)</f>
        <v>0</v>
      </c>
      <c r="Y57" s="37" t="b">
        <f>IFERROR(__xludf.DUMMYFUNCTION("if(isblank(A57),,REGEXMATCH(B57,""^((I ?\+ ?(U ?D|D ?U))|((D ?U|U ?D) ?\+ ?I)) *$""))"),FALSE)</f>
        <v>0</v>
      </c>
      <c r="Z57" s="37" t="b">
        <f>IFERROR(__xludf.DUMMYFUNCTION("if(isblank(A57),,REGEXMATCH(B57,""^((D ?\+ ?(U ?D|D ?U))|((D ?U|U ?D) ?\+ ?D)) *$""))"),FALSE)</f>
        <v>0</v>
      </c>
      <c r="AA57" s="37" t="b">
        <f>IFERROR(__xludf.DUMMYFUNCTION("if(isblank(A57),,REGEXMATCH(B57,""^((U ?\+ ?(U ?D|D ?U))|((D ?U|U ?D) ?\+ ?U)) *$""))"),FALSE)</f>
        <v>0</v>
      </c>
      <c r="AB57" s="37" t="b">
        <f>IFERROR(__xludf.DUMMYFUNCTION("if(isblank(A57),,REGEXMATCH(B57,""^((D ?I|I ?D) ?\+ ?(D ?I|I ?D)) *$""))"),FALSE)</f>
        <v>0</v>
      </c>
      <c r="AC57" s="37" t="b">
        <f>IFERROR(__xludf.DUMMYFUNCTION("if(isblank(A57),,REGEXMATCH(B57,""^((D ?I|I ?D) ?\+ ?(U ?I|I ?U))|((U ?I|I ?U) ?\+ ?(D ?I|I ?D)) *$""))"),FALSE)</f>
        <v>0</v>
      </c>
      <c r="AD57" s="37" t="b">
        <f>IFERROR(__xludf.DUMMYFUNCTION("if(isblank(A57),,REGEXMATCH(B57,""^I *vs\. I *$""))"),FALSE)</f>
        <v>0</v>
      </c>
      <c r="AE57" s="37" t="b">
        <f>IFERROR(__xludf.DUMMYFUNCTION("if(isblank(A57),,REGEXMATCH(B57,""(^I *vs\. D *$)|(^D *vs\. I *$)""))"),FALSE)</f>
        <v>0</v>
      </c>
      <c r="AF57" s="37" t="b">
        <f>IFERROR(__xludf.DUMMYFUNCTION("if(isblank(A57),,REGEXMATCH(B57,""(^I *vs\. U *$)|(^U *vs\. I *$)""))"),FALSE)</f>
        <v>0</v>
      </c>
      <c r="AG57" s="37" t="b">
        <f>IFERROR(__xludf.DUMMYFUNCTION("if(isblank(A57),,REGEXMATCH(B57,""^D *vs\. D *$""))"),FALSE)</f>
        <v>0</v>
      </c>
      <c r="AH57" s="37" t="b">
        <f>IFERROR(__xludf.DUMMYFUNCTION("if(isblank(A57),,REGEXMATCH(B57,""(^U *vs\. D *$)|(^D *vs\. U *$)""))"),FALSE)</f>
        <v>0</v>
      </c>
      <c r="AI57" s="37" t="b">
        <f>IFERROR(__xludf.DUMMYFUNCTION("if(isblank(A57),,REGEXMATCH(B57,""^U *vs\. U *$""))"),FALSE)</f>
        <v>0</v>
      </c>
      <c r="AJ57" s="37" t="b">
        <f>IFERROR(__xludf.DUMMYFUNCTION("if(isblank(A57),,REGEXMATCH(B57,""^((I ?vs\. ?(D ?I|I ?D))|((D ?I|I ?D) ?vs\. ?I)) *$""))"),FALSE)</f>
        <v>0</v>
      </c>
      <c r="AK57" s="37" t="b">
        <f>IFERROR(__xludf.DUMMYFUNCTION("if(isblank(A57),,REGEXMATCH(B57,""^((D ?vs\. ?(D ?I|I ?D))|((D ?I|I ?D) ?vs\. ?D)) *$""))"),FALSE)</f>
        <v>0</v>
      </c>
      <c r="AL57" s="37" t="b">
        <f>IFERROR(__xludf.DUMMYFUNCTION("if(isblank(A57),,REGEXMATCH(B57,""^((U ?vs\. ?(D ?I|I ?D))|((D ?I|I ?D) ?vs\. ?U)) *$""))"),FALSE)</f>
        <v>0</v>
      </c>
      <c r="AM57" s="37" t="b">
        <f>IFERROR(__xludf.DUMMYFUNCTION("if(isblank(A57),,REGEXMATCH(B57,""^((I ?vs\. ?(U ?I|I ?U))|((U ?I|I ?U) ?vs\. ?I)) *$""))"),FALSE)</f>
        <v>0</v>
      </c>
      <c r="AN57" s="37" t="b">
        <f>IFERROR(__xludf.DUMMYFUNCTION("if(isblank(A57),,REGEXMATCH(B57,""^((D ?vs\. ?(U ?I|I ?U))|((U ?I|I ?U) ?vs\. ?D)) *$""))"),FALSE)</f>
        <v>0</v>
      </c>
      <c r="AO57" s="37" t="b">
        <f>IFERROR(__xludf.DUMMYFUNCTION("if(isblank(A57),,REGEXMATCH(B57,""^((U ?vs\. ?(U ?I|I ?U))|((U ?I|I ?U) ?vs\. ?U)) *$""))"),FALSE)</f>
        <v>0</v>
      </c>
      <c r="AP57" s="37" t="b">
        <f>IFERROR(__xludf.DUMMYFUNCTION("if(isblank(A57),,REGEXMATCH(B57,""^((I ?vs\. ?(U ?D|D ?U))|((D ?U|U ?D) ?vs\. ?I)) *$""))"),FALSE)</f>
        <v>0</v>
      </c>
      <c r="AQ57" s="37" t="b">
        <f>IFERROR(__xludf.DUMMYFUNCTION("if(isblank(A57),,REGEXMATCH(B57,""^((D ?vs\. ?(U ?D|D ?U))|((D ?U|U ?D) ?vs\. ?D)) *$""))"),FALSE)</f>
        <v>0</v>
      </c>
      <c r="AR57" s="37" t="b">
        <f>IFERROR(__xludf.DUMMYFUNCTION("if(isblank(A57),,REGEXMATCH(B57,""^((U ?vs\. ?(U ?D|D ?U))|((D ?U|U ?D) ?vs\. ?U)) *$""))"),FALSE)</f>
        <v>0</v>
      </c>
      <c r="AS57" s="37" t="b">
        <f>IFERROR(__xludf.DUMMYFUNCTION("if(isblank(A57),,REGEXMATCH(B57,""^((D ?I|I ?D) ?vs\. ?(D ?I|I ?D)) *$""))"),FALSE)</f>
        <v>0</v>
      </c>
      <c r="AT57" s="37" t="b">
        <f>IFERROR(__xludf.DUMMYFUNCTION("if(isblank(A57),,REGEXMATCH(B57,""^((D ?I|I ?D) ?vs\. ?(U ?I|I ?U))|((U ?I|I ?U) ?vs\. ?(D ?I|I ?D)) *$""))"),FALSE)</f>
        <v>0</v>
      </c>
      <c r="AU57" s="37" t="b">
        <f>IFERROR(__xludf.DUMMYFUNCTION("if(isblank(A57),,REGEXMATCH(B57,""^((D ?I|I ?D) ?vs\. ?(U ?D|D ?U))|((U ?D|D ?U) ?vs\. ?(D ?I|I ?D)) *$""))"),FALSE)</f>
        <v>0</v>
      </c>
      <c r="AV57" s="37" t="b">
        <f>IFERROR(__xludf.DUMMYFUNCTION("if(isblank(A57),,REGEXMATCH(B57,""^((U ?I|I ?U) ?vs\. ?(U ?I|I ?U)) *$""))"),FALSE)</f>
        <v>0</v>
      </c>
    </row>
    <row r="58" ht="26.25" customHeight="1">
      <c r="A58" s="79" t="str">
        <f>Paper_Textual_Conflict!M58</f>
        <v>D vs. U (file)</v>
      </c>
      <c r="B58" s="37" t="str">
        <f>IFERROR(__xludf.DUMMYFUNCTION("if(isblank(A58),,regexextract(REGEXEXTRACT(A58,""^.*""),""^[^(]*""))"),"D vs. U ")</f>
        <v>D vs. U </v>
      </c>
      <c r="C58" s="37" t="b">
        <f>IFERROR(__xludf.DUMMYFUNCTION("if(isblank(A58),,REGEXMATCH(B58,"".*\+.*"") )"),FALSE)</f>
        <v>0</v>
      </c>
      <c r="D58" s="37" t="b">
        <f>IFERROR(__xludf.DUMMYFUNCTION("if(isblank(A58),,REGEXMATCH(B58,"".*vs.*"") )"),TRUE)</f>
        <v>1</v>
      </c>
      <c r="E58" s="37" t="b">
        <f>Paper_Textual_Conflict!H58</f>
        <v>1</v>
      </c>
      <c r="F58" s="37" t="str">
        <f>Paper_Textual_Conflict!Q58</f>
        <v>Java</v>
      </c>
      <c r="G58" s="33">
        <v>58.0</v>
      </c>
      <c r="H58" s="37" t="b">
        <f>IFERROR(__xludf.DUMMYFUNCTION("if(isblank(A58),,REGEXMATCH(B58,""^I *\+ I *$""))"),FALSE)</f>
        <v>0</v>
      </c>
      <c r="I58" s="37" t="b">
        <f>IFERROR(__xludf.DUMMYFUNCTION("if(isblank(A58),,REGEXMATCH(B58,""(^I *\+ D *$)|(^D *\+ I *$)""))"),FALSE)</f>
        <v>0</v>
      </c>
      <c r="J58" s="37" t="b">
        <f>IFERROR(__xludf.DUMMYFUNCTION("if(isblank(A58),,REGEXMATCH(B58,""(^I *\+ U *$)|(^U *\+ I *$)""))"),FALSE)</f>
        <v>0</v>
      </c>
      <c r="K58" s="37" t="b">
        <f>IFERROR(__xludf.DUMMYFUNCTION("if(isblank(A58),,REGEXMATCH(B58,""(^I *\+ N *$)|(^N *\+ I *$)"") )"),FALSE)</f>
        <v>0</v>
      </c>
      <c r="L58" s="37" t="b">
        <f>IFERROR(__xludf.DUMMYFUNCTION("if(isblank(A58),,REGEXMATCH(B58,""^D *\+ D *$""))"),FALSE)</f>
        <v>0</v>
      </c>
      <c r="M58" s="37" t="b">
        <f>IFERROR(__xludf.DUMMYFUNCTION("if(isblank(A58),,REGEXMATCH(B58,""(^U *\+ D *$)|(^D *\+ U *$)""))"),FALSE)</f>
        <v>0</v>
      </c>
      <c r="N58" s="37" t="b">
        <f>IFERROR(__xludf.DUMMYFUNCTION("if(isblank(A58),,REGEXMATCH(B58,""(^N *\+ D *$)|(^D *\+ N *$)""))"),FALSE)</f>
        <v>0</v>
      </c>
      <c r="O58" s="37" t="b">
        <f>IFERROR(__xludf.DUMMYFUNCTION("if(isblank(A58),,REGEXMATCH(B58,""^U *\+ U *$""))"),FALSE)</f>
        <v>0</v>
      </c>
      <c r="P58" s="37" t="b">
        <f>IFERROR(__xludf.DUMMYFUNCTION("if(isblank(A58),,REGEXMATCH(B58,""(^U *\+ N *$)|(^N *\+ U *$)""))"),FALSE)</f>
        <v>0</v>
      </c>
      <c r="Q58" s="37" t="b">
        <f>IFERROR(__xludf.DUMMYFUNCTION("if(isblank(A58),,REGEXMATCH(B58,""^((I ?\+ ?(D ?I|I ?D))|((D ?I|I ?D) ?\+ ?I)) *$""))"),FALSE)</f>
        <v>0</v>
      </c>
      <c r="R58" s="37" t="b">
        <f>IFERROR(__xludf.DUMMYFUNCTION("if(isblank(A58),,REGEXMATCH(B58,""^((D ?\+ ?(D ?I|I ?D))|((D ?I|I ?D) ?\+ ?D)) *$""))"),FALSE)</f>
        <v>0</v>
      </c>
      <c r="S58" s="37" t="b">
        <f>IFERROR(__xludf.DUMMYFUNCTION("if(isblank(A58),,REGEXMATCH(B58,""^((U ?\+ ?(D ?I|I ?D))|((D ?I|I ?D) ?\+ ?U)) *$""))"),FALSE)</f>
        <v>0</v>
      </c>
      <c r="T58" s="37" t="b">
        <f>IFERROR(__xludf.DUMMYFUNCTION("if(isblank(A58),,REGEXMATCH(B58,""^((N ?\+ ?(D ?I|I ?D))|((D ?I|I ?D) ?\+ ?N)) *$""))"),FALSE)</f>
        <v>0</v>
      </c>
      <c r="U58" s="37" t="b">
        <f>IFERROR(__xludf.DUMMYFUNCTION("if(isblank(A58),,REGEXMATCH(B58,""^((I ?\+ ?(U ?I|I ?U))|((I ?U|U ?I) ?\+ ?I)) *$""))"),FALSE)</f>
        <v>0</v>
      </c>
      <c r="V58" s="37" t="b">
        <f>IFERROR(__xludf.DUMMYFUNCTION("if(isblank(A58),,REGEXMATCH(B58,""^((D ?\+ ?(U ?I|I ?U))|((I ?U|U ?I) ?\+ ?D)) *$""))"),FALSE)</f>
        <v>0</v>
      </c>
      <c r="W58" s="37" t="b">
        <f>IFERROR(__xludf.DUMMYFUNCTION("if(isblank(A58),,REGEXMATCH(B58,""^((U ?\+ ?(U ?I|I ?U))|((I ?U|U ?I) ?\+ ?U)) *$""))"),FALSE)</f>
        <v>0</v>
      </c>
      <c r="X58" s="37" t="b">
        <f>IFERROR(__xludf.DUMMYFUNCTION("if(isblank(A58),,REGEXMATCH(B58,""^((N ?\+ ?(U ?I|I ?U))|((I ?U|U ?I) ?\+ ?N)) *$""))"),FALSE)</f>
        <v>0</v>
      </c>
      <c r="Y58" s="37" t="b">
        <f>IFERROR(__xludf.DUMMYFUNCTION("if(isblank(A58),,REGEXMATCH(B58,""^((I ?\+ ?(U ?D|D ?U))|((D ?U|U ?D) ?\+ ?I)) *$""))"),FALSE)</f>
        <v>0</v>
      </c>
      <c r="Z58" s="37" t="b">
        <f>IFERROR(__xludf.DUMMYFUNCTION("if(isblank(A58),,REGEXMATCH(B58,""^((D ?\+ ?(U ?D|D ?U))|((D ?U|U ?D) ?\+ ?D)) *$""))"),FALSE)</f>
        <v>0</v>
      </c>
      <c r="AA58" s="37" t="b">
        <f>IFERROR(__xludf.DUMMYFUNCTION("if(isblank(A58),,REGEXMATCH(B58,""^((U ?\+ ?(U ?D|D ?U))|((D ?U|U ?D) ?\+ ?U)) *$""))"),FALSE)</f>
        <v>0</v>
      </c>
      <c r="AB58" s="37" t="b">
        <f>IFERROR(__xludf.DUMMYFUNCTION("if(isblank(A58),,REGEXMATCH(B58,""^((D ?I|I ?D) ?\+ ?(D ?I|I ?D)) *$""))"),FALSE)</f>
        <v>0</v>
      </c>
      <c r="AC58" s="37" t="b">
        <f>IFERROR(__xludf.DUMMYFUNCTION("if(isblank(A58),,REGEXMATCH(B58,""^((D ?I|I ?D) ?\+ ?(U ?I|I ?U))|((U ?I|I ?U) ?\+ ?(D ?I|I ?D)) *$""))"),FALSE)</f>
        <v>0</v>
      </c>
      <c r="AD58" s="37" t="b">
        <f>IFERROR(__xludf.DUMMYFUNCTION("if(isblank(A58),,REGEXMATCH(B58,""^I *vs\. I *$""))"),FALSE)</f>
        <v>0</v>
      </c>
      <c r="AE58" s="37" t="b">
        <f>IFERROR(__xludf.DUMMYFUNCTION("if(isblank(A58),,REGEXMATCH(B58,""(^I *vs\. D *$)|(^D *vs\. I *$)""))"),FALSE)</f>
        <v>0</v>
      </c>
      <c r="AF58" s="37" t="b">
        <f>IFERROR(__xludf.DUMMYFUNCTION("if(isblank(A58),,REGEXMATCH(B58,""(^I *vs\. U *$)|(^U *vs\. I *$)""))"),FALSE)</f>
        <v>0</v>
      </c>
      <c r="AG58" s="37" t="b">
        <f>IFERROR(__xludf.DUMMYFUNCTION("if(isblank(A58),,REGEXMATCH(B58,""^D *vs\. D *$""))"),FALSE)</f>
        <v>0</v>
      </c>
      <c r="AH58" s="37" t="b">
        <f>IFERROR(__xludf.DUMMYFUNCTION("if(isblank(A58),,REGEXMATCH(B58,""(^U *vs\. D *$)|(^D *vs\. U *$)""))"),TRUE)</f>
        <v>1</v>
      </c>
      <c r="AI58" s="37" t="b">
        <f>IFERROR(__xludf.DUMMYFUNCTION("if(isblank(A58),,REGEXMATCH(B58,""^U *vs\. U *$""))"),FALSE)</f>
        <v>0</v>
      </c>
      <c r="AJ58" s="37" t="b">
        <f>IFERROR(__xludf.DUMMYFUNCTION("if(isblank(A58),,REGEXMATCH(B58,""^((I ?vs\. ?(D ?I|I ?D))|((D ?I|I ?D) ?vs\. ?I)) *$""))"),FALSE)</f>
        <v>0</v>
      </c>
      <c r="AK58" s="37" t="b">
        <f>IFERROR(__xludf.DUMMYFUNCTION("if(isblank(A58),,REGEXMATCH(B58,""^((D ?vs\. ?(D ?I|I ?D))|((D ?I|I ?D) ?vs\. ?D)) *$""))"),FALSE)</f>
        <v>0</v>
      </c>
      <c r="AL58" s="37" t="b">
        <f>IFERROR(__xludf.DUMMYFUNCTION("if(isblank(A58),,REGEXMATCH(B58,""^((U ?vs\. ?(D ?I|I ?D))|((D ?I|I ?D) ?vs\. ?U)) *$""))"),FALSE)</f>
        <v>0</v>
      </c>
      <c r="AM58" s="37" t="b">
        <f>IFERROR(__xludf.DUMMYFUNCTION("if(isblank(A58),,REGEXMATCH(B58,""^((I ?vs\. ?(U ?I|I ?U))|((U ?I|I ?U) ?vs\. ?I)) *$""))"),FALSE)</f>
        <v>0</v>
      </c>
      <c r="AN58" s="37" t="b">
        <f>IFERROR(__xludf.DUMMYFUNCTION("if(isblank(A58),,REGEXMATCH(B58,""^((D ?vs\. ?(U ?I|I ?U))|((U ?I|I ?U) ?vs\. ?D)) *$""))"),FALSE)</f>
        <v>0</v>
      </c>
      <c r="AO58" s="37" t="b">
        <f>IFERROR(__xludf.DUMMYFUNCTION("if(isblank(A58),,REGEXMATCH(B58,""^((U ?vs\. ?(U ?I|I ?U))|((U ?I|I ?U) ?vs\. ?U)) *$""))"),FALSE)</f>
        <v>0</v>
      </c>
      <c r="AP58" s="37" t="b">
        <f>IFERROR(__xludf.DUMMYFUNCTION("if(isblank(A58),,REGEXMATCH(B58,""^((I ?vs\. ?(U ?D|D ?U))|((D ?U|U ?D) ?vs\. ?I)) *$""))"),FALSE)</f>
        <v>0</v>
      </c>
      <c r="AQ58" s="37" t="b">
        <f>IFERROR(__xludf.DUMMYFUNCTION("if(isblank(A58),,REGEXMATCH(B58,""^((D ?vs\. ?(U ?D|D ?U))|((D ?U|U ?D) ?vs\. ?D)) *$""))"),FALSE)</f>
        <v>0</v>
      </c>
      <c r="AR58" s="37" t="b">
        <f>IFERROR(__xludf.DUMMYFUNCTION("if(isblank(A58),,REGEXMATCH(B58,""^((U ?vs\. ?(U ?D|D ?U))|((D ?U|U ?D) ?vs\. ?U)) *$""))"),FALSE)</f>
        <v>0</v>
      </c>
      <c r="AS58" s="37" t="b">
        <f>IFERROR(__xludf.DUMMYFUNCTION("if(isblank(A58),,REGEXMATCH(B58,""^((D ?I|I ?D) ?vs\. ?(D ?I|I ?D)) *$""))"),FALSE)</f>
        <v>0</v>
      </c>
      <c r="AT58" s="37" t="b">
        <f>IFERROR(__xludf.DUMMYFUNCTION("if(isblank(A58),,REGEXMATCH(B58,""^((D ?I|I ?D) ?vs\. ?(U ?I|I ?U))|((U ?I|I ?U) ?vs\. ?(D ?I|I ?D)) *$""))"),FALSE)</f>
        <v>0</v>
      </c>
      <c r="AU58" s="37" t="b">
        <f>IFERROR(__xludf.DUMMYFUNCTION("if(isblank(A58),,REGEXMATCH(B58,""^((D ?I|I ?D) ?vs\. ?(U ?D|D ?U))|((U ?D|D ?U) ?vs\. ?(D ?I|I ?D)) *$""))"),FALSE)</f>
        <v>0</v>
      </c>
      <c r="AV58" s="37" t="b">
        <f>IFERROR(__xludf.DUMMYFUNCTION("if(isblank(A58),,REGEXMATCH(B58,""^((U ?I|I ?U) ?vs\. ?(U ?I|I ?U)) *$""))"),FALSE)</f>
        <v>0</v>
      </c>
    </row>
    <row r="59" ht="26.25" customHeight="1">
      <c r="A59" s="79" t="str">
        <f>Paper_Textual_Conflict!M59</f>
        <v>I vs. I (Java code)</v>
      </c>
      <c r="B59" s="37" t="str">
        <f>IFERROR(__xludf.DUMMYFUNCTION("if(isblank(A59),,regexextract(REGEXEXTRACT(A59,""^.*""),""^[^(]*""))"),"I vs. I ")</f>
        <v>I vs. I </v>
      </c>
      <c r="C59" s="37" t="b">
        <f>IFERROR(__xludf.DUMMYFUNCTION("if(isblank(A59),,REGEXMATCH(B59,"".*\+.*"") )"),FALSE)</f>
        <v>0</v>
      </c>
      <c r="D59" s="37" t="b">
        <f>IFERROR(__xludf.DUMMYFUNCTION("if(isblank(A59),,REGEXMATCH(B59,"".*vs.*"") )"),TRUE)</f>
        <v>1</v>
      </c>
      <c r="E59" s="37" t="b">
        <f>Paper_Textual_Conflict!H59</f>
        <v>1</v>
      </c>
      <c r="F59" s="37" t="str">
        <f>Paper_Textual_Conflict!Q59</f>
        <v>Java</v>
      </c>
      <c r="G59" s="33">
        <v>59.0</v>
      </c>
      <c r="H59" s="37" t="b">
        <f>IFERROR(__xludf.DUMMYFUNCTION("if(isblank(A59),,REGEXMATCH(B59,""^I *\+ I *$""))"),FALSE)</f>
        <v>0</v>
      </c>
      <c r="I59" s="37" t="b">
        <f>IFERROR(__xludf.DUMMYFUNCTION("if(isblank(A59),,REGEXMATCH(B59,""(^I *\+ D *$)|(^D *\+ I *$)""))"),FALSE)</f>
        <v>0</v>
      </c>
      <c r="J59" s="37" t="b">
        <f>IFERROR(__xludf.DUMMYFUNCTION("if(isblank(A59),,REGEXMATCH(B59,""(^I *\+ U *$)|(^U *\+ I *$)""))"),FALSE)</f>
        <v>0</v>
      </c>
      <c r="K59" s="37" t="b">
        <f>IFERROR(__xludf.DUMMYFUNCTION("if(isblank(A59),,REGEXMATCH(B59,""(^I *\+ N *$)|(^N *\+ I *$)"") )"),FALSE)</f>
        <v>0</v>
      </c>
      <c r="L59" s="37" t="b">
        <f>IFERROR(__xludf.DUMMYFUNCTION("if(isblank(A59),,REGEXMATCH(B59,""^D *\+ D *$""))"),FALSE)</f>
        <v>0</v>
      </c>
      <c r="M59" s="37" t="b">
        <f>IFERROR(__xludf.DUMMYFUNCTION("if(isblank(A59),,REGEXMATCH(B59,""(^U *\+ D *$)|(^D *\+ U *$)""))"),FALSE)</f>
        <v>0</v>
      </c>
      <c r="N59" s="37" t="b">
        <f>IFERROR(__xludf.DUMMYFUNCTION("if(isblank(A59),,REGEXMATCH(B59,""(^N *\+ D *$)|(^D *\+ N *$)""))"),FALSE)</f>
        <v>0</v>
      </c>
      <c r="O59" s="37" t="b">
        <f>IFERROR(__xludf.DUMMYFUNCTION("if(isblank(A59),,REGEXMATCH(B59,""^U *\+ U *$""))"),FALSE)</f>
        <v>0</v>
      </c>
      <c r="P59" s="37" t="b">
        <f>IFERROR(__xludf.DUMMYFUNCTION("if(isblank(A59),,REGEXMATCH(B59,""(^U *\+ N *$)|(^N *\+ U *$)""))"),FALSE)</f>
        <v>0</v>
      </c>
      <c r="Q59" s="37" t="b">
        <f>IFERROR(__xludf.DUMMYFUNCTION("if(isblank(A59),,REGEXMATCH(B59,""^((I ?\+ ?(D ?I|I ?D))|((D ?I|I ?D) ?\+ ?I)) *$""))"),FALSE)</f>
        <v>0</v>
      </c>
      <c r="R59" s="37" t="b">
        <f>IFERROR(__xludf.DUMMYFUNCTION("if(isblank(A59),,REGEXMATCH(B59,""^((D ?\+ ?(D ?I|I ?D))|((D ?I|I ?D) ?\+ ?D)) *$""))"),FALSE)</f>
        <v>0</v>
      </c>
      <c r="S59" s="37" t="b">
        <f>IFERROR(__xludf.DUMMYFUNCTION("if(isblank(A59),,REGEXMATCH(B59,""^((U ?\+ ?(D ?I|I ?D))|((D ?I|I ?D) ?\+ ?U)) *$""))"),FALSE)</f>
        <v>0</v>
      </c>
      <c r="T59" s="37" t="b">
        <f>IFERROR(__xludf.DUMMYFUNCTION("if(isblank(A59),,REGEXMATCH(B59,""^((N ?\+ ?(D ?I|I ?D))|((D ?I|I ?D) ?\+ ?N)) *$""))"),FALSE)</f>
        <v>0</v>
      </c>
      <c r="U59" s="37" t="b">
        <f>IFERROR(__xludf.DUMMYFUNCTION("if(isblank(A59),,REGEXMATCH(B59,""^((I ?\+ ?(U ?I|I ?U))|((I ?U|U ?I) ?\+ ?I)) *$""))"),FALSE)</f>
        <v>0</v>
      </c>
      <c r="V59" s="37" t="b">
        <f>IFERROR(__xludf.DUMMYFUNCTION("if(isblank(A59),,REGEXMATCH(B59,""^((D ?\+ ?(U ?I|I ?U))|((I ?U|U ?I) ?\+ ?D)) *$""))"),FALSE)</f>
        <v>0</v>
      </c>
      <c r="W59" s="37" t="b">
        <f>IFERROR(__xludf.DUMMYFUNCTION("if(isblank(A59),,REGEXMATCH(B59,""^((U ?\+ ?(U ?I|I ?U))|((I ?U|U ?I) ?\+ ?U)) *$""))"),FALSE)</f>
        <v>0</v>
      </c>
      <c r="X59" s="37" t="b">
        <f>IFERROR(__xludf.DUMMYFUNCTION("if(isblank(A59),,REGEXMATCH(B59,""^((N ?\+ ?(U ?I|I ?U))|((I ?U|U ?I) ?\+ ?N)) *$""))"),FALSE)</f>
        <v>0</v>
      </c>
      <c r="Y59" s="37" t="b">
        <f>IFERROR(__xludf.DUMMYFUNCTION("if(isblank(A59),,REGEXMATCH(B59,""^((I ?\+ ?(U ?D|D ?U))|((D ?U|U ?D) ?\+ ?I)) *$""))"),FALSE)</f>
        <v>0</v>
      </c>
      <c r="Z59" s="37" t="b">
        <f>IFERROR(__xludf.DUMMYFUNCTION("if(isblank(A59),,REGEXMATCH(B59,""^((D ?\+ ?(U ?D|D ?U))|((D ?U|U ?D) ?\+ ?D)) *$""))"),FALSE)</f>
        <v>0</v>
      </c>
      <c r="AA59" s="37" t="b">
        <f>IFERROR(__xludf.DUMMYFUNCTION("if(isblank(A59),,REGEXMATCH(B59,""^((U ?\+ ?(U ?D|D ?U))|((D ?U|U ?D) ?\+ ?U)) *$""))"),FALSE)</f>
        <v>0</v>
      </c>
      <c r="AB59" s="37" t="b">
        <f>IFERROR(__xludf.DUMMYFUNCTION("if(isblank(A59),,REGEXMATCH(B59,""^((D ?I|I ?D) ?\+ ?(D ?I|I ?D)) *$""))"),FALSE)</f>
        <v>0</v>
      </c>
      <c r="AC59" s="37" t="b">
        <f>IFERROR(__xludf.DUMMYFUNCTION("if(isblank(A59),,REGEXMATCH(B59,""^((D ?I|I ?D) ?\+ ?(U ?I|I ?U))|((U ?I|I ?U) ?\+ ?(D ?I|I ?D)) *$""))"),FALSE)</f>
        <v>0</v>
      </c>
      <c r="AD59" s="37" t="b">
        <f>IFERROR(__xludf.DUMMYFUNCTION("if(isblank(A59),,REGEXMATCH(B59,""^I *vs\. I *$""))"),TRUE)</f>
        <v>1</v>
      </c>
      <c r="AE59" s="37" t="b">
        <f>IFERROR(__xludf.DUMMYFUNCTION("if(isblank(A59),,REGEXMATCH(B59,""(^I *vs\. D *$)|(^D *vs\. I *$)""))"),FALSE)</f>
        <v>0</v>
      </c>
      <c r="AF59" s="37" t="b">
        <f>IFERROR(__xludf.DUMMYFUNCTION("if(isblank(A59),,REGEXMATCH(B59,""(^I *vs\. U *$)|(^U *vs\. I *$)""))"),FALSE)</f>
        <v>0</v>
      </c>
      <c r="AG59" s="37" t="b">
        <f>IFERROR(__xludf.DUMMYFUNCTION("if(isblank(A59),,REGEXMATCH(B59,""^D *vs\. D *$""))"),FALSE)</f>
        <v>0</v>
      </c>
      <c r="AH59" s="37" t="b">
        <f>IFERROR(__xludf.DUMMYFUNCTION("if(isblank(A59),,REGEXMATCH(B59,""(^U *vs\. D *$)|(^D *vs\. U *$)""))"),FALSE)</f>
        <v>0</v>
      </c>
      <c r="AI59" s="37" t="b">
        <f>IFERROR(__xludf.DUMMYFUNCTION("if(isblank(A59),,REGEXMATCH(B59,""^U *vs\. U *$""))"),FALSE)</f>
        <v>0</v>
      </c>
      <c r="AJ59" s="37" t="b">
        <f>IFERROR(__xludf.DUMMYFUNCTION("if(isblank(A59),,REGEXMATCH(B59,""^((I ?vs\. ?(D ?I|I ?D))|((D ?I|I ?D) ?vs\. ?I)) *$""))"),FALSE)</f>
        <v>0</v>
      </c>
      <c r="AK59" s="37" t="b">
        <f>IFERROR(__xludf.DUMMYFUNCTION("if(isblank(A59),,REGEXMATCH(B59,""^((D ?vs\. ?(D ?I|I ?D))|((D ?I|I ?D) ?vs\. ?D)) *$""))"),FALSE)</f>
        <v>0</v>
      </c>
      <c r="AL59" s="37" t="b">
        <f>IFERROR(__xludf.DUMMYFUNCTION("if(isblank(A59),,REGEXMATCH(B59,""^((U ?vs\. ?(D ?I|I ?D))|((D ?I|I ?D) ?vs\. ?U)) *$""))"),FALSE)</f>
        <v>0</v>
      </c>
      <c r="AM59" s="37" t="b">
        <f>IFERROR(__xludf.DUMMYFUNCTION("if(isblank(A59),,REGEXMATCH(B59,""^((I ?vs\. ?(U ?I|I ?U))|((U ?I|I ?U) ?vs\. ?I)) *$""))"),FALSE)</f>
        <v>0</v>
      </c>
      <c r="AN59" s="37" t="b">
        <f>IFERROR(__xludf.DUMMYFUNCTION("if(isblank(A59),,REGEXMATCH(B59,""^((D ?vs\. ?(U ?I|I ?U))|((U ?I|I ?U) ?vs\. ?D)) *$""))"),FALSE)</f>
        <v>0</v>
      </c>
      <c r="AO59" s="37" t="b">
        <f>IFERROR(__xludf.DUMMYFUNCTION("if(isblank(A59),,REGEXMATCH(B59,""^((U ?vs\. ?(U ?I|I ?U))|((U ?I|I ?U) ?vs\. ?U)) *$""))"),FALSE)</f>
        <v>0</v>
      </c>
      <c r="AP59" s="37" t="b">
        <f>IFERROR(__xludf.DUMMYFUNCTION("if(isblank(A59),,REGEXMATCH(B59,""^((I ?vs\. ?(U ?D|D ?U))|((D ?U|U ?D) ?vs\. ?I)) *$""))"),FALSE)</f>
        <v>0</v>
      </c>
      <c r="AQ59" s="37" t="b">
        <f>IFERROR(__xludf.DUMMYFUNCTION("if(isblank(A59),,REGEXMATCH(B59,""^((D ?vs\. ?(U ?D|D ?U))|((D ?U|U ?D) ?vs\. ?D)) *$""))"),FALSE)</f>
        <v>0</v>
      </c>
      <c r="AR59" s="37" t="b">
        <f>IFERROR(__xludf.DUMMYFUNCTION("if(isblank(A59),,REGEXMATCH(B59,""^((U ?vs\. ?(U ?D|D ?U))|((D ?U|U ?D) ?vs\. ?U)) *$""))"),FALSE)</f>
        <v>0</v>
      </c>
      <c r="AS59" s="37" t="b">
        <f>IFERROR(__xludf.DUMMYFUNCTION("if(isblank(A59),,REGEXMATCH(B59,""^((D ?I|I ?D) ?vs\. ?(D ?I|I ?D)) *$""))"),FALSE)</f>
        <v>0</v>
      </c>
      <c r="AT59" s="37" t="b">
        <f>IFERROR(__xludf.DUMMYFUNCTION("if(isblank(A59),,REGEXMATCH(B59,""^((D ?I|I ?D) ?vs\. ?(U ?I|I ?U))|((U ?I|I ?U) ?vs\. ?(D ?I|I ?D)) *$""))"),FALSE)</f>
        <v>0</v>
      </c>
      <c r="AU59" s="37" t="b">
        <f>IFERROR(__xludf.DUMMYFUNCTION("if(isblank(A59),,REGEXMATCH(B59,""^((D ?I|I ?D) ?vs\. ?(U ?D|D ?U))|((U ?D|D ?U) ?vs\. ?(D ?I|I ?D)) *$""))"),FALSE)</f>
        <v>0</v>
      </c>
      <c r="AV59" s="37" t="b">
        <f>IFERROR(__xludf.DUMMYFUNCTION("if(isblank(A59),,REGEXMATCH(B59,""^((U ?I|I ?U) ?vs\. ?(U ?I|I ?U)) *$""))"),FALSE)</f>
        <v>0</v>
      </c>
    </row>
    <row r="60" ht="26.25" customHeight="1">
      <c r="A60" s="79" t="str">
        <f>Paper_Textual_Conflict!M60</f>
        <v>U vs. D I (Java code)
Origin(U vs. U)</v>
      </c>
      <c r="B60" s="37" t="str">
        <f>IFERROR(__xludf.DUMMYFUNCTION("if(isblank(A60),,regexextract(REGEXEXTRACT(A60,""^.*""),""^[^(]*""))"),"U vs. D I ")</f>
        <v>U vs. D I </v>
      </c>
      <c r="C60" s="37" t="b">
        <f>IFERROR(__xludf.DUMMYFUNCTION("if(isblank(A60),,REGEXMATCH(B60,"".*\+.*"") )"),FALSE)</f>
        <v>0</v>
      </c>
      <c r="D60" s="37" t="b">
        <f>IFERROR(__xludf.DUMMYFUNCTION("if(isblank(A60),,REGEXMATCH(B60,"".*vs.*"") )"),TRUE)</f>
        <v>1</v>
      </c>
      <c r="E60" s="37" t="b">
        <f>Paper_Textual_Conflict!H60</f>
        <v>1</v>
      </c>
      <c r="F60" s="37" t="str">
        <f>Paper_Textual_Conflict!Q60</f>
        <v>Java</v>
      </c>
      <c r="G60" s="33">
        <v>60.0</v>
      </c>
      <c r="H60" s="37" t="b">
        <f>IFERROR(__xludf.DUMMYFUNCTION("if(isblank(A60),,REGEXMATCH(B60,""^I *\+ I *$""))"),FALSE)</f>
        <v>0</v>
      </c>
      <c r="I60" s="37" t="b">
        <f>IFERROR(__xludf.DUMMYFUNCTION("if(isblank(A60),,REGEXMATCH(B60,""(^I *\+ D *$)|(^D *\+ I *$)""))"),FALSE)</f>
        <v>0</v>
      </c>
      <c r="J60" s="37" t="b">
        <f>IFERROR(__xludf.DUMMYFUNCTION("if(isblank(A60),,REGEXMATCH(B60,""(^I *\+ U *$)|(^U *\+ I *$)""))"),FALSE)</f>
        <v>0</v>
      </c>
      <c r="K60" s="37" t="b">
        <f>IFERROR(__xludf.DUMMYFUNCTION("if(isblank(A60),,REGEXMATCH(B60,""(^I *\+ N *$)|(^N *\+ I *$)"") )"),FALSE)</f>
        <v>0</v>
      </c>
      <c r="L60" s="37" t="b">
        <f>IFERROR(__xludf.DUMMYFUNCTION("if(isblank(A60),,REGEXMATCH(B60,""^D *\+ D *$""))"),FALSE)</f>
        <v>0</v>
      </c>
      <c r="M60" s="37" t="b">
        <f>IFERROR(__xludf.DUMMYFUNCTION("if(isblank(A60),,REGEXMATCH(B60,""(^U *\+ D *$)|(^D *\+ U *$)""))"),FALSE)</f>
        <v>0</v>
      </c>
      <c r="N60" s="37" t="b">
        <f>IFERROR(__xludf.DUMMYFUNCTION("if(isblank(A60),,REGEXMATCH(B60,""(^N *\+ D *$)|(^D *\+ N *$)""))"),FALSE)</f>
        <v>0</v>
      </c>
      <c r="O60" s="37" t="b">
        <f>IFERROR(__xludf.DUMMYFUNCTION("if(isblank(A60),,REGEXMATCH(B60,""^U *\+ U *$""))"),FALSE)</f>
        <v>0</v>
      </c>
      <c r="P60" s="37" t="b">
        <f>IFERROR(__xludf.DUMMYFUNCTION("if(isblank(A60),,REGEXMATCH(B60,""(^U *\+ N *$)|(^N *\+ U *$)""))"),FALSE)</f>
        <v>0</v>
      </c>
      <c r="Q60" s="37" t="b">
        <f>IFERROR(__xludf.DUMMYFUNCTION("if(isblank(A60),,REGEXMATCH(B60,""^((I ?\+ ?(D ?I|I ?D))|((D ?I|I ?D) ?\+ ?I)) *$""))"),FALSE)</f>
        <v>0</v>
      </c>
      <c r="R60" s="37" t="b">
        <f>IFERROR(__xludf.DUMMYFUNCTION("if(isblank(A60),,REGEXMATCH(B60,""^((D ?\+ ?(D ?I|I ?D))|((D ?I|I ?D) ?\+ ?D)) *$""))"),FALSE)</f>
        <v>0</v>
      </c>
      <c r="S60" s="37" t="b">
        <f>IFERROR(__xludf.DUMMYFUNCTION("if(isblank(A60),,REGEXMATCH(B60,""^((U ?\+ ?(D ?I|I ?D))|((D ?I|I ?D) ?\+ ?U)) *$""))"),FALSE)</f>
        <v>0</v>
      </c>
      <c r="T60" s="37" t="b">
        <f>IFERROR(__xludf.DUMMYFUNCTION("if(isblank(A60),,REGEXMATCH(B60,""^((N ?\+ ?(D ?I|I ?D))|((D ?I|I ?D) ?\+ ?N)) *$""))"),FALSE)</f>
        <v>0</v>
      </c>
      <c r="U60" s="37" t="b">
        <f>IFERROR(__xludf.DUMMYFUNCTION("if(isblank(A60),,REGEXMATCH(B60,""^((I ?\+ ?(U ?I|I ?U))|((I ?U|U ?I) ?\+ ?I)) *$""))"),FALSE)</f>
        <v>0</v>
      </c>
      <c r="V60" s="37" t="b">
        <f>IFERROR(__xludf.DUMMYFUNCTION("if(isblank(A60),,REGEXMATCH(B60,""^((D ?\+ ?(U ?I|I ?U))|((I ?U|U ?I) ?\+ ?D)) *$""))"),FALSE)</f>
        <v>0</v>
      </c>
      <c r="W60" s="37" t="b">
        <f>IFERROR(__xludf.DUMMYFUNCTION("if(isblank(A60),,REGEXMATCH(B60,""^((U ?\+ ?(U ?I|I ?U))|((I ?U|U ?I) ?\+ ?U)) *$""))"),FALSE)</f>
        <v>0</v>
      </c>
      <c r="X60" s="37" t="b">
        <f>IFERROR(__xludf.DUMMYFUNCTION("if(isblank(A60),,REGEXMATCH(B60,""^((N ?\+ ?(U ?I|I ?U))|((I ?U|U ?I) ?\+ ?N)) *$""))"),FALSE)</f>
        <v>0</v>
      </c>
      <c r="Y60" s="37" t="b">
        <f>IFERROR(__xludf.DUMMYFUNCTION("if(isblank(A60),,REGEXMATCH(B60,""^((I ?\+ ?(U ?D|D ?U))|((D ?U|U ?D) ?\+ ?I)) *$""))"),FALSE)</f>
        <v>0</v>
      </c>
      <c r="Z60" s="37" t="b">
        <f>IFERROR(__xludf.DUMMYFUNCTION("if(isblank(A60),,REGEXMATCH(B60,""^((D ?\+ ?(U ?D|D ?U))|((D ?U|U ?D) ?\+ ?D)) *$""))"),FALSE)</f>
        <v>0</v>
      </c>
      <c r="AA60" s="37" t="b">
        <f>IFERROR(__xludf.DUMMYFUNCTION("if(isblank(A60),,REGEXMATCH(B60,""^((U ?\+ ?(U ?D|D ?U))|((D ?U|U ?D) ?\+ ?U)) *$""))"),FALSE)</f>
        <v>0</v>
      </c>
      <c r="AB60" s="37" t="b">
        <f>IFERROR(__xludf.DUMMYFUNCTION("if(isblank(A60),,REGEXMATCH(B60,""^((D ?I|I ?D) ?\+ ?(D ?I|I ?D)) *$""))"),FALSE)</f>
        <v>0</v>
      </c>
      <c r="AC60" s="37" t="b">
        <f>IFERROR(__xludf.DUMMYFUNCTION("if(isblank(A60),,REGEXMATCH(B60,""^((D ?I|I ?D) ?\+ ?(U ?I|I ?U))|((U ?I|I ?U) ?\+ ?(D ?I|I ?D)) *$""))"),FALSE)</f>
        <v>0</v>
      </c>
      <c r="AD60" s="37" t="b">
        <f>IFERROR(__xludf.DUMMYFUNCTION("if(isblank(A60),,REGEXMATCH(B60,""^I *vs\. I *$""))"),FALSE)</f>
        <v>0</v>
      </c>
      <c r="AE60" s="37" t="b">
        <f>IFERROR(__xludf.DUMMYFUNCTION("if(isblank(A60),,REGEXMATCH(B60,""(^I *vs\. D *$)|(^D *vs\. I *$)""))"),FALSE)</f>
        <v>0</v>
      </c>
      <c r="AF60" s="37" t="b">
        <f>IFERROR(__xludf.DUMMYFUNCTION("if(isblank(A60),,REGEXMATCH(B60,""(^I *vs\. U *$)|(^U *vs\. I *$)""))"),FALSE)</f>
        <v>0</v>
      </c>
      <c r="AG60" s="37" t="b">
        <f>IFERROR(__xludf.DUMMYFUNCTION("if(isblank(A60),,REGEXMATCH(B60,""^D *vs\. D *$""))"),FALSE)</f>
        <v>0</v>
      </c>
      <c r="AH60" s="37" t="b">
        <f>IFERROR(__xludf.DUMMYFUNCTION("if(isblank(A60),,REGEXMATCH(B60,""(^U *vs\. D *$)|(^D *vs\. U *$)""))"),FALSE)</f>
        <v>0</v>
      </c>
      <c r="AI60" s="37" t="b">
        <f>IFERROR(__xludf.DUMMYFUNCTION("if(isblank(A60),,REGEXMATCH(B60,""^U *vs\. U *$""))"),FALSE)</f>
        <v>0</v>
      </c>
      <c r="AJ60" s="37" t="b">
        <f>IFERROR(__xludf.DUMMYFUNCTION("if(isblank(A60),,REGEXMATCH(B60,""^((I ?vs\. ?(D ?I|I ?D))|((D ?I|I ?D) ?vs\. ?I)) *$""))"),FALSE)</f>
        <v>0</v>
      </c>
      <c r="AK60" s="37" t="b">
        <f>IFERROR(__xludf.DUMMYFUNCTION("if(isblank(A60),,REGEXMATCH(B60,""^((D ?vs\. ?(D ?I|I ?D))|((D ?I|I ?D) ?vs\. ?D)) *$""))"),FALSE)</f>
        <v>0</v>
      </c>
      <c r="AL60" s="37" t="b">
        <f>IFERROR(__xludf.DUMMYFUNCTION("if(isblank(A60),,REGEXMATCH(B60,""^((U ?vs\. ?(D ?I|I ?D))|((D ?I|I ?D) ?vs\. ?U)) *$""))"),TRUE)</f>
        <v>1</v>
      </c>
      <c r="AM60" s="37" t="b">
        <f>IFERROR(__xludf.DUMMYFUNCTION("if(isblank(A60),,REGEXMATCH(B60,""^((I ?vs\. ?(U ?I|I ?U))|((U ?I|I ?U) ?vs\. ?I)) *$""))"),FALSE)</f>
        <v>0</v>
      </c>
      <c r="AN60" s="37" t="b">
        <f>IFERROR(__xludf.DUMMYFUNCTION("if(isblank(A60),,REGEXMATCH(B60,""^((D ?vs\. ?(U ?I|I ?U))|((U ?I|I ?U) ?vs\. ?D)) *$""))"),FALSE)</f>
        <v>0</v>
      </c>
      <c r="AO60" s="37" t="b">
        <f>IFERROR(__xludf.DUMMYFUNCTION("if(isblank(A60),,REGEXMATCH(B60,""^((U ?vs\. ?(U ?I|I ?U))|((U ?I|I ?U) ?vs\. ?U)) *$""))"),FALSE)</f>
        <v>0</v>
      </c>
      <c r="AP60" s="37" t="b">
        <f>IFERROR(__xludf.DUMMYFUNCTION("if(isblank(A60),,REGEXMATCH(B60,""^((I ?vs\. ?(U ?D|D ?U))|((D ?U|U ?D) ?vs\. ?I)) *$""))"),FALSE)</f>
        <v>0</v>
      </c>
      <c r="AQ60" s="37" t="b">
        <f>IFERROR(__xludf.DUMMYFUNCTION("if(isblank(A60),,REGEXMATCH(B60,""^((D ?vs\. ?(U ?D|D ?U))|((D ?U|U ?D) ?vs\. ?D)) *$""))"),FALSE)</f>
        <v>0</v>
      </c>
      <c r="AR60" s="37" t="b">
        <f>IFERROR(__xludf.DUMMYFUNCTION("if(isblank(A60),,REGEXMATCH(B60,""^((U ?vs\. ?(U ?D|D ?U))|((D ?U|U ?D) ?vs\. ?U)) *$""))"),FALSE)</f>
        <v>0</v>
      </c>
      <c r="AS60" s="37" t="b">
        <f>IFERROR(__xludf.DUMMYFUNCTION("if(isblank(A60),,REGEXMATCH(B60,""^((D ?I|I ?D) ?vs\. ?(D ?I|I ?D)) *$""))"),FALSE)</f>
        <v>0</v>
      </c>
      <c r="AT60" s="37" t="b">
        <f>IFERROR(__xludf.DUMMYFUNCTION("if(isblank(A60),,REGEXMATCH(B60,""^((D ?I|I ?D) ?vs\. ?(U ?I|I ?U))|((U ?I|I ?U) ?vs\. ?(D ?I|I ?D)) *$""))"),FALSE)</f>
        <v>0</v>
      </c>
      <c r="AU60" s="37" t="b">
        <f>IFERROR(__xludf.DUMMYFUNCTION("if(isblank(A60),,REGEXMATCH(B60,""^((D ?I|I ?D) ?vs\. ?(U ?D|D ?U))|((U ?D|D ?U) ?vs\. ?(D ?I|I ?D)) *$""))"),FALSE)</f>
        <v>0</v>
      </c>
      <c r="AV60" s="37" t="b">
        <f>IFERROR(__xludf.DUMMYFUNCTION("if(isblank(A60),,REGEXMATCH(B60,""^((U ?I|I ?U) ?vs\. ?(U ?I|I ?U)) *$""))"),FALSE)</f>
        <v>0</v>
      </c>
    </row>
    <row r="61" ht="26.25" customHeight="1">
      <c r="A61" s="79" t="str">
        <f>Paper_Textual_Conflict!M61</f>
        <v>D + D I (module)
Origin(D + U I)</v>
      </c>
      <c r="B61" s="37" t="str">
        <f>IFERROR(__xludf.DUMMYFUNCTION("if(isblank(A61),,regexextract(REGEXEXTRACT(A61,""^.*""),""^[^(]*""))"),"D + D I ")</f>
        <v>D + D I </v>
      </c>
      <c r="C61" s="37" t="b">
        <f>IFERROR(__xludf.DUMMYFUNCTION("if(isblank(A61),,REGEXMATCH(B61,"".*\+.*"") )"),TRUE)</f>
        <v>1</v>
      </c>
      <c r="D61" s="37" t="b">
        <f>IFERROR(__xludf.DUMMYFUNCTION("if(isblank(A61),,REGEXMATCH(B61,"".*vs.*"") )"),FALSE)</f>
        <v>0</v>
      </c>
      <c r="E61" s="37" t="b">
        <f>Paper_Textual_Conflict!H61</f>
        <v>0</v>
      </c>
      <c r="F61" s="37" t="str">
        <f>Paper_Textual_Conflict!Q61</f>
        <v>Non-Java</v>
      </c>
      <c r="G61" s="33">
        <v>61.0</v>
      </c>
      <c r="H61" s="37" t="b">
        <f>IFERROR(__xludf.DUMMYFUNCTION("if(isblank(A61),,REGEXMATCH(B61,""^I *\+ I *$""))"),FALSE)</f>
        <v>0</v>
      </c>
      <c r="I61" s="37" t="b">
        <f>IFERROR(__xludf.DUMMYFUNCTION("if(isblank(A61),,REGEXMATCH(B61,""(^I *\+ D *$)|(^D *\+ I *$)""))"),FALSE)</f>
        <v>0</v>
      </c>
      <c r="J61" s="37" t="b">
        <f>IFERROR(__xludf.DUMMYFUNCTION("if(isblank(A61),,REGEXMATCH(B61,""(^I *\+ U *$)|(^U *\+ I *$)""))"),FALSE)</f>
        <v>0</v>
      </c>
      <c r="K61" s="37" t="b">
        <f>IFERROR(__xludf.DUMMYFUNCTION("if(isblank(A61),,REGEXMATCH(B61,""(^I *\+ N *$)|(^N *\+ I *$)"") )"),FALSE)</f>
        <v>0</v>
      </c>
      <c r="L61" s="37" t="b">
        <f>IFERROR(__xludf.DUMMYFUNCTION("if(isblank(A61),,REGEXMATCH(B61,""^D *\+ D *$""))"),FALSE)</f>
        <v>0</v>
      </c>
      <c r="M61" s="37" t="b">
        <f>IFERROR(__xludf.DUMMYFUNCTION("if(isblank(A61),,REGEXMATCH(B61,""(^U *\+ D *$)|(^D *\+ U *$)""))"),FALSE)</f>
        <v>0</v>
      </c>
      <c r="N61" s="37" t="b">
        <f>IFERROR(__xludf.DUMMYFUNCTION("if(isblank(A61),,REGEXMATCH(B61,""(^N *\+ D *$)|(^D *\+ N *$)""))"),FALSE)</f>
        <v>0</v>
      </c>
      <c r="O61" s="37" t="b">
        <f>IFERROR(__xludf.DUMMYFUNCTION("if(isblank(A61),,REGEXMATCH(B61,""^U *\+ U *$""))"),FALSE)</f>
        <v>0</v>
      </c>
      <c r="P61" s="37" t="b">
        <f>IFERROR(__xludf.DUMMYFUNCTION("if(isblank(A61),,REGEXMATCH(B61,""(^U *\+ N *$)|(^N *\+ U *$)""))"),FALSE)</f>
        <v>0</v>
      </c>
      <c r="Q61" s="37" t="b">
        <f>IFERROR(__xludf.DUMMYFUNCTION("if(isblank(A61),,REGEXMATCH(B61,""^((I ?\+ ?(D ?I|I ?D))|((D ?I|I ?D) ?\+ ?I)) *$""))"),FALSE)</f>
        <v>0</v>
      </c>
      <c r="R61" s="37" t="b">
        <f>IFERROR(__xludf.DUMMYFUNCTION("if(isblank(A61),,REGEXMATCH(B61,""^((D ?\+ ?(D ?I|I ?D))|((D ?I|I ?D) ?\+ ?D)) *$""))"),TRUE)</f>
        <v>1</v>
      </c>
      <c r="S61" s="37" t="b">
        <f>IFERROR(__xludf.DUMMYFUNCTION("if(isblank(A61),,REGEXMATCH(B61,""^((U ?\+ ?(D ?I|I ?D))|((D ?I|I ?D) ?\+ ?U)) *$""))"),FALSE)</f>
        <v>0</v>
      </c>
      <c r="T61" s="37" t="b">
        <f>IFERROR(__xludf.DUMMYFUNCTION("if(isblank(A61),,REGEXMATCH(B61,""^((N ?\+ ?(D ?I|I ?D))|((D ?I|I ?D) ?\+ ?N)) *$""))"),FALSE)</f>
        <v>0</v>
      </c>
      <c r="U61" s="37" t="b">
        <f>IFERROR(__xludf.DUMMYFUNCTION("if(isblank(A61),,REGEXMATCH(B61,""^((I ?\+ ?(U ?I|I ?U))|((I ?U|U ?I) ?\+ ?I)) *$""))"),FALSE)</f>
        <v>0</v>
      </c>
      <c r="V61" s="37" t="b">
        <f>IFERROR(__xludf.DUMMYFUNCTION("if(isblank(A61),,REGEXMATCH(B61,""^((D ?\+ ?(U ?I|I ?U))|((I ?U|U ?I) ?\+ ?D)) *$""))"),FALSE)</f>
        <v>0</v>
      </c>
      <c r="W61" s="37" t="b">
        <f>IFERROR(__xludf.DUMMYFUNCTION("if(isblank(A61),,REGEXMATCH(B61,""^((U ?\+ ?(U ?I|I ?U))|((I ?U|U ?I) ?\+ ?U)) *$""))"),FALSE)</f>
        <v>0</v>
      </c>
      <c r="X61" s="37" t="b">
        <f>IFERROR(__xludf.DUMMYFUNCTION("if(isblank(A61),,REGEXMATCH(B61,""^((N ?\+ ?(U ?I|I ?U))|((I ?U|U ?I) ?\+ ?N)) *$""))"),FALSE)</f>
        <v>0</v>
      </c>
      <c r="Y61" s="37" t="b">
        <f>IFERROR(__xludf.DUMMYFUNCTION("if(isblank(A61),,REGEXMATCH(B61,""^((I ?\+ ?(U ?D|D ?U))|((D ?U|U ?D) ?\+ ?I)) *$""))"),FALSE)</f>
        <v>0</v>
      </c>
      <c r="Z61" s="37" t="b">
        <f>IFERROR(__xludf.DUMMYFUNCTION("if(isblank(A61),,REGEXMATCH(B61,""^((D ?\+ ?(U ?D|D ?U))|((D ?U|U ?D) ?\+ ?D)) *$""))"),FALSE)</f>
        <v>0</v>
      </c>
      <c r="AA61" s="37" t="b">
        <f>IFERROR(__xludf.DUMMYFUNCTION("if(isblank(A61),,REGEXMATCH(B61,""^((U ?\+ ?(U ?D|D ?U))|((D ?U|U ?D) ?\+ ?U)) *$""))"),FALSE)</f>
        <v>0</v>
      </c>
      <c r="AB61" s="37" t="b">
        <f>IFERROR(__xludf.DUMMYFUNCTION("if(isblank(A61),,REGEXMATCH(B61,""^((D ?I|I ?D) ?\+ ?(D ?I|I ?D)) *$""))"),FALSE)</f>
        <v>0</v>
      </c>
      <c r="AC61" s="37" t="b">
        <f>IFERROR(__xludf.DUMMYFUNCTION("if(isblank(A61),,REGEXMATCH(B61,""^((D ?I|I ?D) ?\+ ?(U ?I|I ?U))|((U ?I|I ?U) ?\+ ?(D ?I|I ?D)) *$""))"),FALSE)</f>
        <v>0</v>
      </c>
      <c r="AD61" s="37" t="b">
        <f>IFERROR(__xludf.DUMMYFUNCTION("if(isblank(A61),,REGEXMATCH(B61,""^I *vs\. I *$""))"),FALSE)</f>
        <v>0</v>
      </c>
      <c r="AE61" s="37" t="b">
        <f>IFERROR(__xludf.DUMMYFUNCTION("if(isblank(A61),,REGEXMATCH(B61,""(^I *vs\. D *$)|(^D *vs\. I *$)""))"),FALSE)</f>
        <v>0</v>
      </c>
      <c r="AF61" s="37" t="b">
        <f>IFERROR(__xludf.DUMMYFUNCTION("if(isblank(A61),,REGEXMATCH(B61,""(^I *vs\. U *$)|(^U *vs\. I *$)""))"),FALSE)</f>
        <v>0</v>
      </c>
      <c r="AG61" s="37" t="b">
        <f>IFERROR(__xludf.DUMMYFUNCTION("if(isblank(A61),,REGEXMATCH(B61,""^D *vs\. D *$""))"),FALSE)</f>
        <v>0</v>
      </c>
      <c r="AH61" s="37" t="b">
        <f>IFERROR(__xludf.DUMMYFUNCTION("if(isblank(A61),,REGEXMATCH(B61,""(^U *vs\. D *$)|(^D *vs\. U *$)""))"),FALSE)</f>
        <v>0</v>
      </c>
      <c r="AI61" s="37" t="b">
        <f>IFERROR(__xludf.DUMMYFUNCTION("if(isblank(A61),,REGEXMATCH(B61,""^U *vs\. U *$""))"),FALSE)</f>
        <v>0</v>
      </c>
      <c r="AJ61" s="37" t="b">
        <f>IFERROR(__xludf.DUMMYFUNCTION("if(isblank(A61),,REGEXMATCH(B61,""^((I ?vs\. ?(D ?I|I ?D))|((D ?I|I ?D) ?vs\. ?I)) *$""))"),FALSE)</f>
        <v>0</v>
      </c>
      <c r="AK61" s="37" t="b">
        <f>IFERROR(__xludf.DUMMYFUNCTION("if(isblank(A61),,REGEXMATCH(B61,""^((D ?vs\. ?(D ?I|I ?D))|((D ?I|I ?D) ?vs\. ?D)) *$""))"),FALSE)</f>
        <v>0</v>
      </c>
      <c r="AL61" s="37" t="b">
        <f>IFERROR(__xludf.DUMMYFUNCTION("if(isblank(A61),,REGEXMATCH(B61,""^((U ?vs\. ?(D ?I|I ?D))|((D ?I|I ?D) ?vs\. ?U)) *$""))"),FALSE)</f>
        <v>0</v>
      </c>
      <c r="AM61" s="37" t="b">
        <f>IFERROR(__xludf.DUMMYFUNCTION("if(isblank(A61),,REGEXMATCH(B61,""^((I ?vs\. ?(U ?I|I ?U))|((U ?I|I ?U) ?vs\. ?I)) *$""))"),FALSE)</f>
        <v>0</v>
      </c>
      <c r="AN61" s="37" t="b">
        <f>IFERROR(__xludf.DUMMYFUNCTION("if(isblank(A61),,REGEXMATCH(B61,""^((D ?vs\. ?(U ?I|I ?U))|((U ?I|I ?U) ?vs\. ?D)) *$""))"),FALSE)</f>
        <v>0</v>
      </c>
      <c r="AO61" s="37" t="b">
        <f>IFERROR(__xludf.DUMMYFUNCTION("if(isblank(A61),,REGEXMATCH(B61,""^((U ?vs\. ?(U ?I|I ?U))|((U ?I|I ?U) ?vs\. ?U)) *$""))"),FALSE)</f>
        <v>0</v>
      </c>
      <c r="AP61" s="37" t="b">
        <f>IFERROR(__xludf.DUMMYFUNCTION("if(isblank(A61),,REGEXMATCH(B61,""^((I ?vs\. ?(U ?D|D ?U))|((D ?U|U ?D) ?vs\. ?I)) *$""))"),FALSE)</f>
        <v>0</v>
      </c>
      <c r="AQ61" s="37" t="b">
        <f>IFERROR(__xludf.DUMMYFUNCTION("if(isblank(A61),,REGEXMATCH(B61,""^((D ?vs\. ?(U ?D|D ?U))|((D ?U|U ?D) ?vs\. ?D)) *$""))"),FALSE)</f>
        <v>0</v>
      </c>
      <c r="AR61" s="37" t="b">
        <f>IFERROR(__xludf.DUMMYFUNCTION("if(isblank(A61),,REGEXMATCH(B61,""^((U ?vs\. ?(U ?D|D ?U))|((D ?U|U ?D) ?vs\. ?U)) *$""))"),FALSE)</f>
        <v>0</v>
      </c>
      <c r="AS61" s="37" t="b">
        <f>IFERROR(__xludf.DUMMYFUNCTION("if(isblank(A61),,REGEXMATCH(B61,""^((D ?I|I ?D) ?vs\. ?(D ?I|I ?D)) *$""))"),FALSE)</f>
        <v>0</v>
      </c>
      <c r="AT61" s="37" t="b">
        <f>IFERROR(__xludf.DUMMYFUNCTION("if(isblank(A61),,REGEXMATCH(B61,""^((D ?I|I ?D) ?vs\. ?(U ?I|I ?U))|((U ?I|I ?U) ?vs\. ?(D ?I|I ?D)) *$""))"),FALSE)</f>
        <v>0</v>
      </c>
      <c r="AU61" s="37" t="b">
        <f>IFERROR(__xludf.DUMMYFUNCTION("if(isblank(A61),,REGEXMATCH(B61,""^((D ?I|I ?D) ?vs\. ?(U ?D|D ?U))|((U ?D|D ?U) ?vs\. ?(D ?I|I ?D)) *$""))"),FALSE)</f>
        <v>0</v>
      </c>
      <c r="AV61" s="37" t="b">
        <f>IFERROR(__xludf.DUMMYFUNCTION("if(isblank(A61),,REGEXMATCH(B61,""^((U ?I|I ?U) ?vs\. ?(U ?I|I ?U)) *$""))"),FALSE)</f>
        <v>0</v>
      </c>
    </row>
    <row r="62" ht="26.25" customHeight="1">
      <c r="A62" s="79" t="str">
        <f>Paper_Textual_Conflict!M62</f>
        <v>U vs. D (file)</v>
      </c>
      <c r="B62" s="37" t="str">
        <f>IFERROR(__xludf.DUMMYFUNCTION("if(isblank(A62),,regexextract(REGEXEXTRACT(A62,""^.*""),""^[^(]*""))"),"U vs. D ")</f>
        <v>U vs. D </v>
      </c>
      <c r="C62" s="37" t="b">
        <f>IFERROR(__xludf.DUMMYFUNCTION("if(isblank(A62),,REGEXMATCH(B62,"".*\+.*"") )"),FALSE)</f>
        <v>0</v>
      </c>
      <c r="D62" s="37" t="b">
        <f>IFERROR(__xludf.DUMMYFUNCTION("if(isblank(A62),,REGEXMATCH(B62,"".*vs.*"") )"),TRUE)</f>
        <v>1</v>
      </c>
      <c r="E62" s="37" t="b">
        <f>Paper_Textual_Conflict!H62</f>
        <v>1</v>
      </c>
      <c r="F62" s="37" t="str">
        <f>Paper_Textual_Conflict!Q62</f>
        <v>Java</v>
      </c>
      <c r="G62" s="33">
        <v>62.0</v>
      </c>
      <c r="H62" s="37" t="b">
        <f>IFERROR(__xludf.DUMMYFUNCTION("if(isblank(A62),,REGEXMATCH(B62,""^I *\+ I *$""))"),FALSE)</f>
        <v>0</v>
      </c>
      <c r="I62" s="37" t="b">
        <f>IFERROR(__xludf.DUMMYFUNCTION("if(isblank(A62),,REGEXMATCH(B62,""(^I *\+ D *$)|(^D *\+ I *$)""))"),FALSE)</f>
        <v>0</v>
      </c>
      <c r="J62" s="37" t="b">
        <f>IFERROR(__xludf.DUMMYFUNCTION("if(isblank(A62),,REGEXMATCH(B62,""(^I *\+ U *$)|(^U *\+ I *$)""))"),FALSE)</f>
        <v>0</v>
      </c>
      <c r="K62" s="37" t="b">
        <f>IFERROR(__xludf.DUMMYFUNCTION("if(isblank(A62),,REGEXMATCH(B62,""(^I *\+ N *$)|(^N *\+ I *$)"") )"),FALSE)</f>
        <v>0</v>
      </c>
      <c r="L62" s="37" t="b">
        <f>IFERROR(__xludf.DUMMYFUNCTION("if(isblank(A62),,REGEXMATCH(B62,""^D *\+ D *$""))"),FALSE)</f>
        <v>0</v>
      </c>
      <c r="M62" s="37" t="b">
        <f>IFERROR(__xludf.DUMMYFUNCTION("if(isblank(A62),,REGEXMATCH(B62,""(^U *\+ D *$)|(^D *\+ U *$)""))"),FALSE)</f>
        <v>0</v>
      </c>
      <c r="N62" s="37" t="b">
        <f>IFERROR(__xludf.DUMMYFUNCTION("if(isblank(A62),,REGEXMATCH(B62,""(^N *\+ D *$)|(^D *\+ N *$)""))"),FALSE)</f>
        <v>0</v>
      </c>
      <c r="O62" s="37" t="b">
        <f>IFERROR(__xludf.DUMMYFUNCTION("if(isblank(A62),,REGEXMATCH(B62,""^U *\+ U *$""))"),FALSE)</f>
        <v>0</v>
      </c>
      <c r="P62" s="37" t="b">
        <f>IFERROR(__xludf.DUMMYFUNCTION("if(isblank(A62),,REGEXMATCH(B62,""(^U *\+ N *$)|(^N *\+ U *$)""))"),FALSE)</f>
        <v>0</v>
      </c>
      <c r="Q62" s="37" t="b">
        <f>IFERROR(__xludf.DUMMYFUNCTION("if(isblank(A62),,REGEXMATCH(B62,""^((I ?\+ ?(D ?I|I ?D))|((D ?I|I ?D) ?\+ ?I)) *$""))"),FALSE)</f>
        <v>0</v>
      </c>
      <c r="R62" s="37" t="b">
        <f>IFERROR(__xludf.DUMMYFUNCTION("if(isblank(A62),,REGEXMATCH(B62,""^((D ?\+ ?(D ?I|I ?D))|((D ?I|I ?D) ?\+ ?D)) *$""))"),FALSE)</f>
        <v>0</v>
      </c>
      <c r="S62" s="37" t="b">
        <f>IFERROR(__xludf.DUMMYFUNCTION("if(isblank(A62),,REGEXMATCH(B62,""^((U ?\+ ?(D ?I|I ?D))|((D ?I|I ?D) ?\+ ?U)) *$""))"),FALSE)</f>
        <v>0</v>
      </c>
      <c r="T62" s="37" t="b">
        <f>IFERROR(__xludf.DUMMYFUNCTION("if(isblank(A62),,REGEXMATCH(B62,""^((N ?\+ ?(D ?I|I ?D))|((D ?I|I ?D) ?\+ ?N)) *$""))"),FALSE)</f>
        <v>0</v>
      </c>
      <c r="U62" s="37" t="b">
        <f>IFERROR(__xludf.DUMMYFUNCTION("if(isblank(A62),,REGEXMATCH(B62,""^((I ?\+ ?(U ?I|I ?U))|((I ?U|U ?I) ?\+ ?I)) *$""))"),FALSE)</f>
        <v>0</v>
      </c>
      <c r="V62" s="37" t="b">
        <f>IFERROR(__xludf.DUMMYFUNCTION("if(isblank(A62),,REGEXMATCH(B62,""^((D ?\+ ?(U ?I|I ?U))|((I ?U|U ?I) ?\+ ?D)) *$""))"),FALSE)</f>
        <v>0</v>
      </c>
      <c r="W62" s="37" t="b">
        <f>IFERROR(__xludf.DUMMYFUNCTION("if(isblank(A62),,REGEXMATCH(B62,""^((U ?\+ ?(U ?I|I ?U))|((I ?U|U ?I) ?\+ ?U)) *$""))"),FALSE)</f>
        <v>0</v>
      </c>
      <c r="X62" s="37" t="b">
        <f>IFERROR(__xludf.DUMMYFUNCTION("if(isblank(A62),,REGEXMATCH(B62,""^((N ?\+ ?(U ?I|I ?U))|((I ?U|U ?I) ?\+ ?N)) *$""))"),FALSE)</f>
        <v>0</v>
      </c>
      <c r="Y62" s="37" t="b">
        <f>IFERROR(__xludf.DUMMYFUNCTION("if(isblank(A62),,REGEXMATCH(B62,""^((I ?\+ ?(U ?D|D ?U))|((D ?U|U ?D) ?\+ ?I)) *$""))"),FALSE)</f>
        <v>0</v>
      </c>
      <c r="Z62" s="37" t="b">
        <f>IFERROR(__xludf.DUMMYFUNCTION("if(isblank(A62),,REGEXMATCH(B62,""^((D ?\+ ?(U ?D|D ?U))|((D ?U|U ?D) ?\+ ?D)) *$""))"),FALSE)</f>
        <v>0</v>
      </c>
      <c r="AA62" s="37" t="b">
        <f>IFERROR(__xludf.DUMMYFUNCTION("if(isblank(A62),,REGEXMATCH(B62,""^((U ?\+ ?(U ?D|D ?U))|((D ?U|U ?D) ?\+ ?U)) *$""))"),FALSE)</f>
        <v>0</v>
      </c>
      <c r="AB62" s="37" t="b">
        <f>IFERROR(__xludf.DUMMYFUNCTION("if(isblank(A62),,REGEXMATCH(B62,""^((D ?I|I ?D) ?\+ ?(D ?I|I ?D)) *$""))"),FALSE)</f>
        <v>0</v>
      </c>
      <c r="AC62" s="37" t="b">
        <f>IFERROR(__xludf.DUMMYFUNCTION("if(isblank(A62),,REGEXMATCH(B62,""^((D ?I|I ?D) ?\+ ?(U ?I|I ?U))|((U ?I|I ?U) ?\+ ?(D ?I|I ?D)) *$""))"),FALSE)</f>
        <v>0</v>
      </c>
      <c r="AD62" s="37" t="b">
        <f>IFERROR(__xludf.DUMMYFUNCTION("if(isblank(A62),,REGEXMATCH(B62,""^I *vs\. I *$""))"),FALSE)</f>
        <v>0</v>
      </c>
      <c r="AE62" s="37" t="b">
        <f>IFERROR(__xludf.DUMMYFUNCTION("if(isblank(A62),,REGEXMATCH(B62,""(^I *vs\. D *$)|(^D *vs\. I *$)""))"),FALSE)</f>
        <v>0</v>
      </c>
      <c r="AF62" s="37" t="b">
        <f>IFERROR(__xludf.DUMMYFUNCTION("if(isblank(A62),,REGEXMATCH(B62,""(^I *vs\. U *$)|(^U *vs\. I *$)""))"),FALSE)</f>
        <v>0</v>
      </c>
      <c r="AG62" s="37" t="b">
        <f>IFERROR(__xludf.DUMMYFUNCTION("if(isblank(A62),,REGEXMATCH(B62,""^D *vs\. D *$""))"),FALSE)</f>
        <v>0</v>
      </c>
      <c r="AH62" s="37" t="b">
        <f>IFERROR(__xludf.DUMMYFUNCTION("if(isblank(A62),,REGEXMATCH(B62,""(^U *vs\. D *$)|(^D *vs\. U *$)""))"),TRUE)</f>
        <v>1</v>
      </c>
      <c r="AI62" s="37" t="b">
        <f>IFERROR(__xludf.DUMMYFUNCTION("if(isblank(A62),,REGEXMATCH(B62,""^U *vs\. U *$""))"),FALSE)</f>
        <v>0</v>
      </c>
      <c r="AJ62" s="37" t="b">
        <f>IFERROR(__xludf.DUMMYFUNCTION("if(isblank(A62),,REGEXMATCH(B62,""^((I ?vs\. ?(D ?I|I ?D))|((D ?I|I ?D) ?vs\. ?I)) *$""))"),FALSE)</f>
        <v>0</v>
      </c>
      <c r="AK62" s="37" t="b">
        <f>IFERROR(__xludf.DUMMYFUNCTION("if(isblank(A62),,REGEXMATCH(B62,""^((D ?vs\. ?(D ?I|I ?D))|((D ?I|I ?D) ?vs\. ?D)) *$""))"),FALSE)</f>
        <v>0</v>
      </c>
      <c r="AL62" s="37" t="b">
        <f>IFERROR(__xludf.DUMMYFUNCTION("if(isblank(A62),,REGEXMATCH(B62,""^((U ?vs\. ?(D ?I|I ?D))|((D ?I|I ?D) ?vs\. ?U)) *$""))"),FALSE)</f>
        <v>0</v>
      </c>
      <c r="AM62" s="37" t="b">
        <f>IFERROR(__xludf.DUMMYFUNCTION("if(isblank(A62),,REGEXMATCH(B62,""^((I ?vs\. ?(U ?I|I ?U))|((U ?I|I ?U) ?vs\. ?I)) *$""))"),FALSE)</f>
        <v>0</v>
      </c>
      <c r="AN62" s="37" t="b">
        <f>IFERROR(__xludf.DUMMYFUNCTION("if(isblank(A62),,REGEXMATCH(B62,""^((D ?vs\. ?(U ?I|I ?U))|((U ?I|I ?U) ?vs\. ?D)) *$""))"),FALSE)</f>
        <v>0</v>
      </c>
      <c r="AO62" s="37" t="b">
        <f>IFERROR(__xludf.DUMMYFUNCTION("if(isblank(A62),,REGEXMATCH(B62,""^((U ?vs\. ?(U ?I|I ?U))|((U ?I|I ?U) ?vs\. ?U)) *$""))"),FALSE)</f>
        <v>0</v>
      </c>
      <c r="AP62" s="37" t="b">
        <f>IFERROR(__xludf.DUMMYFUNCTION("if(isblank(A62),,REGEXMATCH(B62,""^((I ?vs\. ?(U ?D|D ?U))|((D ?U|U ?D) ?vs\. ?I)) *$""))"),FALSE)</f>
        <v>0</v>
      </c>
      <c r="AQ62" s="37" t="b">
        <f>IFERROR(__xludf.DUMMYFUNCTION("if(isblank(A62),,REGEXMATCH(B62,""^((D ?vs\. ?(U ?D|D ?U))|((D ?U|U ?D) ?vs\. ?D)) *$""))"),FALSE)</f>
        <v>0</v>
      </c>
      <c r="AR62" s="37" t="b">
        <f>IFERROR(__xludf.DUMMYFUNCTION("if(isblank(A62),,REGEXMATCH(B62,""^((U ?vs\. ?(U ?D|D ?U))|((D ?U|U ?D) ?vs\. ?U)) *$""))"),FALSE)</f>
        <v>0</v>
      </c>
      <c r="AS62" s="37" t="b">
        <f>IFERROR(__xludf.DUMMYFUNCTION("if(isblank(A62),,REGEXMATCH(B62,""^((D ?I|I ?D) ?vs\. ?(D ?I|I ?D)) *$""))"),FALSE)</f>
        <v>0</v>
      </c>
      <c r="AT62" s="37" t="b">
        <f>IFERROR(__xludf.DUMMYFUNCTION("if(isblank(A62),,REGEXMATCH(B62,""^((D ?I|I ?D) ?vs\. ?(U ?I|I ?U))|((U ?I|I ?U) ?vs\. ?(D ?I|I ?D)) *$""))"),FALSE)</f>
        <v>0</v>
      </c>
      <c r="AU62" s="37" t="b">
        <f>IFERROR(__xludf.DUMMYFUNCTION("if(isblank(A62),,REGEXMATCH(B62,""^((D ?I|I ?D) ?vs\. ?(U ?D|D ?U))|((U ?D|D ?U) ?vs\. ?(D ?I|I ?D)) *$""))"),FALSE)</f>
        <v>0</v>
      </c>
      <c r="AV62" s="37" t="b">
        <f>IFERROR(__xludf.DUMMYFUNCTION("if(isblank(A62),,REGEXMATCH(B62,""^((U ?I|I ?U) ?vs\. ?(U ?I|I ?U)) *$""))"),FALSE)</f>
        <v>0</v>
      </c>
    </row>
    <row r="63" ht="26.25" customHeight="1">
      <c r="A63" s="79" t="str">
        <f>Paper_Textual_Conflict!M63</f>
        <v>I vs. I(JavaDoc)</v>
      </c>
      <c r="B63" s="37" t="str">
        <f>IFERROR(__xludf.DUMMYFUNCTION("if(isblank(A63),,regexextract(REGEXEXTRACT(A63,""^.*""),""^[^(]*""))"),"I vs. I")</f>
        <v>I vs. I</v>
      </c>
      <c r="C63" s="37" t="b">
        <f>IFERROR(__xludf.DUMMYFUNCTION("if(isblank(A63),,REGEXMATCH(B63,"".*\+.*"") )"),FALSE)</f>
        <v>0</v>
      </c>
      <c r="D63" s="37" t="b">
        <f>IFERROR(__xludf.DUMMYFUNCTION("if(isblank(A63),,REGEXMATCH(B63,"".*vs.*"") )"),TRUE)</f>
        <v>1</v>
      </c>
      <c r="E63" s="37" t="b">
        <f>Paper_Textual_Conflict!H63</f>
        <v>1</v>
      </c>
      <c r="F63" s="37" t="str">
        <f>Paper_Textual_Conflict!Q63</f>
        <v>Java</v>
      </c>
      <c r="G63" s="33">
        <v>63.0</v>
      </c>
      <c r="H63" s="37" t="b">
        <f>IFERROR(__xludf.DUMMYFUNCTION("if(isblank(A63),,REGEXMATCH(B63,""^I *\+ I *$""))"),FALSE)</f>
        <v>0</v>
      </c>
      <c r="I63" s="37" t="b">
        <f>IFERROR(__xludf.DUMMYFUNCTION("if(isblank(A63),,REGEXMATCH(B63,""(^I *\+ D *$)|(^D *\+ I *$)""))"),FALSE)</f>
        <v>0</v>
      </c>
      <c r="J63" s="37" t="b">
        <f>IFERROR(__xludf.DUMMYFUNCTION("if(isblank(A63),,REGEXMATCH(B63,""(^I *\+ U *$)|(^U *\+ I *$)""))"),FALSE)</f>
        <v>0</v>
      </c>
      <c r="K63" s="37" t="b">
        <f>IFERROR(__xludf.DUMMYFUNCTION("if(isblank(A63),,REGEXMATCH(B63,""(^I *\+ N *$)|(^N *\+ I *$)"") )"),FALSE)</f>
        <v>0</v>
      </c>
      <c r="L63" s="37" t="b">
        <f>IFERROR(__xludf.DUMMYFUNCTION("if(isblank(A63),,REGEXMATCH(B63,""^D *\+ D *$""))"),FALSE)</f>
        <v>0</v>
      </c>
      <c r="M63" s="37" t="b">
        <f>IFERROR(__xludf.DUMMYFUNCTION("if(isblank(A63),,REGEXMATCH(B63,""(^U *\+ D *$)|(^D *\+ U *$)""))"),FALSE)</f>
        <v>0</v>
      </c>
      <c r="N63" s="37" t="b">
        <f>IFERROR(__xludf.DUMMYFUNCTION("if(isblank(A63),,REGEXMATCH(B63,""(^N *\+ D *$)|(^D *\+ N *$)""))"),FALSE)</f>
        <v>0</v>
      </c>
      <c r="O63" s="37" t="b">
        <f>IFERROR(__xludf.DUMMYFUNCTION("if(isblank(A63),,REGEXMATCH(B63,""^U *\+ U *$""))"),FALSE)</f>
        <v>0</v>
      </c>
      <c r="P63" s="37" t="b">
        <f>IFERROR(__xludf.DUMMYFUNCTION("if(isblank(A63),,REGEXMATCH(B63,""(^U *\+ N *$)|(^N *\+ U *$)""))"),FALSE)</f>
        <v>0</v>
      </c>
      <c r="Q63" s="37" t="b">
        <f>IFERROR(__xludf.DUMMYFUNCTION("if(isblank(A63),,REGEXMATCH(B63,""^((I ?\+ ?(D ?I|I ?D))|((D ?I|I ?D) ?\+ ?I)) *$""))"),FALSE)</f>
        <v>0</v>
      </c>
      <c r="R63" s="37" t="b">
        <f>IFERROR(__xludf.DUMMYFUNCTION("if(isblank(A63),,REGEXMATCH(B63,""^((D ?\+ ?(D ?I|I ?D))|((D ?I|I ?D) ?\+ ?D)) *$""))"),FALSE)</f>
        <v>0</v>
      </c>
      <c r="S63" s="37" t="b">
        <f>IFERROR(__xludf.DUMMYFUNCTION("if(isblank(A63),,REGEXMATCH(B63,""^((U ?\+ ?(D ?I|I ?D))|((D ?I|I ?D) ?\+ ?U)) *$""))"),FALSE)</f>
        <v>0</v>
      </c>
      <c r="T63" s="37" t="b">
        <f>IFERROR(__xludf.DUMMYFUNCTION("if(isblank(A63),,REGEXMATCH(B63,""^((N ?\+ ?(D ?I|I ?D))|((D ?I|I ?D) ?\+ ?N)) *$""))"),FALSE)</f>
        <v>0</v>
      </c>
      <c r="U63" s="37" t="b">
        <f>IFERROR(__xludf.DUMMYFUNCTION("if(isblank(A63),,REGEXMATCH(B63,""^((I ?\+ ?(U ?I|I ?U))|((I ?U|U ?I) ?\+ ?I)) *$""))"),FALSE)</f>
        <v>0</v>
      </c>
      <c r="V63" s="37" t="b">
        <f>IFERROR(__xludf.DUMMYFUNCTION("if(isblank(A63),,REGEXMATCH(B63,""^((D ?\+ ?(U ?I|I ?U))|((I ?U|U ?I) ?\+ ?D)) *$""))"),FALSE)</f>
        <v>0</v>
      </c>
      <c r="W63" s="37" t="b">
        <f>IFERROR(__xludf.DUMMYFUNCTION("if(isblank(A63),,REGEXMATCH(B63,""^((U ?\+ ?(U ?I|I ?U))|((I ?U|U ?I) ?\+ ?U)) *$""))"),FALSE)</f>
        <v>0</v>
      </c>
      <c r="X63" s="37" t="b">
        <f>IFERROR(__xludf.DUMMYFUNCTION("if(isblank(A63),,REGEXMATCH(B63,""^((N ?\+ ?(U ?I|I ?U))|((I ?U|U ?I) ?\+ ?N)) *$""))"),FALSE)</f>
        <v>0</v>
      </c>
      <c r="Y63" s="37" t="b">
        <f>IFERROR(__xludf.DUMMYFUNCTION("if(isblank(A63),,REGEXMATCH(B63,""^((I ?\+ ?(U ?D|D ?U))|((D ?U|U ?D) ?\+ ?I)) *$""))"),FALSE)</f>
        <v>0</v>
      </c>
      <c r="Z63" s="37" t="b">
        <f>IFERROR(__xludf.DUMMYFUNCTION("if(isblank(A63),,REGEXMATCH(B63,""^((D ?\+ ?(U ?D|D ?U))|((D ?U|U ?D) ?\+ ?D)) *$""))"),FALSE)</f>
        <v>0</v>
      </c>
      <c r="AA63" s="37" t="b">
        <f>IFERROR(__xludf.DUMMYFUNCTION("if(isblank(A63),,REGEXMATCH(B63,""^((U ?\+ ?(U ?D|D ?U))|((D ?U|U ?D) ?\+ ?U)) *$""))"),FALSE)</f>
        <v>0</v>
      </c>
      <c r="AB63" s="37" t="b">
        <f>IFERROR(__xludf.DUMMYFUNCTION("if(isblank(A63),,REGEXMATCH(B63,""^((D ?I|I ?D) ?\+ ?(D ?I|I ?D)) *$""))"),FALSE)</f>
        <v>0</v>
      </c>
      <c r="AC63" s="37" t="b">
        <f>IFERROR(__xludf.DUMMYFUNCTION("if(isblank(A63),,REGEXMATCH(B63,""^((D ?I|I ?D) ?\+ ?(U ?I|I ?U))|((U ?I|I ?U) ?\+ ?(D ?I|I ?D)) *$""))"),FALSE)</f>
        <v>0</v>
      </c>
      <c r="AD63" s="37" t="b">
        <f>IFERROR(__xludf.DUMMYFUNCTION("if(isblank(A63),,REGEXMATCH(B63,""^I *vs\. I *$""))"),TRUE)</f>
        <v>1</v>
      </c>
      <c r="AE63" s="37" t="b">
        <f>IFERROR(__xludf.DUMMYFUNCTION("if(isblank(A63),,REGEXMATCH(B63,""(^I *vs\. D *$)|(^D *vs\. I *$)""))"),FALSE)</f>
        <v>0</v>
      </c>
      <c r="AF63" s="37" t="b">
        <f>IFERROR(__xludf.DUMMYFUNCTION("if(isblank(A63),,REGEXMATCH(B63,""(^I *vs\. U *$)|(^U *vs\. I *$)""))"),FALSE)</f>
        <v>0</v>
      </c>
      <c r="AG63" s="37" t="b">
        <f>IFERROR(__xludf.DUMMYFUNCTION("if(isblank(A63),,REGEXMATCH(B63,""^D *vs\. D *$""))"),FALSE)</f>
        <v>0</v>
      </c>
      <c r="AH63" s="37" t="b">
        <f>IFERROR(__xludf.DUMMYFUNCTION("if(isblank(A63),,REGEXMATCH(B63,""(^U *vs\. D *$)|(^D *vs\. U *$)""))"),FALSE)</f>
        <v>0</v>
      </c>
      <c r="AI63" s="37" t="b">
        <f>IFERROR(__xludf.DUMMYFUNCTION("if(isblank(A63),,REGEXMATCH(B63,""^U *vs\. U *$""))"),FALSE)</f>
        <v>0</v>
      </c>
      <c r="AJ63" s="37" t="b">
        <f>IFERROR(__xludf.DUMMYFUNCTION("if(isblank(A63),,REGEXMATCH(B63,""^((I ?vs\. ?(D ?I|I ?D))|((D ?I|I ?D) ?vs\. ?I)) *$""))"),FALSE)</f>
        <v>0</v>
      </c>
      <c r="AK63" s="37" t="b">
        <f>IFERROR(__xludf.DUMMYFUNCTION("if(isblank(A63),,REGEXMATCH(B63,""^((D ?vs\. ?(D ?I|I ?D))|((D ?I|I ?D) ?vs\. ?D)) *$""))"),FALSE)</f>
        <v>0</v>
      </c>
      <c r="AL63" s="37" t="b">
        <f>IFERROR(__xludf.DUMMYFUNCTION("if(isblank(A63),,REGEXMATCH(B63,""^((U ?vs\. ?(D ?I|I ?D))|((D ?I|I ?D) ?vs\. ?U)) *$""))"),FALSE)</f>
        <v>0</v>
      </c>
      <c r="AM63" s="37" t="b">
        <f>IFERROR(__xludf.DUMMYFUNCTION("if(isblank(A63),,REGEXMATCH(B63,""^((I ?vs\. ?(U ?I|I ?U))|((U ?I|I ?U) ?vs\. ?I)) *$""))"),FALSE)</f>
        <v>0</v>
      </c>
      <c r="AN63" s="37" t="b">
        <f>IFERROR(__xludf.DUMMYFUNCTION("if(isblank(A63),,REGEXMATCH(B63,""^((D ?vs\. ?(U ?I|I ?U))|((U ?I|I ?U) ?vs\. ?D)) *$""))"),FALSE)</f>
        <v>0</v>
      </c>
      <c r="AO63" s="37" t="b">
        <f>IFERROR(__xludf.DUMMYFUNCTION("if(isblank(A63),,REGEXMATCH(B63,""^((U ?vs\. ?(U ?I|I ?U))|((U ?I|I ?U) ?vs\. ?U)) *$""))"),FALSE)</f>
        <v>0</v>
      </c>
      <c r="AP63" s="37" t="b">
        <f>IFERROR(__xludf.DUMMYFUNCTION("if(isblank(A63),,REGEXMATCH(B63,""^((I ?vs\. ?(U ?D|D ?U))|((D ?U|U ?D) ?vs\. ?I)) *$""))"),FALSE)</f>
        <v>0</v>
      </c>
      <c r="AQ63" s="37" t="b">
        <f>IFERROR(__xludf.DUMMYFUNCTION("if(isblank(A63),,REGEXMATCH(B63,""^((D ?vs\. ?(U ?D|D ?U))|((D ?U|U ?D) ?vs\. ?D)) *$""))"),FALSE)</f>
        <v>0</v>
      </c>
      <c r="AR63" s="37" t="b">
        <f>IFERROR(__xludf.DUMMYFUNCTION("if(isblank(A63),,REGEXMATCH(B63,""^((U ?vs\. ?(U ?D|D ?U))|((D ?U|U ?D) ?vs\. ?U)) *$""))"),FALSE)</f>
        <v>0</v>
      </c>
      <c r="AS63" s="37" t="b">
        <f>IFERROR(__xludf.DUMMYFUNCTION("if(isblank(A63),,REGEXMATCH(B63,""^((D ?I|I ?D) ?vs\. ?(D ?I|I ?D)) *$""))"),FALSE)</f>
        <v>0</v>
      </c>
      <c r="AT63" s="37" t="b">
        <f>IFERROR(__xludf.DUMMYFUNCTION("if(isblank(A63),,REGEXMATCH(B63,""^((D ?I|I ?D) ?vs\. ?(U ?I|I ?U))|((U ?I|I ?U) ?vs\. ?(D ?I|I ?D)) *$""))"),FALSE)</f>
        <v>0</v>
      </c>
      <c r="AU63" s="37" t="b">
        <f>IFERROR(__xludf.DUMMYFUNCTION("if(isblank(A63),,REGEXMATCH(B63,""^((D ?I|I ?D) ?vs\. ?(U ?D|D ?U))|((U ?D|D ?U) ?vs\. ?(D ?I|I ?D)) *$""))"),FALSE)</f>
        <v>0</v>
      </c>
      <c r="AV63" s="37" t="b">
        <f>IFERROR(__xludf.DUMMYFUNCTION("if(isblank(A63),,REGEXMATCH(B63,""^((U ?I|I ?U) ?vs\. ?(U ?I|I ?U)) *$""))"),FALSE)</f>
        <v>0</v>
      </c>
    </row>
    <row r="64" ht="26.25" customHeight="1">
      <c r="A64" s="79" t="str">
        <f>Paper_Textual_Conflict!M64</f>
        <v>U vs. U (Java code)
left has a typo of "unknown"
right add a space in output</v>
      </c>
      <c r="B64" s="37" t="str">
        <f>IFERROR(__xludf.DUMMYFUNCTION("if(isblank(A64),,regexextract(REGEXEXTRACT(A64,""^.*""),""^[^(]*""))"),"U vs. U ")</f>
        <v>U vs. U </v>
      </c>
      <c r="C64" s="37" t="b">
        <f>IFERROR(__xludf.DUMMYFUNCTION("if(isblank(A64),,REGEXMATCH(B64,"".*\+.*"") )"),FALSE)</f>
        <v>0</v>
      </c>
      <c r="D64" s="37" t="b">
        <f>IFERROR(__xludf.DUMMYFUNCTION("if(isblank(A64),,REGEXMATCH(B64,"".*vs.*"") )"),TRUE)</f>
        <v>1</v>
      </c>
      <c r="E64" s="37" t="b">
        <f>Paper_Textual_Conflict!H64</f>
        <v>1</v>
      </c>
      <c r="F64" s="37" t="str">
        <f>Paper_Textual_Conflict!Q64</f>
        <v>Java</v>
      </c>
      <c r="G64" s="33">
        <v>64.0</v>
      </c>
      <c r="H64" s="37" t="b">
        <f>IFERROR(__xludf.DUMMYFUNCTION("if(isblank(A64),,REGEXMATCH(B64,""^I *\+ I *$""))"),FALSE)</f>
        <v>0</v>
      </c>
      <c r="I64" s="37" t="b">
        <f>IFERROR(__xludf.DUMMYFUNCTION("if(isblank(A64),,REGEXMATCH(B64,""(^I *\+ D *$)|(^D *\+ I *$)""))"),FALSE)</f>
        <v>0</v>
      </c>
      <c r="J64" s="37" t="b">
        <f>IFERROR(__xludf.DUMMYFUNCTION("if(isblank(A64),,REGEXMATCH(B64,""(^I *\+ U *$)|(^U *\+ I *$)""))"),FALSE)</f>
        <v>0</v>
      </c>
      <c r="K64" s="37" t="b">
        <f>IFERROR(__xludf.DUMMYFUNCTION("if(isblank(A64),,REGEXMATCH(B64,""(^I *\+ N *$)|(^N *\+ I *$)"") )"),FALSE)</f>
        <v>0</v>
      </c>
      <c r="L64" s="37" t="b">
        <f>IFERROR(__xludf.DUMMYFUNCTION("if(isblank(A64),,REGEXMATCH(B64,""^D *\+ D *$""))"),FALSE)</f>
        <v>0</v>
      </c>
      <c r="M64" s="37" t="b">
        <f>IFERROR(__xludf.DUMMYFUNCTION("if(isblank(A64),,REGEXMATCH(B64,""(^U *\+ D *$)|(^D *\+ U *$)""))"),FALSE)</f>
        <v>0</v>
      </c>
      <c r="N64" s="37" t="b">
        <f>IFERROR(__xludf.DUMMYFUNCTION("if(isblank(A64),,REGEXMATCH(B64,""(^N *\+ D *$)|(^D *\+ N *$)""))"),FALSE)</f>
        <v>0</v>
      </c>
      <c r="O64" s="37" t="b">
        <f>IFERROR(__xludf.DUMMYFUNCTION("if(isblank(A64),,REGEXMATCH(B64,""^U *\+ U *$""))"),FALSE)</f>
        <v>0</v>
      </c>
      <c r="P64" s="37" t="b">
        <f>IFERROR(__xludf.DUMMYFUNCTION("if(isblank(A64),,REGEXMATCH(B64,""(^U *\+ N *$)|(^N *\+ U *$)""))"),FALSE)</f>
        <v>0</v>
      </c>
      <c r="Q64" s="37" t="b">
        <f>IFERROR(__xludf.DUMMYFUNCTION("if(isblank(A64),,REGEXMATCH(B64,""^((I ?\+ ?(D ?I|I ?D))|((D ?I|I ?D) ?\+ ?I)) *$""))"),FALSE)</f>
        <v>0</v>
      </c>
      <c r="R64" s="37" t="b">
        <f>IFERROR(__xludf.DUMMYFUNCTION("if(isblank(A64),,REGEXMATCH(B64,""^((D ?\+ ?(D ?I|I ?D))|((D ?I|I ?D) ?\+ ?D)) *$""))"),FALSE)</f>
        <v>0</v>
      </c>
      <c r="S64" s="37" t="b">
        <f>IFERROR(__xludf.DUMMYFUNCTION("if(isblank(A64),,REGEXMATCH(B64,""^((U ?\+ ?(D ?I|I ?D))|((D ?I|I ?D) ?\+ ?U)) *$""))"),FALSE)</f>
        <v>0</v>
      </c>
      <c r="T64" s="37" t="b">
        <f>IFERROR(__xludf.DUMMYFUNCTION("if(isblank(A64),,REGEXMATCH(B64,""^((N ?\+ ?(D ?I|I ?D))|((D ?I|I ?D) ?\+ ?N)) *$""))"),FALSE)</f>
        <v>0</v>
      </c>
      <c r="U64" s="37" t="b">
        <f>IFERROR(__xludf.DUMMYFUNCTION("if(isblank(A64),,REGEXMATCH(B64,""^((I ?\+ ?(U ?I|I ?U))|((I ?U|U ?I) ?\+ ?I)) *$""))"),FALSE)</f>
        <v>0</v>
      </c>
      <c r="V64" s="37" t="b">
        <f>IFERROR(__xludf.DUMMYFUNCTION("if(isblank(A64),,REGEXMATCH(B64,""^((D ?\+ ?(U ?I|I ?U))|((I ?U|U ?I) ?\+ ?D)) *$""))"),FALSE)</f>
        <v>0</v>
      </c>
      <c r="W64" s="37" t="b">
        <f>IFERROR(__xludf.DUMMYFUNCTION("if(isblank(A64),,REGEXMATCH(B64,""^((U ?\+ ?(U ?I|I ?U))|((I ?U|U ?I) ?\+ ?U)) *$""))"),FALSE)</f>
        <v>0</v>
      </c>
      <c r="X64" s="37" t="b">
        <f>IFERROR(__xludf.DUMMYFUNCTION("if(isblank(A64),,REGEXMATCH(B64,""^((N ?\+ ?(U ?I|I ?U))|((I ?U|U ?I) ?\+ ?N)) *$""))"),FALSE)</f>
        <v>0</v>
      </c>
      <c r="Y64" s="37" t="b">
        <f>IFERROR(__xludf.DUMMYFUNCTION("if(isblank(A64),,REGEXMATCH(B64,""^((I ?\+ ?(U ?D|D ?U))|((D ?U|U ?D) ?\+ ?I)) *$""))"),FALSE)</f>
        <v>0</v>
      </c>
      <c r="Z64" s="37" t="b">
        <f>IFERROR(__xludf.DUMMYFUNCTION("if(isblank(A64),,REGEXMATCH(B64,""^((D ?\+ ?(U ?D|D ?U))|((D ?U|U ?D) ?\+ ?D)) *$""))"),FALSE)</f>
        <v>0</v>
      </c>
      <c r="AA64" s="37" t="b">
        <f>IFERROR(__xludf.DUMMYFUNCTION("if(isblank(A64),,REGEXMATCH(B64,""^((U ?\+ ?(U ?D|D ?U))|((D ?U|U ?D) ?\+ ?U)) *$""))"),FALSE)</f>
        <v>0</v>
      </c>
      <c r="AB64" s="37" t="b">
        <f>IFERROR(__xludf.DUMMYFUNCTION("if(isblank(A64),,REGEXMATCH(B64,""^((D ?I|I ?D) ?\+ ?(D ?I|I ?D)) *$""))"),FALSE)</f>
        <v>0</v>
      </c>
      <c r="AC64" s="37" t="b">
        <f>IFERROR(__xludf.DUMMYFUNCTION("if(isblank(A64),,REGEXMATCH(B64,""^((D ?I|I ?D) ?\+ ?(U ?I|I ?U))|((U ?I|I ?U) ?\+ ?(D ?I|I ?D)) *$""))"),FALSE)</f>
        <v>0</v>
      </c>
      <c r="AD64" s="37" t="b">
        <f>IFERROR(__xludf.DUMMYFUNCTION("if(isblank(A64),,REGEXMATCH(B64,""^I *vs\. I *$""))"),FALSE)</f>
        <v>0</v>
      </c>
      <c r="AE64" s="37" t="b">
        <f>IFERROR(__xludf.DUMMYFUNCTION("if(isblank(A64),,REGEXMATCH(B64,""(^I *vs\. D *$)|(^D *vs\. I *$)""))"),FALSE)</f>
        <v>0</v>
      </c>
      <c r="AF64" s="37" t="b">
        <f>IFERROR(__xludf.DUMMYFUNCTION("if(isblank(A64),,REGEXMATCH(B64,""(^I *vs\. U *$)|(^U *vs\. I *$)""))"),FALSE)</f>
        <v>0</v>
      </c>
      <c r="AG64" s="37" t="b">
        <f>IFERROR(__xludf.DUMMYFUNCTION("if(isblank(A64),,REGEXMATCH(B64,""^D *vs\. D *$""))"),FALSE)</f>
        <v>0</v>
      </c>
      <c r="AH64" s="37" t="b">
        <f>IFERROR(__xludf.DUMMYFUNCTION("if(isblank(A64),,REGEXMATCH(B64,""(^U *vs\. D *$)|(^D *vs\. U *$)""))"),FALSE)</f>
        <v>0</v>
      </c>
      <c r="AI64" s="37" t="b">
        <f>IFERROR(__xludf.DUMMYFUNCTION("if(isblank(A64),,REGEXMATCH(B64,""^U *vs\. U *$""))"),TRUE)</f>
        <v>1</v>
      </c>
      <c r="AJ64" s="37" t="b">
        <f>IFERROR(__xludf.DUMMYFUNCTION("if(isblank(A64),,REGEXMATCH(B64,""^((I ?vs\. ?(D ?I|I ?D))|((D ?I|I ?D) ?vs\. ?I)) *$""))"),FALSE)</f>
        <v>0</v>
      </c>
      <c r="AK64" s="37" t="b">
        <f>IFERROR(__xludf.DUMMYFUNCTION("if(isblank(A64),,REGEXMATCH(B64,""^((D ?vs\. ?(D ?I|I ?D))|((D ?I|I ?D) ?vs\. ?D)) *$""))"),FALSE)</f>
        <v>0</v>
      </c>
      <c r="AL64" s="37" t="b">
        <f>IFERROR(__xludf.DUMMYFUNCTION("if(isblank(A64),,REGEXMATCH(B64,""^((U ?vs\. ?(D ?I|I ?D))|((D ?I|I ?D) ?vs\. ?U)) *$""))"),FALSE)</f>
        <v>0</v>
      </c>
      <c r="AM64" s="37" t="b">
        <f>IFERROR(__xludf.DUMMYFUNCTION("if(isblank(A64),,REGEXMATCH(B64,""^((I ?vs\. ?(U ?I|I ?U))|((U ?I|I ?U) ?vs\. ?I)) *$""))"),FALSE)</f>
        <v>0</v>
      </c>
      <c r="AN64" s="37" t="b">
        <f>IFERROR(__xludf.DUMMYFUNCTION("if(isblank(A64),,REGEXMATCH(B64,""^((D ?vs\. ?(U ?I|I ?U))|((U ?I|I ?U) ?vs\. ?D)) *$""))"),FALSE)</f>
        <v>0</v>
      </c>
      <c r="AO64" s="37" t="b">
        <f>IFERROR(__xludf.DUMMYFUNCTION("if(isblank(A64),,REGEXMATCH(B64,""^((U ?vs\. ?(U ?I|I ?U))|((U ?I|I ?U) ?vs\. ?U)) *$""))"),FALSE)</f>
        <v>0</v>
      </c>
      <c r="AP64" s="37" t="b">
        <f>IFERROR(__xludf.DUMMYFUNCTION("if(isblank(A64),,REGEXMATCH(B64,""^((I ?vs\. ?(U ?D|D ?U))|((D ?U|U ?D) ?vs\. ?I)) *$""))"),FALSE)</f>
        <v>0</v>
      </c>
      <c r="AQ64" s="37" t="b">
        <f>IFERROR(__xludf.DUMMYFUNCTION("if(isblank(A64),,REGEXMATCH(B64,""^((D ?vs\. ?(U ?D|D ?U))|((D ?U|U ?D) ?vs\. ?D)) *$""))"),FALSE)</f>
        <v>0</v>
      </c>
      <c r="AR64" s="37" t="b">
        <f>IFERROR(__xludf.DUMMYFUNCTION("if(isblank(A64),,REGEXMATCH(B64,""^((U ?vs\. ?(U ?D|D ?U))|((D ?U|U ?D) ?vs\. ?U)) *$""))"),FALSE)</f>
        <v>0</v>
      </c>
      <c r="AS64" s="37" t="b">
        <f>IFERROR(__xludf.DUMMYFUNCTION("if(isblank(A64),,REGEXMATCH(B64,""^((D ?I|I ?D) ?vs\. ?(D ?I|I ?D)) *$""))"),FALSE)</f>
        <v>0</v>
      </c>
      <c r="AT64" s="37" t="b">
        <f>IFERROR(__xludf.DUMMYFUNCTION("if(isblank(A64),,REGEXMATCH(B64,""^((D ?I|I ?D) ?vs\. ?(U ?I|I ?U))|((U ?I|I ?U) ?vs\. ?(D ?I|I ?D)) *$""))"),FALSE)</f>
        <v>0</v>
      </c>
      <c r="AU64" s="37" t="b">
        <f>IFERROR(__xludf.DUMMYFUNCTION("if(isblank(A64),,REGEXMATCH(B64,""^((D ?I|I ?D) ?vs\. ?(U ?D|D ?U))|((U ?D|D ?U) ?vs\. ?(D ?I|I ?D)) *$""))"),FALSE)</f>
        <v>0</v>
      </c>
      <c r="AV64" s="37" t="b">
        <f>IFERROR(__xludf.DUMMYFUNCTION("if(isblank(A64),,REGEXMATCH(B64,""^((U ?I|I ?U) ?vs\. ?(U ?I|I ?U)) *$""))"),FALSE)</f>
        <v>0</v>
      </c>
    </row>
    <row r="65" ht="26.25" customHeight="1">
      <c r="A65" s="79" t="str">
        <f>Paper_Textual_Conflict!M65</f>
        <v>U vs. D (jar)</v>
      </c>
      <c r="B65" s="37" t="str">
        <f>IFERROR(__xludf.DUMMYFUNCTION("if(isblank(A65),,regexextract(REGEXEXTRACT(A65,""^.*""),""^[^(]*""))"),"U vs. D ")</f>
        <v>U vs. D </v>
      </c>
      <c r="C65" s="37" t="b">
        <f>IFERROR(__xludf.DUMMYFUNCTION("if(isblank(A65),,REGEXMATCH(B65,"".*\+.*"") )"),FALSE)</f>
        <v>0</v>
      </c>
      <c r="D65" s="37" t="b">
        <f>IFERROR(__xludf.DUMMYFUNCTION("if(isblank(A65),,REGEXMATCH(B65,"".*vs.*"") )"),TRUE)</f>
        <v>1</v>
      </c>
      <c r="E65" s="37" t="b">
        <f>Paper_Textual_Conflict!H65</f>
        <v>1</v>
      </c>
      <c r="F65" s="37" t="str">
        <f>Paper_Textual_Conflict!Q65</f>
        <v>Non-Java</v>
      </c>
      <c r="G65" s="33">
        <v>65.0</v>
      </c>
      <c r="H65" s="37" t="b">
        <f>IFERROR(__xludf.DUMMYFUNCTION("if(isblank(A65),,REGEXMATCH(B65,""^I *\+ I *$""))"),FALSE)</f>
        <v>0</v>
      </c>
      <c r="I65" s="37" t="b">
        <f>IFERROR(__xludf.DUMMYFUNCTION("if(isblank(A65),,REGEXMATCH(B65,""(^I *\+ D *$)|(^D *\+ I *$)""))"),FALSE)</f>
        <v>0</v>
      </c>
      <c r="J65" s="37" t="b">
        <f>IFERROR(__xludf.DUMMYFUNCTION("if(isblank(A65),,REGEXMATCH(B65,""(^I *\+ U *$)|(^U *\+ I *$)""))"),FALSE)</f>
        <v>0</v>
      </c>
      <c r="K65" s="37" t="b">
        <f>IFERROR(__xludf.DUMMYFUNCTION("if(isblank(A65),,REGEXMATCH(B65,""(^I *\+ N *$)|(^N *\+ I *$)"") )"),FALSE)</f>
        <v>0</v>
      </c>
      <c r="L65" s="37" t="b">
        <f>IFERROR(__xludf.DUMMYFUNCTION("if(isblank(A65),,REGEXMATCH(B65,""^D *\+ D *$""))"),FALSE)</f>
        <v>0</v>
      </c>
      <c r="M65" s="37" t="b">
        <f>IFERROR(__xludf.DUMMYFUNCTION("if(isblank(A65),,REGEXMATCH(B65,""(^U *\+ D *$)|(^D *\+ U *$)""))"),FALSE)</f>
        <v>0</v>
      </c>
      <c r="N65" s="37" t="b">
        <f>IFERROR(__xludf.DUMMYFUNCTION("if(isblank(A65),,REGEXMATCH(B65,""(^N *\+ D *$)|(^D *\+ N *$)""))"),FALSE)</f>
        <v>0</v>
      </c>
      <c r="O65" s="37" t="b">
        <f>IFERROR(__xludf.DUMMYFUNCTION("if(isblank(A65),,REGEXMATCH(B65,""^U *\+ U *$""))"),FALSE)</f>
        <v>0</v>
      </c>
      <c r="P65" s="37" t="b">
        <f>IFERROR(__xludf.DUMMYFUNCTION("if(isblank(A65),,REGEXMATCH(B65,""(^U *\+ N *$)|(^N *\+ U *$)""))"),FALSE)</f>
        <v>0</v>
      </c>
      <c r="Q65" s="37" t="b">
        <f>IFERROR(__xludf.DUMMYFUNCTION("if(isblank(A65),,REGEXMATCH(B65,""^((I ?\+ ?(D ?I|I ?D))|((D ?I|I ?D) ?\+ ?I)) *$""))"),FALSE)</f>
        <v>0</v>
      </c>
      <c r="R65" s="37" t="b">
        <f>IFERROR(__xludf.DUMMYFUNCTION("if(isblank(A65),,REGEXMATCH(B65,""^((D ?\+ ?(D ?I|I ?D))|((D ?I|I ?D) ?\+ ?D)) *$""))"),FALSE)</f>
        <v>0</v>
      </c>
      <c r="S65" s="37" t="b">
        <f>IFERROR(__xludf.DUMMYFUNCTION("if(isblank(A65),,REGEXMATCH(B65,""^((U ?\+ ?(D ?I|I ?D))|((D ?I|I ?D) ?\+ ?U)) *$""))"),FALSE)</f>
        <v>0</v>
      </c>
      <c r="T65" s="37" t="b">
        <f>IFERROR(__xludf.DUMMYFUNCTION("if(isblank(A65),,REGEXMATCH(B65,""^((N ?\+ ?(D ?I|I ?D))|((D ?I|I ?D) ?\+ ?N)) *$""))"),FALSE)</f>
        <v>0</v>
      </c>
      <c r="U65" s="37" t="b">
        <f>IFERROR(__xludf.DUMMYFUNCTION("if(isblank(A65),,REGEXMATCH(B65,""^((I ?\+ ?(U ?I|I ?U))|((I ?U|U ?I) ?\+ ?I)) *$""))"),FALSE)</f>
        <v>0</v>
      </c>
      <c r="V65" s="37" t="b">
        <f>IFERROR(__xludf.DUMMYFUNCTION("if(isblank(A65),,REGEXMATCH(B65,""^((D ?\+ ?(U ?I|I ?U))|((I ?U|U ?I) ?\+ ?D)) *$""))"),FALSE)</f>
        <v>0</v>
      </c>
      <c r="W65" s="37" t="b">
        <f>IFERROR(__xludf.DUMMYFUNCTION("if(isblank(A65),,REGEXMATCH(B65,""^((U ?\+ ?(U ?I|I ?U))|((I ?U|U ?I) ?\+ ?U)) *$""))"),FALSE)</f>
        <v>0</v>
      </c>
      <c r="X65" s="37" t="b">
        <f>IFERROR(__xludf.DUMMYFUNCTION("if(isblank(A65),,REGEXMATCH(B65,""^((N ?\+ ?(U ?I|I ?U))|((I ?U|U ?I) ?\+ ?N)) *$""))"),FALSE)</f>
        <v>0</v>
      </c>
      <c r="Y65" s="37" t="b">
        <f>IFERROR(__xludf.DUMMYFUNCTION("if(isblank(A65),,REGEXMATCH(B65,""^((I ?\+ ?(U ?D|D ?U))|((D ?U|U ?D) ?\+ ?I)) *$""))"),FALSE)</f>
        <v>0</v>
      </c>
      <c r="Z65" s="37" t="b">
        <f>IFERROR(__xludf.DUMMYFUNCTION("if(isblank(A65),,REGEXMATCH(B65,""^((D ?\+ ?(U ?D|D ?U))|((D ?U|U ?D) ?\+ ?D)) *$""))"),FALSE)</f>
        <v>0</v>
      </c>
      <c r="AA65" s="37" t="b">
        <f>IFERROR(__xludf.DUMMYFUNCTION("if(isblank(A65),,REGEXMATCH(B65,""^((U ?\+ ?(U ?D|D ?U))|((D ?U|U ?D) ?\+ ?U)) *$""))"),FALSE)</f>
        <v>0</v>
      </c>
      <c r="AB65" s="37" t="b">
        <f>IFERROR(__xludf.DUMMYFUNCTION("if(isblank(A65),,REGEXMATCH(B65,""^((D ?I|I ?D) ?\+ ?(D ?I|I ?D)) *$""))"),FALSE)</f>
        <v>0</v>
      </c>
      <c r="AC65" s="37" t="b">
        <f>IFERROR(__xludf.DUMMYFUNCTION("if(isblank(A65),,REGEXMATCH(B65,""^((D ?I|I ?D) ?\+ ?(U ?I|I ?U))|((U ?I|I ?U) ?\+ ?(D ?I|I ?D)) *$""))"),FALSE)</f>
        <v>0</v>
      </c>
      <c r="AD65" s="37" t="b">
        <f>IFERROR(__xludf.DUMMYFUNCTION("if(isblank(A65),,REGEXMATCH(B65,""^I *vs\. I *$""))"),FALSE)</f>
        <v>0</v>
      </c>
      <c r="AE65" s="37" t="b">
        <f>IFERROR(__xludf.DUMMYFUNCTION("if(isblank(A65),,REGEXMATCH(B65,""(^I *vs\. D *$)|(^D *vs\. I *$)""))"),FALSE)</f>
        <v>0</v>
      </c>
      <c r="AF65" s="37" t="b">
        <f>IFERROR(__xludf.DUMMYFUNCTION("if(isblank(A65),,REGEXMATCH(B65,""(^I *vs\. U *$)|(^U *vs\. I *$)""))"),FALSE)</f>
        <v>0</v>
      </c>
      <c r="AG65" s="37" t="b">
        <f>IFERROR(__xludf.DUMMYFUNCTION("if(isblank(A65),,REGEXMATCH(B65,""^D *vs\. D *$""))"),FALSE)</f>
        <v>0</v>
      </c>
      <c r="AH65" s="37" t="b">
        <f>IFERROR(__xludf.DUMMYFUNCTION("if(isblank(A65),,REGEXMATCH(B65,""(^U *vs\. D *$)|(^D *vs\. U *$)""))"),TRUE)</f>
        <v>1</v>
      </c>
      <c r="AI65" s="37" t="b">
        <f>IFERROR(__xludf.DUMMYFUNCTION("if(isblank(A65),,REGEXMATCH(B65,""^U *vs\. U *$""))"),FALSE)</f>
        <v>0</v>
      </c>
      <c r="AJ65" s="37" t="b">
        <f>IFERROR(__xludf.DUMMYFUNCTION("if(isblank(A65),,REGEXMATCH(B65,""^((I ?vs\. ?(D ?I|I ?D))|((D ?I|I ?D) ?vs\. ?I)) *$""))"),FALSE)</f>
        <v>0</v>
      </c>
      <c r="AK65" s="37" t="b">
        <f>IFERROR(__xludf.DUMMYFUNCTION("if(isblank(A65),,REGEXMATCH(B65,""^((D ?vs\. ?(D ?I|I ?D))|((D ?I|I ?D) ?vs\. ?D)) *$""))"),FALSE)</f>
        <v>0</v>
      </c>
      <c r="AL65" s="37" t="b">
        <f>IFERROR(__xludf.DUMMYFUNCTION("if(isblank(A65),,REGEXMATCH(B65,""^((U ?vs\. ?(D ?I|I ?D))|((D ?I|I ?D) ?vs\. ?U)) *$""))"),FALSE)</f>
        <v>0</v>
      </c>
      <c r="AM65" s="37" t="b">
        <f>IFERROR(__xludf.DUMMYFUNCTION("if(isblank(A65),,REGEXMATCH(B65,""^((I ?vs\. ?(U ?I|I ?U))|((U ?I|I ?U) ?vs\. ?I)) *$""))"),FALSE)</f>
        <v>0</v>
      </c>
      <c r="AN65" s="37" t="b">
        <f>IFERROR(__xludf.DUMMYFUNCTION("if(isblank(A65),,REGEXMATCH(B65,""^((D ?vs\. ?(U ?I|I ?U))|((U ?I|I ?U) ?vs\. ?D)) *$""))"),FALSE)</f>
        <v>0</v>
      </c>
      <c r="AO65" s="37" t="b">
        <f>IFERROR(__xludf.DUMMYFUNCTION("if(isblank(A65),,REGEXMATCH(B65,""^((U ?vs\. ?(U ?I|I ?U))|((U ?I|I ?U) ?vs\. ?U)) *$""))"),FALSE)</f>
        <v>0</v>
      </c>
      <c r="AP65" s="37" t="b">
        <f>IFERROR(__xludf.DUMMYFUNCTION("if(isblank(A65),,REGEXMATCH(B65,""^((I ?vs\. ?(U ?D|D ?U))|((D ?U|U ?D) ?vs\. ?I)) *$""))"),FALSE)</f>
        <v>0</v>
      </c>
      <c r="AQ65" s="37" t="b">
        <f>IFERROR(__xludf.DUMMYFUNCTION("if(isblank(A65),,REGEXMATCH(B65,""^((D ?vs\. ?(U ?D|D ?U))|((D ?U|U ?D) ?vs\. ?D)) *$""))"),FALSE)</f>
        <v>0</v>
      </c>
      <c r="AR65" s="37" t="b">
        <f>IFERROR(__xludf.DUMMYFUNCTION("if(isblank(A65),,REGEXMATCH(B65,""^((U ?vs\. ?(U ?D|D ?U))|((D ?U|U ?D) ?vs\. ?U)) *$""))"),FALSE)</f>
        <v>0</v>
      </c>
      <c r="AS65" s="37" t="b">
        <f>IFERROR(__xludf.DUMMYFUNCTION("if(isblank(A65),,REGEXMATCH(B65,""^((D ?I|I ?D) ?vs\. ?(D ?I|I ?D)) *$""))"),FALSE)</f>
        <v>0</v>
      </c>
      <c r="AT65" s="37" t="b">
        <f>IFERROR(__xludf.DUMMYFUNCTION("if(isblank(A65),,REGEXMATCH(B65,""^((D ?I|I ?D) ?vs\. ?(U ?I|I ?U))|((U ?I|I ?U) ?vs\. ?(D ?I|I ?D)) *$""))"),FALSE)</f>
        <v>0</v>
      </c>
      <c r="AU65" s="37" t="b">
        <f>IFERROR(__xludf.DUMMYFUNCTION("if(isblank(A65),,REGEXMATCH(B65,""^((D ?I|I ?D) ?vs\. ?(U ?D|D ?U))|((U ?D|D ?U) ?vs\. ?(D ?I|I ?D)) *$""))"),FALSE)</f>
        <v>0</v>
      </c>
      <c r="AV65" s="37" t="b">
        <f>IFERROR(__xludf.DUMMYFUNCTION("if(isblank(A65),,REGEXMATCH(B65,""^((U ?I|I ?U) ?vs\. ?(U ?I|I ?U)) *$""))"),FALSE)</f>
        <v>0</v>
      </c>
    </row>
    <row r="66" ht="26.25" customHeight="1">
      <c r="A66" s="79" t="str">
        <f>Paper_Textual_Conflict!M66</f>
        <v>U vs. D (file)</v>
      </c>
      <c r="B66" s="37" t="str">
        <f>IFERROR(__xludf.DUMMYFUNCTION("if(isblank(A66),,regexextract(REGEXEXTRACT(A66,""^.*""),""^[^(]*""))"),"U vs. D ")</f>
        <v>U vs. D </v>
      </c>
      <c r="C66" s="37" t="b">
        <f>IFERROR(__xludf.DUMMYFUNCTION("if(isblank(A66),,REGEXMATCH(B66,"".*\+.*"") )"),FALSE)</f>
        <v>0</v>
      </c>
      <c r="D66" s="37" t="b">
        <f>IFERROR(__xludf.DUMMYFUNCTION("if(isblank(A66),,REGEXMATCH(B66,"".*vs.*"") )"),TRUE)</f>
        <v>1</v>
      </c>
      <c r="E66" s="37" t="b">
        <f>Paper_Textual_Conflict!H66</f>
        <v>1</v>
      </c>
      <c r="F66" s="37" t="str">
        <f>Paper_Textual_Conflict!Q66</f>
        <v>Java</v>
      </c>
      <c r="G66" s="33">
        <v>66.0</v>
      </c>
      <c r="H66" s="37" t="b">
        <f>IFERROR(__xludf.DUMMYFUNCTION("if(isblank(A66),,REGEXMATCH(B66,""^I *\+ I *$""))"),FALSE)</f>
        <v>0</v>
      </c>
      <c r="I66" s="37" t="b">
        <f>IFERROR(__xludf.DUMMYFUNCTION("if(isblank(A66),,REGEXMATCH(B66,""(^I *\+ D *$)|(^D *\+ I *$)""))"),FALSE)</f>
        <v>0</v>
      </c>
      <c r="J66" s="37" t="b">
        <f>IFERROR(__xludf.DUMMYFUNCTION("if(isblank(A66),,REGEXMATCH(B66,""(^I *\+ U *$)|(^U *\+ I *$)""))"),FALSE)</f>
        <v>0</v>
      </c>
      <c r="K66" s="37" t="b">
        <f>IFERROR(__xludf.DUMMYFUNCTION("if(isblank(A66),,REGEXMATCH(B66,""(^I *\+ N *$)|(^N *\+ I *$)"") )"),FALSE)</f>
        <v>0</v>
      </c>
      <c r="L66" s="37" t="b">
        <f>IFERROR(__xludf.DUMMYFUNCTION("if(isblank(A66),,REGEXMATCH(B66,""^D *\+ D *$""))"),FALSE)</f>
        <v>0</v>
      </c>
      <c r="M66" s="37" t="b">
        <f>IFERROR(__xludf.DUMMYFUNCTION("if(isblank(A66),,REGEXMATCH(B66,""(^U *\+ D *$)|(^D *\+ U *$)""))"),FALSE)</f>
        <v>0</v>
      </c>
      <c r="N66" s="37" t="b">
        <f>IFERROR(__xludf.DUMMYFUNCTION("if(isblank(A66),,REGEXMATCH(B66,""(^N *\+ D *$)|(^D *\+ N *$)""))"),FALSE)</f>
        <v>0</v>
      </c>
      <c r="O66" s="37" t="b">
        <f>IFERROR(__xludf.DUMMYFUNCTION("if(isblank(A66),,REGEXMATCH(B66,""^U *\+ U *$""))"),FALSE)</f>
        <v>0</v>
      </c>
      <c r="P66" s="37" t="b">
        <f>IFERROR(__xludf.DUMMYFUNCTION("if(isblank(A66),,REGEXMATCH(B66,""(^U *\+ N *$)|(^N *\+ U *$)""))"),FALSE)</f>
        <v>0</v>
      </c>
      <c r="Q66" s="37" t="b">
        <f>IFERROR(__xludf.DUMMYFUNCTION("if(isblank(A66),,REGEXMATCH(B66,""^((I ?\+ ?(D ?I|I ?D))|((D ?I|I ?D) ?\+ ?I)) *$""))"),FALSE)</f>
        <v>0</v>
      </c>
      <c r="R66" s="37" t="b">
        <f>IFERROR(__xludf.DUMMYFUNCTION("if(isblank(A66),,REGEXMATCH(B66,""^((D ?\+ ?(D ?I|I ?D))|((D ?I|I ?D) ?\+ ?D)) *$""))"),FALSE)</f>
        <v>0</v>
      </c>
      <c r="S66" s="37" t="b">
        <f>IFERROR(__xludf.DUMMYFUNCTION("if(isblank(A66),,REGEXMATCH(B66,""^((U ?\+ ?(D ?I|I ?D))|((D ?I|I ?D) ?\+ ?U)) *$""))"),FALSE)</f>
        <v>0</v>
      </c>
      <c r="T66" s="37" t="b">
        <f>IFERROR(__xludf.DUMMYFUNCTION("if(isblank(A66),,REGEXMATCH(B66,""^((N ?\+ ?(D ?I|I ?D))|((D ?I|I ?D) ?\+ ?N)) *$""))"),FALSE)</f>
        <v>0</v>
      </c>
      <c r="U66" s="37" t="b">
        <f>IFERROR(__xludf.DUMMYFUNCTION("if(isblank(A66),,REGEXMATCH(B66,""^((I ?\+ ?(U ?I|I ?U))|((I ?U|U ?I) ?\+ ?I)) *$""))"),FALSE)</f>
        <v>0</v>
      </c>
      <c r="V66" s="37" t="b">
        <f>IFERROR(__xludf.DUMMYFUNCTION("if(isblank(A66),,REGEXMATCH(B66,""^((D ?\+ ?(U ?I|I ?U))|((I ?U|U ?I) ?\+ ?D)) *$""))"),FALSE)</f>
        <v>0</v>
      </c>
      <c r="W66" s="37" t="b">
        <f>IFERROR(__xludf.DUMMYFUNCTION("if(isblank(A66),,REGEXMATCH(B66,""^((U ?\+ ?(U ?I|I ?U))|((I ?U|U ?I) ?\+ ?U)) *$""))"),FALSE)</f>
        <v>0</v>
      </c>
      <c r="X66" s="37" t="b">
        <f>IFERROR(__xludf.DUMMYFUNCTION("if(isblank(A66),,REGEXMATCH(B66,""^((N ?\+ ?(U ?I|I ?U))|((I ?U|U ?I) ?\+ ?N)) *$""))"),FALSE)</f>
        <v>0</v>
      </c>
      <c r="Y66" s="37" t="b">
        <f>IFERROR(__xludf.DUMMYFUNCTION("if(isblank(A66),,REGEXMATCH(B66,""^((I ?\+ ?(U ?D|D ?U))|((D ?U|U ?D) ?\+ ?I)) *$""))"),FALSE)</f>
        <v>0</v>
      </c>
      <c r="Z66" s="37" t="b">
        <f>IFERROR(__xludf.DUMMYFUNCTION("if(isblank(A66),,REGEXMATCH(B66,""^((D ?\+ ?(U ?D|D ?U))|((D ?U|U ?D) ?\+ ?D)) *$""))"),FALSE)</f>
        <v>0</v>
      </c>
      <c r="AA66" s="37" t="b">
        <f>IFERROR(__xludf.DUMMYFUNCTION("if(isblank(A66),,REGEXMATCH(B66,""^((U ?\+ ?(U ?D|D ?U))|((D ?U|U ?D) ?\+ ?U)) *$""))"),FALSE)</f>
        <v>0</v>
      </c>
      <c r="AB66" s="37" t="b">
        <f>IFERROR(__xludf.DUMMYFUNCTION("if(isblank(A66),,REGEXMATCH(B66,""^((D ?I|I ?D) ?\+ ?(D ?I|I ?D)) *$""))"),FALSE)</f>
        <v>0</v>
      </c>
      <c r="AC66" s="37" t="b">
        <f>IFERROR(__xludf.DUMMYFUNCTION("if(isblank(A66),,REGEXMATCH(B66,""^((D ?I|I ?D) ?\+ ?(U ?I|I ?U))|((U ?I|I ?U) ?\+ ?(D ?I|I ?D)) *$""))"),FALSE)</f>
        <v>0</v>
      </c>
      <c r="AD66" s="37" t="b">
        <f>IFERROR(__xludf.DUMMYFUNCTION("if(isblank(A66),,REGEXMATCH(B66,""^I *vs\. I *$""))"),FALSE)</f>
        <v>0</v>
      </c>
      <c r="AE66" s="37" t="b">
        <f>IFERROR(__xludf.DUMMYFUNCTION("if(isblank(A66),,REGEXMATCH(B66,""(^I *vs\. D *$)|(^D *vs\. I *$)""))"),FALSE)</f>
        <v>0</v>
      </c>
      <c r="AF66" s="37" t="b">
        <f>IFERROR(__xludf.DUMMYFUNCTION("if(isblank(A66),,REGEXMATCH(B66,""(^I *vs\. U *$)|(^U *vs\. I *$)""))"),FALSE)</f>
        <v>0</v>
      </c>
      <c r="AG66" s="37" t="b">
        <f>IFERROR(__xludf.DUMMYFUNCTION("if(isblank(A66),,REGEXMATCH(B66,""^D *vs\. D *$""))"),FALSE)</f>
        <v>0</v>
      </c>
      <c r="AH66" s="37" t="b">
        <f>IFERROR(__xludf.DUMMYFUNCTION("if(isblank(A66),,REGEXMATCH(B66,""(^U *vs\. D *$)|(^D *vs\. U *$)""))"),TRUE)</f>
        <v>1</v>
      </c>
      <c r="AI66" s="37" t="b">
        <f>IFERROR(__xludf.DUMMYFUNCTION("if(isblank(A66),,REGEXMATCH(B66,""^U *vs\. U *$""))"),FALSE)</f>
        <v>0</v>
      </c>
      <c r="AJ66" s="37" t="b">
        <f>IFERROR(__xludf.DUMMYFUNCTION("if(isblank(A66),,REGEXMATCH(B66,""^((I ?vs\. ?(D ?I|I ?D))|((D ?I|I ?D) ?vs\. ?I)) *$""))"),FALSE)</f>
        <v>0</v>
      </c>
      <c r="AK66" s="37" t="b">
        <f>IFERROR(__xludf.DUMMYFUNCTION("if(isblank(A66),,REGEXMATCH(B66,""^((D ?vs\. ?(D ?I|I ?D))|((D ?I|I ?D) ?vs\. ?D)) *$""))"),FALSE)</f>
        <v>0</v>
      </c>
      <c r="AL66" s="37" t="b">
        <f>IFERROR(__xludf.DUMMYFUNCTION("if(isblank(A66),,REGEXMATCH(B66,""^((U ?vs\. ?(D ?I|I ?D))|((D ?I|I ?D) ?vs\. ?U)) *$""))"),FALSE)</f>
        <v>0</v>
      </c>
      <c r="AM66" s="37" t="b">
        <f>IFERROR(__xludf.DUMMYFUNCTION("if(isblank(A66),,REGEXMATCH(B66,""^((I ?vs\. ?(U ?I|I ?U))|((U ?I|I ?U) ?vs\. ?I)) *$""))"),FALSE)</f>
        <v>0</v>
      </c>
      <c r="AN66" s="37" t="b">
        <f>IFERROR(__xludf.DUMMYFUNCTION("if(isblank(A66),,REGEXMATCH(B66,""^((D ?vs\. ?(U ?I|I ?U))|((U ?I|I ?U) ?vs\. ?D)) *$""))"),FALSE)</f>
        <v>0</v>
      </c>
      <c r="AO66" s="37" t="b">
        <f>IFERROR(__xludf.DUMMYFUNCTION("if(isblank(A66),,REGEXMATCH(B66,""^((U ?vs\. ?(U ?I|I ?U))|((U ?I|I ?U) ?vs\. ?U)) *$""))"),FALSE)</f>
        <v>0</v>
      </c>
      <c r="AP66" s="37" t="b">
        <f>IFERROR(__xludf.DUMMYFUNCTION("if(isblank(A66),,REGEXMATCH(B66,""^((I ?vs\. ?(U ?D|D ?U))|((D ?U|U ?D) ?vs\. ?I)) *$""))"),FALSE)</f>
        <v>0</v>
      </c>
      <c r="AQ66" s="37" t="b">
        <f>IFERROR(__xludf.DUMMYFUNCTION("if(isblank(A66),,REGEXMATCH(B66,""^((D ?vs\. ?(U ?D|D ?U))|((D ?U|U ?D) ?vs\. ?D)) *$""))"),FALSE)</f>
        <v>0</v>
      </c>
      <c r="AR66" s="37" t="b">
        <f>IFERROR(__xludf.DUMMYFUNCTION("if(isblank(A66),,REGEXMATCH(B66,""^((U ?vs\. ?(U ?D|D ?U))|((D ?U|U ?D) ?vs\. ?U)) *$""))"),FALSE)</f>
        <v>0</v>
      </c>
      <c r="AS66" s="37" t="b">
        <f>IFERROR(__xludf.DUMMYFUNCTION("if(isblank(A66),,REGEXMATCH(B66,""^((D ?I|I ?D) ?vs\. ?(D ?I|I ?D)) *$""))"),FALSE)</f>
        <v>0</v>
      </c>
      <c r="AT66" s="37" t="b">
        <f>IFERROR(__xludf.DUMMYFUNCTION("if(isblank(A66),,REGEXMATCH(B66,""^((D ?I|I ?D) ?vs\. ?(U ?I|I ?U))|((U ?I|I ?U) ?vs\. ?(D ?I|I ?D)) *$""))"),FALSE)</f>
        <v>0</v>
      </c>
      <c r="AU66" s="37" t="b">
        <f>IFERROR(__xludf.DUMMYFUNCTION("if(isblank(A66),,REGEXMATCH(B66,""^((D ?I|I ?D) ?vs\. ?(U ?D|D ?U))|((U ?D|D ?U) ?vs\. ?(D ?I|I ?D)) *$""))"),FALSE)</f>
        <v>0</v>
      </c>
      <c r="AV66" s="37" t="b">
        <f>IFERROR(__xludf.DUMMYFUNCTION("if(isblank(A66),,REGEXMATCH(B66,""^((U ?I|I ?U) ?vs\. ?(U ?I|I ?U)) *$""))"),FALSE)</f>
        <v>0</v>
      </c>
    </row>
    <row r="67" ht="26.25" customHeight="1">
      <c r="A67" s="79" t="str">
        <f>Paper_Textual_Conflict!M67</f>
        <v>D I vs. D I(Java comment)
Origin(U vs. U)
space symbol difference(left symbol is space 32 in ASCII, right have 3 symbol lines in 194 in extend ASCII)</v>
      </c>
      <c r="B67" s="37" t="str">
        <f>IFERROR(__xludf.DUMMYFUNCTION("if(isblank(A67),,regexextract(REGEXEXTRACT(A67,""^.*""),""^[^(]*""))"),"D I vs. D I")</f>
        <v>D I vs. D I</v>
      </c>
      <c r="C67" s="37" t="b">
        <f>IFERROR(__xludf.DUMMYFUNCTION("if(isblank(A67),,REGEXMATCH(B67,"".*\+.*"") )"),FALSE)</f>
        <v>0</v>
      </c>
      <c r="D67" s="37" t="b">
        <f>IFERROR(__xludf.DUMMYFUNCTION("if(isblank(A67),,REGEXMATCH(B67,"".*vs.*"") )"),TRUE)</f>
        <v>1</v>
      </c>
      <c r="E67" s="37" t="b">
        <f>Paper_Textual_Conflict!H67</f>
        <v>1</v>
      </c>
      <c r="F67" s="37" t="str">
        <f>Paper_Textual_Conflict!Q67</f>
        <v>Non-Java</v>
      </c>
      <c r="G67" s="33">
        <v>67.0</v>
      </c>
      <c r="H67" s="37" t="b">
        <f>IFERROR(__xludf.DUMMYFUNCTION("if(isblank(A67),,REGEXMATCH(B67,""^I *\+ I *$""))"),FALSE)</f>
        <v>0</v>
      </c>
      <c r="I67" s="37" t="b">
        <f>IFERROR(__xludf.DUMMYFUNCTION("if(isblank(A67),,REGEXMATCH(B67,""(^I *\+ D *$)|(^D *\+ I *$)""))"),FALSE)</f>
        <v>0</v>
      </c>
      <c r="J67" s="37" t="b">
        <f>IFERROR(__xludf.DUMMYFUNCTION("if(isblank(A67),,REGEXMATCH(B67,""(^I *\+ U *$)|(^U *\+ I *$)""))"),FALSE)</f>
        <v>0</v>
      </c>
      <c r="K67" s="37" t="b">
        <f>IFERROR(__xludf.DUMMYFUNCTION("if(isblank(A67),,REGEXMATCH(B67,""(^I *\+ N *$)|(^N *\+ I *$)"") )"),FALSE)</f>
        <v>0</v>
      </c>
      <c r="L67" s="37" t="b">
        <f>IFERROR(__xludf.DUMMYFUNCTION("if(isblank(A67),,REGEXMATCH(B67,""^D *\+ D *$""))"),FALSE)</f>
        <v>0</v>
      </c>
      <c r="M67" s="37" t="b">
        <f>IFERROR(__xludf.DUMMYFUNCTION("if(isblank(A67),,REGEXMATCH(B67,""(^U *\+ D *$)|(^D *\+ U *$)""))"),FALSE)</f>
        <v>0</v>
      </c>
      <c r="N67" s="37" t="b">
        <f>IFERROR(__xludf.DUMMYFUNCTION("if(isblank(A67),,REGEXMATCH(B67,""(^N *\+ D *$)|(^D *\+ N *$)""))"),FALSE)</f>
        <v>0</v>
      </c>
      <c r="O67" s="37" t="b">
        <f>IFERROR(__xludf.DUMMYFUNCTION("if(isblank(A67),,REGEXMATCH(B67,""^U *\+ U *$""))"),FALSE)</f>
        <v>0</v>
      </c>
      <c r="P67" s="37" t="b">
        <f>IFERROR(__xludf.DUMMYFUNCTION("if(isblank(A67),,REGEXMATCH(B67,""(^U *\+ N *$)|(^N *\+ U *$)""))"),FALSE)</f>
        <v>0</v>
      </c>
      <c r="Q67" s="37" t="b">
        <f>IFERROR(__xludf.DUMMYFUNCTION("if(isblank(A67),,REGEXMATCH(B67,""^((I ?\+ ?(D ?I|I ?D))|((D ?I|I ?D) ?\+ ?I)) *$""))"),FALSE)</f>
        <v>0</v>
      </c>
      <c r="R67" s="37" t="b">
        <f>IFERROR(__xludf.DUMMYFUNCTION("if(isblank(A67),,REGEXMATCH(B67,""^((D ?\+ ?(D ?I|I ?D))|((D ?I|I ?D) ?\+ ?D)) *$""))"),FALSE)</f>
        <v>0</v>
      </c>
      <c r="S67" s="37" t="b">
        <f>IFERROR(__xludf.DUMMYFUNCTION("if(isblank(A67),,REGEXMATCH(B67,""^((U ?\+ ?(D ?I|I ?D))|((D ?I|I ?D) ?\+ ?U)) *$""))"),FALSE)</f>
        <v>0</v>
      </c>
      <c r="T67" s="37" t="b">
        <f>IFERROR(__xludf.DUMMYFUNCTION("if(isblank(A67),,REGEXMATCH(B67,""^((N ?\+ ?(D ?I|I ?D))|((D ?I|I ?D) ?\+ ?N)) *$""))"),FALSE)</f>
        <v>0</v>
      </c>
      <c r="U67" s="37" t="b">
        <f>IFERROR(__xludf.DUMMYFUNCTION("if(isblank(A67),,REGEXMATCH(B67,""^((I ?\+ ?(U ?I|I ?U))|((I ?U|U ?I) ?\+ ?I)) *$""))"),FALSE)</f>
        <v>0</v>
      </c>
      <c r="V67" s="37" t="b">
        <f>IFERROR(__xludf.DUMMYFUNCTION("if(isblank(A67),,REGEXMATCH(B67,""^((D ?\+ ?(U ?I|I ?U))|((I ?U|U ?I) ?\+ ?D)) *$""))"),FALSE)</f>
        <v>0</v>
      </c>
      <c r="W67" s="37" t="b">
        <f>IFERROR(__xludf.DUMMYFUNCTION("if(isblank(A67),,REGEXMATCH(B67,""^((U ?\+ ?(U ?I|I ?U))|((I ?U|U ?I) ?\+ ?U)) *$""))"),FALSE)</f>
        <v>0</v>
      </c>
      <c r="X67" s="37" t="b">
        <f>IFERROR(__xludf.DUMMYFUNCTION("if(isblank(A67),,REGEXMATCH(B67,""^((N ?\+ ?(U ?I|I ?U))|((I ?U|U ?I) ?\+ ?N)) *$""))"),FALSE)</f>
        <v>0</v>
      </c>
      <c r="Y67" s="37" t="b">
        <f>IFERROR(__xludf.DUMMYFUNCTION("if(isblank(A67),,REGEXMATCH(B67,""^((I ?\+ ?(U ?D|D ?U))|((D ?U|U ?D) ?\+ ?I)) *$""))"),FALSE)</f>
        <v>0</v>
      </c>
      <c r="Z67" s="37" t="b">
        <f>IFERROR(__xludf.DUMMYFUNCTION("if(isblank(A67),,REGEXMATCH(B67,""^((D ?\+ ?(U ?D|D ?U))|((D ?U|U ?D) ?\+ ?D)) *$""))"),FALSE)</f>
        <v>0</v>
      </c>
      <c r="AA67" s="37" t="b">
        <f>IFERROR(__xludf.DUMMYFUNCTION("if(isblank(A67),,REGEXMATCH(B67,""^((U ?\+ ?(U ?D|D ?U))|((D ?U|U ?D) ?\+ ?U)) *$""))"),FALSE)</f>
        <v>0</v>
      </c>
      <c r="AB67" s="37" t="b">
        <f>IFERROR(__xludf.DUMMYFUNCTION("if(isblank(A67),,REGEXMATCH(B67,""^((D ?I|I ?D) ?\+ ?(D ?I|I ?D)) *$""))"),FALSE)</f>
        <v>0</v>
      </c>
      <c r="AC67" s="37" t="b">
        <f>IFERROR(__xludf.DUMMYFUNCTION("if(isblank(A67),,REGEXMATCH(B67,""^((D ?I|I ?D) ?\+ ?(U ?I|I ?U))|((U ?I|I ?U) ?\+ ?(D ?I|I ?D)) *$""))"),FALSE)</f>
        <v>0</v>
      </c>
      <c r="AD67" s="37" t="b">
        <f>IFERROR(__xludf.DUMMYFUNCTION("if(isblank(A67),,REGEXMATCH(B67,""^I *vs\. I *$""))"),FALSE)</f>
        <v>0</v>
      </c>
      <c r="AE67" s="37" t="b">
        <f>IFERROR(__xludf.DUMMYFUNCTION("if(isblank(A67),,REGEXMATCH(B67,""(^I *vs\. D *$)|(^D *vs\. I *$)""))"),FALSE)</f>
        <v>0</v>
      </c>
      <c r="AF67" s="37" t="b">
        <f>IFERROR(__xludf.DUMMYFUNCTION("if(isblank(A67),,REGEXMATCH(B67,""(^I *vs\. U *$)|(^U *vs\. I *$)""))"),FALSE)</f>
        <v>0</v>
      </c>
      <c r="AG67" s="37" t="b">
        <f>IFERROR(__xludf.DUMMYFUNCTION("if(isblank(A67),,REGEXMATCH(B67,""^D *vs\. D *$""))"),FALSE)</f>
        <v>0</v>
      </c>
      <c r="AH67" s="37" t="b">
        <f>IFERROR(__xludf.DUMMYFUNCTION("if(isblank(A67),,REGEXMATCH(B67,""(^U *vs\. D *$)|(^D *vs\. U *$)""))"),FALSE)</f>
        <v>0</v>
      </c>
      <c r="AI67" s="37" t="b">
        <f>IFERROR(__xludf.DUMMYFUNCTION("if(isblank(A67),,REGEXMATCH(B67,""^U *vs\. U *$""))"),FALSE)</f>
        <v>0</v>
      </c>
      <c r="AJ67" s="37" t="b">
        <f>IFERROR(__xludf.DUMMYFUNCTION("if(isblank(A67),,REGEXMATCH(B67,""^((I ?vs\. ?(D ?I|I ?D))|((D ?I|I ?D) ?vs\. ?I)) *$""))"),FALSE)</f>
        <v>0</v>
      </c>
      <c r="AK67" s="37" t="b">
        <f>IFERROR(__xludf.DUMMYFUNCTION("if(isblank(A67),,REGEXMATCH(B67,""^((D ?vs\. ?(D ?I|I ?D))|((D ?I|I ?D) ?vs\. ?D)) *$""))"),FALSE)</f>
        <v>0</v>
      </c>
      <c r="AL67" s="37" t="b">
        <f>IFERROR(__xludf.DUMMYFUNCTION("if(isblank(A67),,REGEXMATCH(B67,""^((U ?vs\. ?(D ?I|I ?D))|((D ?I|I ?D) ?vs\. ?U)) *$""))"),FALSE)</f>
        <v>0</v>
      </c>
      <c r="AM67" s="37" t="b">
        <f>IFERROR(__xludf.DUMMYFUNCTION("if(isblank(A67),,REGEXMATCH(B67,""^((I ?vs\. ?(U ?I|I ?U))|((U ?I|I ?U) ?vs\. ?I)) *$""))"),FALSE)</f>
        <v>0</v>
      </c>
      <c r="AN67" s="37" t="b">
        <f>IFERROR(__xludf.DUMMYFUNCTION("if(isblank(A67),,REGEXMATCH(B67,""^((D ?vs\. ?(U ?I|I ?U))|((U ?I|I ?U) ?vs\. ?D)) *$""))"),FALSE)</f>
        <v>0</v>
      </c>
      <c r="AO67" s="37" t="b">
        <f>IFERROR(__xludf.DUMMYFUNCTION("if(isblank(A67),,REGEXMATCH(B67,""^((U ?vs\. ?(U ?I|I ?U))|((U ?I|I ?U) ?vs\. ?U)) *$""))"),FALSE)</f>
        <v>0</v>
      </c>
      <c r="AP67" s="37" t="b">
        <f>IFERROR(__xludf.DUMMYFUNCTION("if(isblank(A67),,REGEXMATCH(B67,""^((I ?vs\. ?(U ?D|D ?U))|((D ?U|U ?D) ?vs\. ?I)) *$""))"),FALSE)</f>
        <v>0</v>
      </c>
      <c r="AQ67" s="37" t="b">
        <f>IFERROR(__xludf.DUMMYFUNCTION("if(isblank(A67),,REGEXMATCH(B67,""^((D ?vs\. ?(U ?D|D ?U))|((D ?U|U ?D) ?vs\. ?D)) *$""))"),FALSE)</f>
        <v>0</v>
      </c>
      <c r="AR67" s="37" t="b">
        <f>IFERROR(__xludf.DUMMYFUNCTION("if(isblank(A67),,REGEXMATCH(B67,""^((U ?vs\. ?(U ?D|D ?U))|((D ?U|U ?D) ?vs\. ?U)) *$""))"),FALSE)</f>
        <v>0</v>
      </c>
      <c r="AS67" s="37" t="b">
        <f>IFERROR(__xludf.DUMMYFUNCTION("if(isblank(A67),,REGEXMATCH(B67,""^((D ?I|I ?D) ?vs\. ?(D ?I|I ?D)) *$""))"),TRUE)</f>
        <v>1</v>
      </c>
      <c r="AT67" s="37" t="b">
        <f>IFERROR(__xludf.DUMMYFUNCTION("if(isblank(A67),,REGEXMATCH(B67,""^((D ?I|I ?D) ?vs\. ?(U ?I|I ?U))|((U ?I|I ?U) ?vs\. ?(D ?I|I ?D)) *$""))"),FALSE)</f>
        <v>0</v>
      </c>
      <c r="AU67" s="37" t="b">
        <f>IFERROR(__xludf.DUMMYFUNCTION("if(isblank(A67),,REGEXMATCH(B67,""^((D ?I|I ?D) ?vs\. ?(U ?D|D ?U))|((U ?D|D ?U) ?vs\. ?(D ?I|I ?D)) *$""))"),FALSE)</f>
        <v>0</v>
      </c>
      <c r="AV67" s="37" t="b">
        <f>IFERROR(__xludf.DUMMYFUNCTION("if(isblank(A67),,REGEXMATCH(B67,""^((U ?I|I ?U) ?vs\. ?(U ?I|I ?U)) *$""))"),FALSE)</f>
        <v>0</v>
      </c>
    </row>
    <row r="68" ht="26.25" customHeight="1">
      <c r="A68" s="79" t="str">
        <f>Paper_Textual_Conflict!M68</f>
        <v>D I vs. U (comment)</v>
      </c>
      <c r="B68" s="37" t="str">
        <f>IFERROR(__xludf.DUMMYFUNCTION("if(isblank(A68),,regexextract(REGEXEXTRACT(A68,""^.*""),""^[^(]*""))"),"D I vs. U ")</f>
        <v>D I vs. U </v>
      </c>
      <c r="C68" s="37" t="b">
        <f>IFERROR(__xludf.DUMMYFUNCTION("if(isblank(A68),,REGEXMATCH(B68,"".*\+.*"") )"),FALSE)</f>
        <v>0</v>
      </c>
      <c r="D68" s="37" t="b">
        <f>IFERROR(__xludf.DUMMYFUNCTION("if(isblank(A68),,REGEXMATCH(B68,"".*vs.*"") )"),TRUE)</f>
        <v>1</v>
      </c>
      <c r="E68" s="37" t="b">
        <f>Paper_Textual_Conflict!H68</f>
        <v>1</v>
      </c>
      <c r="F68" s="37" t="str">
        <f>Paper_Textual_Conflict!Q68</f>
        <v>Java</v>
      </c>
      <c r="G68" s="33">
        <v>68.0</v>
      </c>
      <c r="H68" s="37" t="b">
        <f>IFERROR(__xludf.DUMMYFUNCTION("if(isblank(A68),,REGEXMATCH(B68,""^I *\+ I *$""))"),FALSE)</f>
        <v>0</v>
      </c>
      <c r="I68" s="37" t="b">
        <f>IFERROR(__xludf.DUMMYFUNCTION("if(isblank(A68),,REGEXMATCH(B68,""(^I *\+ D *$)|(^D *\+ I *$)""))"),FALSE)</f>
        <v>0</v>
      </c>
      <c r="J68" s="37" t="b">
        <f>IFERROR(__xludf.DUMMYFUNCTION("if(isblank(A68),,REGEXMATCH(B68,""(^I *\+ U *$)|(^U *\+ I *$)""))"),FALSE)</f>
        <v>0</v>
      </c>
      <c r="K68" s="37" t="b">
        <f>IFERROR(__xludf.DUMMYFUNCTION("if(isblank(A68),,REGEXMATCH(B68,""(^I *\+ N *$)|(^N *\+ I *$)"") )"),FALSE)</f>
        <v>0</v>
      </c>
      <c r="L68" s="37" t="b">
        <f>IFERROR(__xludf.DUMMYFUNCTION("if(isblank(A68),,REGEXMATCH(B68,""^D *\+ D *$""))"),FALSE)</f>
        <v>0</v>
      </c>
      <c r="M68" s="37" t="b">
        <f>IFERROR(__xludf.DUMMYFUNCTION("if(isblank(A68),,REGEXMATCH(B68,""(^U *\+ D *$)|(^D *\+ U *$)""))"),FALSE)</f>
        <v>0</v>
      </c>
      <c r="N68" s="37" t="b">
        <f>IFERROR(__xludf.DUMMYFUNCTION("if(isblank(A68),,REGEXMATCH(B68,""(^N *\+ D *$)|(^D *\+ N *$)""))"),FALSE)</f>
        <v>0</v>
      </c>
      <c r="O68" s="37" t="b">
        <f>IFERROR(__xludf.DUMMYFUNCTION("if(isblank(A68),,REGEXMATCH(B68,""^U *\+ U *$""))"),FALSE)</f>
        <v>0</v>
      </c>
      <c r="P68" s="37" t="b">
        <f>IFERROR(__xludf.DUMMYFUNCTION("if(isblank(A68),,REGEXMATCH(B68,""(^U *\+ N *$)|(^N *\+ U *$)""))"),FALSE)</f>
        <v>0</v>
      </c>
      <c r="Q68" s="37" t="b">
        <f>IFERROR(__xludf.DUMMYFUNCTION("if(isblank(A68),,REGEXMATCH(B68,""^((I ?\+ ?(D ?I|I ?D))|((D ?I|I ?D) ?\+ ?I)) *$""))"),FALSE)</f>
        <v>0</v>
      </c>
      <c r="R68" s="37" t="b">
        <f>IFERROR(__xludf.DUMMYFUNCTION("if(isblank(A68),,REGEXMATCH(B68,""^((D ?\+ ?(D ?I|I ?D))|((D ?I|I ?D) ?\+ ?D)) *$""))"),FALSE)</f>
        <v>0</v>
      </c>
      <c r="S68" s="37" t="b">
        <f>IFERROR(__xludf.DUMMYFUNCTION("if(isblank(A68),,REGEXMATCH(B68,""^((U ?\+ ?(D ?I|I ?D))|((D ?I|I ?D) ?\+ ?U)) *$""))"),FALSE)</f>
        <v>0</v>
      </c>
      <c r="T68" s="37" t="b">
        <f>IFERROR(__xludf.DUMMYFUNCTION("if(isblank(A68),,REGEXMATCH(B68,""^((N ?\+ ?(D ?I|I ?D))|((D ?I|I ?D) ?\+ ?N)) *$""))"),FALSE)</f>
        <v>0</v>
      </c>
      <c r="U68" s="37" t="b">
        <f>IFERROR(__xludf.DUMMYFUNCTION("if(isblank(A68),,REGEXMATCH(B68,""^((I ?\+ ?(U ?I|I ?U))|((I ?U|U ?I) ?\+ ?I)) *$""))"),FALSE)</f>
        <v>0</v>
      </c>
      <c r="V68" s="37" t="b">
        <f>IFERROR(__xludf.DUMMYFUNCTION("if(isblank(A68),,REGEXMATCH(B68,""^((D ?\+ ?(U ?I|I ?U))|((I ?U|U ?I) ?\+ ?D)) *$""))"),FALSE)</f>
        <v>0</v>
      </c>
      <c r="W68" s="37" t="b">
        <f>IFERROR(__xludf.DUMMYFUNCTION("if(isblank(A68),,REGEXMATCH(B68,""^((U ?\+ ?(U ?I|I ?U))|((I ?U|U ?I) ?\+ ?U)) *$""))"),FALSE)</f>
        <v>0</v>
      </c>
      <c r="X68" s="37" t="b">
        <f>IFERROR(__xludf.DUMMYFUNCTION("if(isblank(A68),,REGEXMATCH(B68,""^((N ?\+ ?(U ?I|I ?U))|((I ?U|U ?I) ?\+ ?N)) *$""))"),FALSE)</f>
        <v>0</v>
      </c>
      <c r="Y68" s="37" t="b">
        <f>IFERROR(__xludf.DUMMYFUNCTION("if(isblank(A68),,REGEXMATCH(B68,""^((I ?\+ ?(U ?D|D ?U))|((D ?U|U ?D) ?\+ ?I)) *$""))"),FALSE)</f>
        <v>0</v>
      </c>
      <c r="Z68" s="37" t="b">
        <f>IFERROR(__xludf.DUMMYFUNCTION("if(isblank(A68),,REGEXMATCH(B68,""^((D ?\+ ?(U ?D|D ?U))|((D ?U|U ?D) ?\+ ?D)) *$""))"),FALSE)</f>
        <v>0</v>
      </c>
      <c r="AA68" s="37" t="b">
        <f>IFERROR(__xludf.DUMMYFUNCTION("if(isblank(A68),,REGEXMATCH(B68,""^((U ?\+ ?(U ?D|D ?U))|((D ?U|U ?D) ?\+ ?U)) *$""))"),FALSE)</f>
        <v>0</v>
      </c>
      <c r="AB68" s="37" t="b">
        <f>IFERROR(__xludf.DUMMYFUNCTION("if(isblank(A68),,REGEXMATCH(B68,""^((D ?I|I ?D) ?\+ ?(D ?I|I ?D)) *$""))"),FALSE)</f>
        <v>0</v>
      </c>
      <c r="AC68" s="37" t="b">
        <f>IFERROR(__xludf.DUMMYFUNCTION("if(isblank(A68),,REGEXMATCH(B68,""^((D ?I|I ?D) ?\+ ?(U ?I|I ?U))|((U ?I|I ?U) ?\+ ?(D ?I|I ?D)) *$""))"),FALSE)</f>
        <v>0</v>
      </c>
      <c r="AD68" s="37" t="b">
        <f>IFERROR(__xludf.DUMMYFUNCTION("if(isblank(A68),,REGEXMATCH(B68,""^I *vs\. I *$""))"),FALSE)</f>
        <v>0</v>
      </c>
      <c r="AE68" s="37" t="b">
        <f>IFERROR(__xludf.DUMMYFUNCTION("if(isblank(A68),,REGEXMATCH(B68,""(^I *vs\. D *$)|(^D *vs\. I *$)""))"),FALSE)</f>
        <v>0</v>
      </c>
      <c r="AF68" s="37" t="b">
        <f>IFERROR(__xludf.DUMMYFUNCTION("if(isblank(A68),,REGEXMATCH(B68,""(^I *vs\. U *$)|(^U *vs\. I *$)""))"),FALSE)</f>
        <v>0</v>
      </c>
      <c r="AG68" s="37" t="b">
        <f>IFERROR(__xludf.DUMMYFUNCTION("if(isblank(A68),,REGEXMATCH(B68,""^D *vs\. D *$""))"),FALSE)</f>
        <v>0</v>
      </c>
      <c r="AH68" s="37" t="b">
        <f>IFERROR(__xludf.DUMMYFUNCTION("if(isblank(A68),,REGEXMATCH(B68,""(^U *vs\. D *$)|(^D *vs\. U *$)""))"),FALSE)</f>
        <v>0</v>
      </c>
      <c r="AI68" s="37" t="b">
        <f>IFERROR(__xludf.DUMMYFUNCTION("if(isblank(A68),,REGEXMATCH(B68,""^U *vs\. U *$""))"),FALSE)</f>
        <v>0</v>
      </c>
      <c r="AJ68" s="37" t="b">
        <f>IFERROR(__xludf.DUMMYFUNCTION("if(isblank(A68),,REGEXMATCH(B68,""^((I ?vs\. ?(D ?I|I ?D))|((D ?I|I ?D) ?vs\. ?I)) *$""))"),FALSE)</f>
        <v>0</v>
      </c>
      <c r="AK68" s="37" t="b">
        <f>IFERROR(__xludf.DUMMYFUNCTION("if(isblank(A68),,REGEXMATCH(B68,""^((D ?vs\. ?(D ?I|I ?D))|((D ?I|I ?D) ?vs\. ?D)) *$""))"),FALSE)</f>
        <v>0</v>
      </c>
      <c r="AL68" s="37" t="b">
        <f>IFERROR(__xludf.DUMMYFUNCTION("if(isblank(A68),,REGEXMATCH(B68,""^((U ?vs\. ?(D ?I|I ?D))|((D ?I|I ?D) ?vs\. ?U)) *$""))"),TRUE)</f>
        <v>1</v>
      </c>
      <c r="AM68" s="37" t="b">
        <f>IFERROR(__xludf.DUMMYFUNCTION("if(isblank(A68),,REGEXMATCH(B68,""^((I ?vs\. ?(U ?I|I ?U))|((U ?I|I ?U) ?vs\. ?I)) *$""))"),FALSE)</f>
        <v>0</v>
      </c>
      <c r="AN68" s="37" t="b">
        <f>IFERROR(__xludf.DUMMYFUNCTION("if(isblank(A68),,REGEXMATCH(B68,""^((D ?vs\. ?(U ?I|I ?U))|((U ?I|I ?U) ?vs\. ?D)) *$""))"),FALSE)</f>
        <v>0</v>
      </c>
      <c r="AO68" s="37" t="b">
        <f>IFERROR(__xludf.DUMMYFUNCTION("if(isblank(A68),,REGEXMATCH(B68,""^((U ?vs\. ?(U ?I|I ?U))|((U ?I|I ?U) ?vs\. ?U)) *$""))"),FALSE)</f>
        <v>0</v>
      </c>
      <c r="AP68" s="37" t="b">
        <f>IFERROR(__xludf.DUMMYFUNCTION("if(isblank(A68),,REGEXMATCH(B68,""^((I ?vs\. ?(U ?D|D ?U))|((D ?U|U ?D) ?vs\. ?I)) *$""))"),FALSE)</f>
        <v>0</v>
      </c>
      <c r="AQ68" s="37" t="b">
        <f>IFERROR(__xludf.DUMMYFUNCTION("if(isblank(A68),,REGEXMATCH(B68,""^((D ?vs\. ?(U ?D|D ?U))|((D ?U|U ?D) ?vs\. ?D)) *$""))"),FALSE)</f>
        <v>0</v>
      </c>
      <c r="AR68" s="37" t="b">
        <f>IFERROR(__xludf.DUMMYFUNCTION("if(isblank(A68),,REGEXMATCH(B68,""^((U ?vs\. ?(U ?D|D ?U))|((D ?U|U ?D) ?vs\. ?U)) *$""))"),FALSE)</f>
        <v>0</v>
      </c>
      <c r="AS68" s="37" t="b">
        <f>IFERROR(__xludf.DUMMYFUNCTION("if(isblank(A68),,REGEXMATCH(B68,""^((D ?I|I ?D) ?vs\. ?(D ?I|I ?D)) *$""))"),FALSE)</f>
        <v>0</v>
      </c>
      <c r="AT68" s="37" t="b">
        <f>IFERROR(__xludf.DUMMYFUNCTION("if(isblank(A68),,REGEXMATCH(B68,""^((D ?I|I ?D) ?vs\. ?(U ?I|I ?U))|((U ?I|I ?U) ?vs\. ?(D ?I|I ?D)) *$""))"),FALSE)</f>
        <v>0</v>
      </c>
      <c r="AU68" s="37" t="b">
        <f>IFERROR(__xludf.DUMMYFUNCTION("if(isblank(A68),,REGEXMATCH(B68,""^((D ?I|I ?D) ?vs\. ?(U ?D|D ?U))|((U ?D|D ?U) ?vs\. ?(D ?I|I ?D)) *$""))"),FALSE)</f>
        <v>0</v>
      </c>
      <c r="AV68" s="37" t="b">
        <f>IFERROR(__xludf.DUMMYFUNCTION("if(isblank(A68),,REGEXMATCH(B68,""^((U ?I|I ?U) ?vs\. ?(U ?I|I ?U)) *$""))"),FALSE)</f>
        <v>0</v>
      </c>
    </row>
    <row r="69" ht="26.25" customHeight="1">
      <c r="A69" s="79" t="str">
        <f>Paper_Textual_Conflict!M69</f>
        <v>U vs. U (Java code)</v>
      </c>
      <c r="B69" s="37" t="str">
        <f>IFERROR(__xludf.DUMMYFUNCTION("if(isblank(A69),,regexextract(REGEXEXTRACT(A69,""^.*""),""^[^(]*""))"),"U vs. U ")</f>
        <v>U vs. U </v>
      </c>
      <c r="C69" s="37" t="b">
        <f>IFERROR(__xludf.DUMMYFUNCTION("if(isblank(A69),,REGEXMATCH(B69,"".*\+.*"") )"),FALSE)</f>
        <v>0</v>
      </c>
      <c r="D69" s="37" t="b">
        <f>IFERROR(__xludf.DUMMYFUNCTION("if(isblank(A69),,REGEXMATCH(B69,"".*vs.*"") )"),TRUE)</f>
        <v>1</v>
      </c>
      <c r="E69" s="37" t="b">
        <f>Paper_Textual_Conflict!H69</f>
        <v>1</v>
      </c>
      <c r="F69" s="37" t="str">
        <f>Paper_Textual_Conflict!Q69</f>
        <v>Java</v>
      </c>
      <c r="G69" s="33">
        <v>69.0</v>
      </c>
      <c r="H69" s="37" t="b">
        <f>IFERROR(__xludf.DUMMYFUNCTION("if(isblank(A69),,REGEXMATCH(B69,""^I *\+ I *$""))"),FALSE)</f>
        <v>0</v>
      </c>
      <c r="I69" s="37" t="b">
        <f>IFERROR(__xludf.DUMMYFUNCTION("if(isblank(A69),,REGEXMATCH(B69,""(^I *\+ D *$)|(^D *\+ I *$)""))"),FALSE)</f>
        <v>0</v>
      </c>
      <c r="J69" s="37" t="b">
        <f>IFERROR(__xludf.DUMMYFUNCTION("if(isblank(A69),,REGEXMATCH(B69,""(^I *\+ U *$)|(^U *\+ I *$)""))"),FALSE)</f>
        <v>0</v>
      </c>
      <c r="K69" s="37" t="b">
        <f>IFERROR(__xludf.DUMMYFUNCTION("if(isblank(A69),,REGEXMATCH(B69,""(^I *\+ N *$)|(^N *\+ I *$)"") )"),FALSE)</f>
        <v>0</v>
      </c>
      <c r="L69" s="37" t="b">
        <f>IFERROR(__xludf.DUMMYFUNCTION("if(isblank(A69),,REGEXMATCH(B69,""^D *\+ D *$""))"),FALSE)</f>
        <v>0</v>
      </c>
      <c r="M69" s="37" t="b">
        <f>IFERROR(__xludf.DUMMYFUNCTION("if(isblank(A69),,REGEXMATCH(B69,""(^U *\+ D *$)|(^D *\+ U *$)""))"),FALSE)</f>
        <v>0</v>
      </c>
      <c r="N69" s="37" t="b">
        <f>IFERROR(__xludf.DUMMYFUNCTION("if(isblank(A69),,REGEXMATCH(B69,""(^N *\+ D *$)|(^D *\+ N *$)""))"),FALSE)</f>
        <v>0</v>
      </c>
      <c r="O69" s="37" t="b">
        <f>IFERROR(__xludf.DUMMYFUNCTION("if(isblank(A69),,REGEXMATCH(B69,""^U *\+ U *$""))"),FALSE)</f>
        <v>0</v>
      </c>
      <c r="P69" s="37" t="b">
        <f>IFERROR(__xludf.DUMMYFUNCTION("if(isblank(A69),,REGEXMATCH(B69,""(^U *\+ N *$)|(^N *\+ U *$)""))"),FALSE)</f>
        <v>0</v>
      </c>
      <c r="Q69" s="37" t="b">
        <f>IFERROR(__xludf.DUMMYFUNCTION("if(isblank(A69),,REGEXMATCH(B69,""^((I ?\+ ?(D ?I|I ?D))|((D ?I|I ?D) ?\+ ?I)) *$""))"),FALSE)</f>
        <v>0</v>
      </c>
      <c r="R69" s="37" t="b">
        <f>IFERROR(__xludf.DUMMYFUNCTION("if(isblank(A69),,REGEXMATCH(B69,""^((D ?\+ ?(D ?I|I ?D))|((D ?I|I ?D) ?\+ ?D)) *$""))"),FALSE)</f>
        <v>0</v>
      </c>
      <c r="S69" s="37" t="b">
        <f>IFERROR(__xludf.DUMMYFUNCTION("if(isblank(A69),,REGEXMATCH(B69,""^((U ?\+ ?(D ?I|I ?D))|((D ?I|I ?D) ?\+ ?U)) *$""))"),FALSE)</f>
        <v>0</v>
      </c>
      <c r="T69" s="37" t="b">
        <f>IFERROR(__xludf.DUMMYFUNCTION("if(isblank(A69),,REGEXMATCH(B69,""^((N ?\+ ?(D ?I|I ?D))|((D ?I|I ?D) ?\+ ?N)) *$""))"),FALSE)</f>
        <v>0</v>
      </c>
      <c r="U69" s="37" t="b">
        <f>IFERROR(__xludf.DUMMYFUNCTION("if(isblank(A69),,REGEXMATCH(B69,""^((I ?\+ ?(U ?I|I ?U))|((I ?U|U ?I) ?\+ ?I)) *$""))"),FALSE)</f>
        <v>0</v>
      </c>
      <c r="V69" s="37" t="b">
        <f>IFERROR(__xludf.DUMMYFUNCTION("if(isblank(A69),,REGEXMATCH(B69,""^((D ?\+ ?(U ?I|I ?U))|((I ?U|U ?I) ?\+ ?D)) *$""))"),FALSE)</f>
        <v>0</v>
      </c>
      <c r="W69" s="37" t="b">
        <f>IFERROR(__xludf.DUMMYFUNCTION("if(isblank(A69),,REGEXMATCH(B69,""^((U ?\+ ?(U ?I|I ?U))|((I ?U|U ?I) ?\+ ?U)) *$""))"),FALSE)</f>
        <v>0</v>
      </c>
      <c r="X69" s="37" t="b">
        <f>IFERROR(__xludf.DUMMYFUNCTION("if(isblank(A69),,REGEXMATCH(B69,""^((N ?\+ ?(U ?I|I ?U))|((I ?U|U ?I) ?\+ ?N)) *$""))"),FALSE)</f>
        <v>0</v>
      </c>
      <c r="Y69" s="37" t="b">
        <f>IFERROR(__xludf.DUMMYFUNCTION("if(isblank(A69),,REGEXMATCH(B69,""^((I ?\+ ?(U ?D|D ?U))|((D ?U|U ?D) ?\+ ?I)) *$""))"),FALSE)</f>
        <v>0</v>
      </c>
      <c r="Z69" s="37" t="b">
        <f>IFERROR(__xludf.DUMMYFUNCTION("if(isblank(A69),,REGEXMATCH(B69,""^((D ?\+ ?(U ?D|D ?U))|((D ?U|U ?D) ?\+ ?D)) *$""))"),FALSE)</f>
        <v>0</v>
      </c>
      <c r="AA69" s="37" t="b">
        <f>IFERROR(__xludf.DUMMYFUNCTION("if(isblank(A69),,REGEXMATCH(B69,""^((U ?\+ ?(U ?D|D ?U))|((D ?U|U ?D) ?\+ ?U)) *$""))"),FALSE)</f>
        <v>0</v>
      </c>
      <c r="AB69" s="37" t="b">
        <f>IFERROR(__xludf.DUMMYFUNCTION("if(isblank(A69),,REGEXMATCH(B69,""^((D ?I|I ?D) ?\+ ?(D ?I|I ?D)) *$""))"),FALSE)</f>
        <v>0</v>
      </c>
      <c r="AC69" s="37" t="b">
        <f>IFERROR(__xludf.DUMMYFUNCTION("if(isblank(A69),,REGEXMATCH(B69,""^((D ?I|I ?D) ?\+ ?(U ?I|I ?U))|((U ?I|I ?U) ?\+ ?(D ?I|I ?D)) *$""))"),FALSE)</f>
        <v>0</v>
      </c>
      <c r="AD69" s="37" t="b">
        <f>IFERROR(__xludf.DUMMYFUNCTION("if(isblank(A69),,REGEXMATCH(B69,""^I *vs\. I *$""))"),FALSE)</f>
        <v>0</v>
      </c>
      <c r="AE69" s="37" t="b">
        <f>IFERROR(__xludf.DUMMYFUNCTION("if(isblank(A69),,REGEXMATCH(B69,""(^I *vs\. D *$)|(^D *vs\. I *$)""))"),FALSE)</f>
        <v>0</v>
      </c>
      <c r="AF69" s="37" t="b">
        <f>IFERROR(__xludf.DUMMYFUNCTION("if(isblank(A69),,REGEXMATCH(B69,""(^I *vs\. U *$)|(^U *vs\. I *$)""))"),FALSE)</f>
        <v>0</v>
      </c>
      <c r="AG69" s="37" t="b">
        <f>IFERROR(__xludf.DUMMYFUNCTION("if(isblank(A69),,REGEXMATCH(B69,""^D *vs\. D *$""))"),FALSE)</f>
        <v>0</v>
      </c>
      <c r="AH69" s="37" t="b">
        <f>IFERROR(__xludf.DUMMYFUNCTION("if(isblank(A69),,REGEXMATCH(B69,""(^U *vs\. D *$)|(^D *vs\. U *$)""))"),FALSE)</f>
        <v>0</v>
      </c>
      <c r="AI69" s="37" t="b">
        <f>IFERROR(__xludf.DUMMYFUNCTION("if(isblank(A69),,REGEXMATCH(B69,""^U *vs\. U *$""))"),TRUE)</f>
        <v>1</v>
      </c>
      <c r="AJ69" s="37" t="b">
        <f>IFERROR(__xludf.DUMMYFUNCTION("if(isblank(A69),,REGEXMATCH(B69,""^((I ?vs\. ?(D ?I|I ?D))|((D ?I|I ?D) ?vs\. ?I)) *$""))"),FALSE)</f>
        <v>0</v>
      </c>
      <c r="AK69" s="37" t="b">
        <f>IFERROR(__xludf.DUMMYFUNCTION("if(isblank(A69),,REGEXMATCH(B69,""^((D ?vs\. ?(D ?I|I ?D))|((D ?I|I ?D) ?vs\. ?D)) *$""))"),FALSE)</f>
        <v>0</v>
      </c>
      <c r="AL69" s="37" t="b">
        <f>IFERROR(__xludf.DUMMYFUNCTION("if(isblank(A69),,REGEXMATCH(B69,""^((U ?vs\. ?(D ?I|I ?D))|((D ?I|I ?D) ?vs\. ?U)) *$""))"),FALSE)</f>
        <v>0</v>
      </c>
      <c r="AM69" s="37" t="b">
        <f>IFERROR(__xludf.DUMMYFUNCTION("if(isblank(A69),,REGEXMATCH(B69,""^((I ?vs\. ?(U ?I|I ?U))|((U ?I|I ?U) ?vs\. ?I)) *$""))"),FALSE)</f>
        <v>0</v>
      </c>
      <c r="AN69" s="37" t="b">
        <f>IFERROR(__xludf.DUMMYFUNCTION("if(isblank(A69),,REGEXMATCH(B69,""^((D ?vs\. ?(U ?I|I ?U))|((U ?I|I ?U) ?vs\. ?D)) *$""))"),FALSE)</f>
        <v>0</v>
      </c>
      <c r="AO69" s="37" t="b">
        <f>IFERROR(__xludf.DUMMYFUNCTION("if(isblank(A69),,REGEXMATCH(B69,""^((U ?vs\. ?(U ?I|I ?U))|((U ?I|I ?U) ?vs\. ?U)) *$""))"),FALSE)</f>
        <v>0</v>
      </c>
      <c r="AP69" s="37" t="b">
        <f>IFERROR(__xludf.DUMMYFUNCTION("if(isblank(A69),,REGEXMATCH(B69,""^((I ?vs\. ?(U ?D|D ?U))|((D ?U|U ?D) ?vs\. ?I)) *$""))"),FALSE)</f>
        <v>0</v>
      </c>
      <c r="AQ69" s="37" t="b">
        <f>IFERROR(__xludf.DUMMYFUNCTION("if(isblank(A69),,REGEXMATCH(B69,""^((D ?vs\. ?(U ?D|D ?U))|((D ?U|U ?D) ?vs\. ?D)) *$""))"),FALSE)</f>
        <v>0</v>
      </c>
      <c r="AR69" s="37" t="b">
        <f>IFERROR(__xludf.DUMMYFUNCTION("if(isblank(A69),,REGEXMATCH(B69,""^((U ?vs\. ?(U ?D|D ?U))|((D ?U|U ?D) ?vs\. ?U)) *$""))"),FALSE)</f>
        <v>0</v>
      </c>
      <c r="AS69" s="37" t="b">
        <f>IFERROR(__xludf.DUMMYFUNCTION("if(isblank(A69),,REGEXMATCH(B69,""^((D ?I|I ?D) ?vs\. ?(D ?I|I ?D)) *$""))"),FALSE)</f>
        <v>0</v>
      </c>
      <c r="AT69" s="37" t="b">
        <f>IFERROR(__xludf.DUMMYFUNCTION("if(isblank(A69),,REGEXMATCH(B69,""^((D ?I|I ?D) ?vs\. ?(U ?I|I ?U))|((U ?I|I ?U) ?vs\. ?(D ?I|I ?D)) *$""))"),FALSE)</f>
        <v>0</v>
      </c>
      <c r="AU69" s="37" t="b">
        <f>IFERROR(__xludf.DUMMYFUNCTION("if(isblank(A69),,REGEXMATCH(B69,""^((D ?I|I ?D) ?vs\. ?(U ?D|D ?U))|((U ?D|D ?U) ?vs\. ?(D ?I|I ?D)) *$""))"),FALSE)</f>
        <v>0</v>
      </c>
      <c r="AV69" s="37" t="b">
        <f>IFERROR(__xludf.DUMMYFUNCTION("if(isblank(A69),,REGEXMATCH(B69,""^((U ?I|I ?U) ?vs\. ?(U ?I|I ?U)) *$""))"),FALSE)</f>
        <v>0</v>
      </c>
    </row>
    <row r="70" ht="26.25" customHeight="1">
      <c r="A70" s="79" t="str">
        <f>Paper_Textual_Conflict!M70</f>
        <v>I vs. I (import)</v>
      </c>
      <c r="B70" s="37" t="str">
        <f>IFERROR(__xludf.DUMMYFUNCTION("if(isblank(A70),,regexextract(REGEXEXTRACT(A70,""^.*""),""^[^(]*""))"),"I vs. I ")</f>
        <v>I vs. I </v>
      </c>
      <c r="C70" s="37" t="b">
        <f>IFERROR(__xludf.DUMMYFUNCTION("if(isblank(A70),,REGEXMATCH(B70,"".*\+.*"") )"),FALSE)</f>
        <v>0</v>
      </c>
      <c r="D70" s="37" t="b">
        <f>IFERROR(__xludf.DUMMYFUNCTION("if(isblank(A70),,REGEXMATCH(B70,"".*vs.*"") )"),TRUE)</f>
        <v>1</v>
      </c>
      <c r="E70" s="37" t="b">
        <f>Paper_Textual_Conflict!H70</f>
        <v>1</v>
      </c>
      <c r="F70" s="37" t="str">
        <f>Paper_Textual_Conflict!Q70</f>
        <v>Java</v>
      </c>
      <c r="G70" s="33">
        <v>70.0</v>
      </c>
      <c r="H70" s="37" t="b">
        <f>IFERROR(__xludf.DUMMYFUNCTION("if(isblank(A70),,REGEXMATCH(B70,""^I *\+ I *$""))"),FALSE)</f>
        <v>0</v>
      </c>
      <c r="I70" s="37" t="b">
        <f>IFERROR(__xludf.DUMMYFUNCTION("if(isblank(A70),,REGEXMATCH(B70,""(^I *\+ D *$)|(^D *\+ I *$)""))"),FALSE)</f>
        <v>0</v>
      </c>
      <c r="J70" s="37" t="b">
        <f>IFERROR(__xludf.DUMMYFUNCTION("if(isblank(A70),,REGEXMATCH(B70,""(^I *\+ U *$)|(^U *\+ I *$)""))"),FALSE)</f>
        <v>0</v>
      </c>
      <c r="K70" s="37" t="b">
        <f>IFERROR(__xludf.DUMMYFUNCTION("if(isblank(A70),,REGEXMATCH(B70,""(^I *\+ N *$)|(^N *\+ I *$)"") )"),FALSE)</f>
        <v>0</v>
      </c>
      <c r="L70" s="37" t="b">
        <f>IFERROR(__xludf.DUMMYFUNCTION("if(isblank(A70),,REGEXMATCH(B70,""^D *\+ D *$""))"),FALSE)</f>
        <v>0</v>
      </c>
      <c r="M70" s="37" t="b">
        <f>IFERROR(__xludf.DUMMYFUNCTION("if(isblank(A70),,REGEXMATCH(B70,""(^U *\+ D *$)|(^D *\+ U *$)""))"),FALSE)</f>
        <v>0</v>
      </c>
      <c r="N70" s="37" t="b">
        <f>IFERROR(__xludf.DUMMYFUNCTION("if(isblank(A70),,REGEXMATCH(B70,""(^N *\+ D *$)|(^D *\+ N *$)""))"),FALSE)</f>
        <v>0</v>
      </c>
      <c r="O70" s="37" t="b">
        <f>IFERROR(__xludf.DUMMYFUNCTION("if(isblank(A70),,REGEXMATCH(B70,""^U *\+ U *$""))"),FALSE)</f>
        <v>0</v>
      </c>
      <c r="P70" s="37" t="b">
        <f>IFERROR(__xludf.DUMMYFUNCTION("if(isblank(A70),,REGEXMATCH(B70,""(^U *\+ N *$)|(^N *\+ U *$)""))"),FALSE)</f>
        <v>0</v>
      </c>
      <c r="Q70" s="37" t="b">
        <f>IFERROR(__xludf.DUMMYFUNCTION("if(isblank(A70),,REGEXMATCH(B70,""^((I ?\+ ?(D ?I|I ?D))|((D ?I|I ?D) ?\+ ?I)) *$""))"),FALSE)</f>
        <v>0</v>
      </c>
      <c r="R70" s="37" t="b">
        <f>IFERROR(__xludf.DUMMYFUNCTION("if(isblank(A70),,REGEXMATCH(B70,""^((D ?\+ ?(D ?I|I ?D))|((D ?I|I ?D) ?\+ ?D)) *$""))"),FALSE)</f>
        <v>0</v>
      </c>
      <c r="S70" s="37" t="b">
        <f>IFERROR(__xludf.DUMMYFUNCTION("if(isblank(A70),,REGEXMATCH(B70,""^((U ?\+ ?(D ?I|I ?D))|((D ?I|I ?D) ?\+ ?U)) *$""))"),FALSE)</f>
        <v>0</v>
      </c>
      <c r="T70" s="37" t="b">
        <f>IFERROR(__xludf.DUMMYFUNCTION("if(isblank(A70),,REGEXMATCH(B70,""^((N ?\+ ?(D ?I|I ?D))|((D ?I|I ?D) ?\+ ?N)) *$""))"),FALSE)</f>
        <v>0</v>
      </c>
      <c r="U70" s="37" t="b">
        <f>IFERROR(__xludf.DUMMYFUNCTION("if(isblank(A70),,REGEXMATCH(B70,""^((I ?\+ ?(U ?I|I ?U))|((I ?U|U ?I) ?\+ ?I)) *$""))"),FALSE)</f>
        <v>0</v>
      </c>
      <c r="V70" s="37" t="b">
        <f>IFERROR(__xludf.DUMMYFUNCTION("if(isblank(A70),,REGEXMATCH(B70,""^((D ?\+ ?(U ?I|I ?U))|((I ?U|U ?I) ?\+ ?D)) *$""))"),FALSE)</f>
        <v>0</v>
      </c>
      <c r="W70" s="37" t="b">
        <f>IFERROR(__xludf.DUMMYFUNCTION("if(isblank(A70),,REGEXMATCH(B70,""^((U ?\+ ?(U ?I|I ?U))|((I ?U|U ?I) ?\+ ?U)) *$""))"),FALSE)</f>
        <v>0</v>
      </c>
      <c r="X70" s="37" t="b">
        <f>IFERROR(__xludf.DUMMYFUNCTION("if(isblank(A70),,REGEXMATCH(B70,""^((N ?\+ ?(U ?I|I ?U))|((I ?U|U ?I) ?\+ ?N)) *$""))"),FALSE)</f>
        <v>0</v>
      </c>
      <c r="Y70" s="37" t="b">
        <f>IFERROR(__xludf.DUMMYFUNCTION("if(isblank(A70),,REGEXMATCH(B70,""^((I ?\+ ?(U ?D|D ?U))|((D ?U|U ?D) ?\+ ?I)) *$""))"),FALSE)</f>
        <v>0</v>
      </c>
      <c r="Z70" s="37" t="b">
        <f>IFERROR(__xludf.DUMMYFUNCTION("if(isblank(A70),,REGEXMATCH(B70,""^((D ?\+ ?(U ?D|D ?U))|((D ?U|U ?D) ?\+ ?D)) *$""))"),FALSE)</f>
        <v>0</v>
      </c>
      <c r="AA70" s="37" t="b">
        <f>IFERROR(__xludf.DUMMYFUNCTION("if(isblank(A70),,REGEXMATCH(B70,""^((U ?\+ ?(U ?D|D ?U))|((D ?U|U ?D) ?\+ ?U)) *$""))"),FALSE)</f>
        <v>0</v>
      </c>
      <c r="AB70" s="37" t="b">
        <f>IFERROR(__xludf.DUMMYFUNCTION("if(isblank(A70),,REGEXMATCH(B70,""^((D ?I|I ?D) ?\+ ?(D ?I|I ?D)) *$""))"),FALSE)</f>
        <v>0</v>
      </c>
      <c r="AC70" s="37" t="b">
        <f>IFERROR(__xludf.DUMMYFUNCTION("if(isblank(A70),,REGEXMATCH(B70,""^((D ?I|I ?D) ?\+ ?(U ?I|I ?U))|((U ?I|I ?U) ?\+ ?(D ?I|I ?D)) *$""))"),FALSE)</f>
        <v>0</v>
      </c>
      <c r="AD70" s="37" t="b">
        <f>IFERROR(__xludf.DUMMYFUNCTION("if(isblank(A70),,REGEXMATCH(B70,""^I *vs\. I *$""))"),TRUE)</f>
        <v>1</v>
      </c>
      <c r="AE70" s="37" t="b">
        <f>IFERROR(__xludf.DUMMYFUNCTION("if(isblank(A70),,REGEXMATCH(B70,""(^I *vs\. D *$)|(^D *vs\. I *$)""))"),FALSE)</f>
        <v>0</v>
      </c>
      <c r="AF70" s="37" t="b">
        <f>IFERROR(__xludf.DUMMYFUNCTION("if(isblank(A70),,REGEXMATCH(B70,""(^I *vs\. U *$)|(^U *vs\. I *$)""))"),FALSE)</f>
        <v>0</v>
      </c>
      <c r="AG70" s="37" t="b">
        <f>IFERROR(__xludf.DUMMYFUNCTION("if(isblank(A70),,REGEXMATCH(B70,""^D *vs\. D *$""))"),FALSE)</f>
        <v>0</v>
      </c>
      <c r="AH70" s="37" t="b">
        <f>IFERROR(__xludf.DUMMYFUNCTION("if(isblank(A70),,REGEXMATCH(B70,""(^U *vs\. D *$)|(^D *vs\. U *$)""))"),FALSE)</f>
        <v>0</v>
      </c>
      <c r="AI70" s="37" t="b">
        <f>IFERROR(__xludf.DUMMYFUNCTION("if(isblank(A70),,REGEXMATCH(B70,""^U *vs\. U *$""))"),FALSE)</f>
        <v>0</v>
      </c>
      <c r="AJ70" s="37" t="b">
        <f>IFERROR(__xludf.DUMMYFUNCTION("if(isblank(A70),,REGEXMATCH(B70,""^((I ?vs\. ?(D ?I|I ?D))|((D ?I|I ?D) ?vs\. ?I)) *$""))"),FALSE)</f>
        <v>0</v>
      </c>
      <c r="AK70" s="37" t="b">
        <f>IFERROR(__xludf.DUMMYFUNCTION("if(isblank(A70),,REGEXMATCH(B70,""^((D ?vs\. ?(D ?I|I ?D))|((D ?I|I ?D) ?vs\. ?D)) *$""))"),FALSE)</f>
        <v>0</v>
      </c>
      <c r="AL70" s="37" t="b">
        <f>IFERROR(__xludf.DUMMYFUNCTION("if(isblank(A70),,REGEXMATCH(B70,""^((U ?vs\. ?(D ?I|I ?D))|((D ?I|I ?D) ?vs\. ?U)) *$""))"),FALSE)</f>
        <v>0</v>
      </c>
      <c r="AM70" s="37" t="b">
        <f>IFERROR(__xludf.DUMMYFUNCTION("if(isblank(A70),,REGEXMATCH(B70,""^((I ?vs\. ?(U ?I|I ?U))|((U ?I|I ?U) ?vs\. ?I)) *$""))"),FALSE)</f>
        <v>0</v>
      </c>
      <c r="AN70" s="37" t="b">
        <f>IFERROR(__xludf.DUMMYFUNCTION("if(isblank(A70),,REGEXMATCH(B70,""^((D ?vs\. ?(U ?I|I ?U))|((U ?I|I ?U) ?vs\. ?D)) *$""))"),FALSE)</f>
        <v>0</v>
      </c>
      <c r="AO70" s="37" t="b">
        <f>IFERROR(__xludf.DUMMYFUNCTION("if(isblank(A70),,REGEXMATCH(B70,""^((U ?vs\. ?(U ?I|I ?U))|((U ?I|I ?U) ?vs\. ?U)) *$""))"),FALSE)</f>
        <v>0</v>
      </c>
      <c r="AP70" s="37" t="b">
        <f>IFERROR(__xludf.DUMMYFUNCTION("if(isblank(A70),,REGEXMATCH(B70,""^((I ?vs\. ?(U ?D|D ?U))|((D ?U|U ?D) ?vs\. ?I)) *$""))"),FALSE)</f>
        <v>0</v>
      </c>
      <c r="AQ70" s="37" t="b">
        <f>IFERROR(__xludf.DUMMYFUNCTION("if(isblank(A70),,REGEXMATCH(B70,""^((D ?vs\. ?(U ?D|D ?U))|((D ?U|U ?D) ?vs\. ?D)) *$""))"),FALSE)</f>
        <v>0</v>
      </c>
      <c r="AR70" s="37" t="b">
        <f>IFERROR(__xludf.DUMMYFUNCTION("if(isblank(A70),,REGEXMATCH(B70,""^((U ?vs\. ?(U ?D|D ?U))|((D ?U|U ?D) ?vs\. ?U)) *$""))"),FALSE)</f>
        <v>0</v>
      </c>
      <c r="AS70" s="37" t="b">
        <f>IFERROR(__xludf.DUMMYFUNCTION("if(isblank(A70),,REGEXMATCH(B70,""^((D ?I|I ?D) ?vs\. ?(D ?I|I ?D)) *$""))"),FALSE)</f>
        <v>0</v>
      </c>
      <c r="AT70" s="37" t="b">
        <f>IFERROR(__xludf.DUMMYFUNCTION("if(isblank(A70),,REGEXMATCH(B70,""^((D ?I|I ?D) ?vs\. ?(U ?I|I ?U))|((U ?I|I ?U) ?vs\. ?(D ?I|I ?D)) *$""))"),FALSE)</f>
        <v>0</v>
      </c>
      <c r="AU70" s="37" t="b">
        <f>IFERROR(__xludf.DUMMYFUNCTION("if(isblank(A70),,REGEXMATCH(B70,""^((D ?I|I ?D) ?vs\. ?(U ?D|D ?U))|((U ?D|D ?U) ?vs\. ?(D ?I|I ?D)) *$""))"),FALSE)</f>
        <v>0</v>
      </c>
      <c r="AV70" s="37" t="b">
        <f>IFERROR(__xludf.DUMMYFUNCTION("if(isblank(A70),,REGEXMATCH(B70,""^((U ?I|I ?U) ?vs\. ?(U ?I|I ?U)) *$""))"),FALSE)</f>
        <v>0</v>
      </c>
    </row>
    <row r="71" ht="26.25" customHeight="1">
      <c r="A71" s="79" t="str">
        <f>Paper_Textual_Conflict!M71</f>
        <v>D vs. U (Java code) R include L</v>
      </c>
      <c r="B71" s="37" t="str">
        <f>IFERROR(__xludf.DUMMYFUNCTION("if(isblank(A71),,regexextract(REGEXEXTRACT(A71,""^.*""),""^[^(]*""))"),"D vs. U ")</f>
        <v>D vs. U </v>
      </c>
      <c r="C71" s="37" t="b">
        <f>IFERROR(__xludf.DUMMYFUNCTION("if(isblank(A71),,REGEXMATCH(B71,"".*\+.*"") )"),FALSE)</f>
        <v>0</v>
      </c>
      <c r="D71" s="37" t="b">
        <f>IFERROR(__xludf.DUMMYFUNCTION("if(isblank(A71),,REGEXMATCH(B71,"".*vs.*"") )"),TRUE)</f>
        <v>1</v>
      </c>
      <c r="E71" s="37" t="b">
        <f>Paper_Textual_Conflict!H71</f>
        <v>1</v>
      </c>
      <c r="F71" s="37" t="str">
        <f>Paper_Textual_Conflict!Q71</f>
        <v>Java</v>
      </c>
      <c r="G71" s="33">
        <v>71.0</v>
      </c>
      <c r="H71" s="37" t="b">
        <f>IFERROR(__xludf.DUMMYFUNCTION("if(isblank(A71),,REGEXMATCH(B71,""^I *\+ I *$""))"),FALSE)</f>
        <v>0</v>
      </c>
      <c r="I71" s="37" t="b">
        <f>IFERROR(__xludf.DUMMYFUNCTION("if(isblank(A71),,REGEXMATCH(B71,""(^I *\+ D *$)|(^D *\+ I *$)""))"),FALSE)</f>
        <v>0</v>
      </c>
      <c r="J71" s="37" t="b">
        <f>IFERROR(__xludf.DUMMYFUNCTION("if(isblank(A71),,REGEXMATCH(B71,""(^I *\+ U *$)|(^U *\+ I *$)""))"),FALSE)</f>
        <v>0</v>
      </c>
      <c r="K71" s="37" t="b">
        <f>IFERROR(__xludf.DUMMYFUNCTION("if(isblank(A71),,REGEXMATCH(B71,""(^I *\+ N *$)|(^N *\+ I *$)"") )"),FALSE)</f>
        <v>0</v>
      </c>
      <c r="L71" s="37" t="b">
        <f>IFERROR(__xludf.DUMMYFUNCTION("if(isblank(A71),,REGEXMATCH(B71,""^D *\+ D *$""))"),FALSE)</f>
        <v>0</v>
      </c>
      <c r="M71" s="37" t="b">
        <f>IFERROR(__xludf.DUMMYFUNCTION("if(isblank(A71),,REGEXMATCH(B71,""(^U *\+ D *$)|(^D *\+ U *$)""))"),FALSE)</f>
        <v>0</v>
      </c>
      <c r="N71" s="37" t="b">
        <f>IFERROR(__xludf.DUMMYFUNCTION("if(isblank(A71),,REGEXMATCH(B71,""(^N *\+ D *$)|(^D *\+ N *$)""))"),FALSE)</f>
        <v>0</v>
      </c>
      <c r="O71" s="37" t="b">
        <f>IFERROR(__xludf.DUMMYFUNCTION("if(isblank(A71),,REGEXMATCH(B71,""^U *\+ U *$""))"),FALSE)</f>
        <v>0</v>
      </c>
      <c r="P71" s="37" t="b">
        <f>IFERROR(__xludf.DUMMYFUNCTION("if(isblank(A71),,REGEXMATCH(B71,""(^U *\+ N *$)|(^N *\+ U *$)""))"),FALSE)</f>
        <v>0</v>
      </c>
      <c r="Q71" s="37" t="b">
        <f>IFERROR(__xludf.DUMMYFUNCTION("if(isblank(A71),,REGEXMATCH(B71,""^((I ?\+ ?(D ?I|I ?D))|((D ?I|I ?D) ?\+ ?I)) *$""))"),FALSE)</f>
        <v>0</v>
      </c>
      <c r="R71" s="37" t="b">
        <f>IFERROR(__xludf.DUMMYFUNCTION("if(isblank(A71),,REGEXMATCH(B71,""^((D ?\+ ?(D ?I|I ?D))|((D ?I|I ?D) ?\+ ?D)) *$""))"),FALSE)</f>
        <v>0</v>
      </c>
      <c r="S71" s="37" t="b">
        <f>IFERROR(__xludf.DUMMYFUNCTION("if(isblank(A71),,REGEXMATCH(B71,""^((U ?\+ ?(D ?I|I ?D))|((D ?I|I ?D) ?\+ ?U)) *$""))"),FALSE)</f>
        <v>0</v>
      </c>
      <c r="T71" s="37" t="b">
        <f>IFERROR(__xludf.DUMMYFUNCTION("if(isblank(A71),,REGEXMATCH(B71,""^((N ?\+ ?(D ?I|I ?D))|((D ?I|I ?D) ?\+ ?N)) *$""))"),FALSE)</f>
        <v>0</v>
      </c>
      <c r="U71" s="37" t="b">
        <f>IFERROR(__xludf.DUMMYFUNCTION("if(isblank(A71),,REGEXMATCH(B71,""^((I ?\+ ?(U ?I|I ?U))|((I ?U|U ?I) ?\+ ?I)) *$""))"),FALSE)</f>
        <v>0</v>
      </c>
      <c r="V71" s="37" t="b">
        <f>IFERROR(__xludf.DUMMYFUNCTION("if(isblank(A71),,REGEXMATCH(B71,""^((D ?\+ ?(U ?I|I ?U))|((I ?U|U ?I) ?\+ ?D)) *$""))"),FALSE)</f>
        <v>0</v>
      </c>
      <c r="W71" s="37" t="b">
        <f>IFERROR(__xludf.DUMMYFUNCTION("if(isblank(A71),,REGEXMATCH(B71,""^((U ?\+ ?(U ?I|I ?U))|((I ?U|U ?I) ?\+ ?U)) *$""))"),FALSE)</f>
        <v>0</v>
      </c>
      <c r="X71" s="37" t="b">
        <f>IFERROR(__xludf.DUMMYFUNCTION("if(isblank(A71),,REGEXMATCH(B71,""^((N ?\+ ?(U ?I|I ?U))|((I ?U|U ?I) ?\+ ?N)) *$""))"),FALSE)</f>
        <v>0</v>
      </c>
      <c r="Y71" s="37" t="b">
        <f>IFERROR(__xludf.DUMMYFUNCTION("if(isblank(A71),,REGEXMATCH(B71,""^((I ?\+ ?(U ?D|D ?U))|((D ?U|U ?D) ?\+ ?I)) *$""))"),FALSE)</f>
        <v>0</v>
      </c>
      <c r="Z71" s="37" t="b">
        <f>IFERROR(__xludf.DUMMYFUNCTION("if(isblank(A71),,REGEXMATCH(B71,""^((D ?\+ ?(U ?D|D ?U))|((D ?U|U ?D) ?\+ ?D)) *$""))"),FALSE)</f>
        <v>0</v>
      </c>
      <c r="AA71" s="37" t="b">
        <f>IFERROR(__xludf.DUMMYFUNCTION("if(isblank(A71),,REGEXMATCH(B71,""^((U ?\+ ?(U ?D|D ?U))|((D ?U|U ?D) ?\+ ?U)) *$""))"),FALSE)</f>
        <v>0</v>
      </c>
      <c r="AB71" s="37" t="b">
        <f>IFERROR(__xludf.DUMMYFUNCTION("if(isblank(A71),,REGEXMATCH(B71,""^((D ?I|I ?D) ?\+ ?(D ?I|I ?D)) *$""))"),FALSE)</f>
        <v>0</v>
      </c>
      <c r="AC71" s="37" t="b">
        <f>IFERROR(__xludf.DUMMYFUNCTION("if(isblank(A71),,REGEXMATCH(B71,""^((D ?I|I ?D) ?\+ ?(U ?I|I ?U))|((U ?I|I ?U) ?\+ ?(D ?I|I ?D)) *$""))"),FALSE)</f>
        <v>0</v>
      </c>
      <c r="AD71" s="37" t="b">
        <f>IFERROR(__xludf.DUMMYFUNCTION("if(isblank(A71),,REGEXMATCH(B71,""^I *vs\. I *$""))"),FALSE)</f>
        <v>0</v>
      </c>
      <c r="AE71" s="37" t="b">
        <f>IFERROR(__xludf.DUMMYFUNCTION("if(isblank(A71),,REGEXMATCH(B71,""(^I *vs\. D *$)|(^D *vs\. I *$)""))"),FALSE)</f>
        <v>0</v>
      </c>
      <c r="AF71" s="37" t="b">
        <f>IFERROR(__xludf.DUMMYFUNCTION("if(isblank(A71),,REGEXMATCH(B71,""(^I *vs\. U *$)|(^U *vs\. I *$)""))"),FALSE)</f>
        <v>0</v>
      </c>
      <c r="AG71" s="37" t="b">
        <f>IFERROR(__xludf.DUMMYFUNCTION("if(isblank(A71),,REGEXMATCH(B71,""^D *vs\. D *$""))"),FALSE)</f>
        <v>0</v>
      </c>
      <c r="AH71" s="37" t="b">
        <f>IFERROR(__xludf.DUMMYFUNCTION("if(isblank(A71),,REGEXMATCH(B71,""(^U *vs\. D *$)|(^D *vs\. U *$)""))"),TRUE)</f>
        <v>1</v>
      </c>
      <c r="AI71" s="37" t="b">
        <f>IFERROR(__xludf.DUMMYFUNCTION("if(isblank(A71),,REGEXMATCH(B71,""^U *vs\. U *$""))"),FALSE)</f>
        <v>0</v>
      </c>
      <c r="AJ71" s="37" t="b">
        <f>IFERROR(__xludf.DUMMYFUNCTION("if(isblank(A71),,REGEXMATCH(B71,""^((I ?vs\. ?(D ?I|I ?D))|((D ?I|I ?D) ?vs\. ?I)) *$""))"),FALSE)</f>
        <v>0</v>
      </c>
      <c r="AK71" s="37" t="b">
        <f>IFERROR(__xludf.DUMMYFUNCTION("if(isblank(A71),,REGEXMATCH(B71,""^((D ?vs\. ?(D ?I|I ?D))|((D ?I|I ?D) ?vs\. ?D)) *$""))"),FALSE)</f>
        <v>0</v>
      </c>
      <c r="AL71" s="37" t="b">
        <f>IFERROR(__xludf.DUMMYFUNCTION("if(isblank(A71),,REGEXMATCH(B71,""^((U ?vs\. ?(D ?I|I ?D))|((D ?I|I ?D) ?vs\. ?U)) *$""))"),FALSE)</f>
        <v>0</v>
      </c>
      <c r="AM71" s="37" t="b">
        <f>IFERROR(__xludf.DUMMYFUNCTION("if(isblank(A71),,REGEXMATCH(B71,""^((I ?vs\. ?(U ?I|I ?U))|((U ?I|I ?U) ?vs\. ?I)) *$""))"),FALSE)</f>
        <v>0</v>
      </c>
      <c r="AN71" s="37" t="b">
        <f>IFERROR(__xludf.DUMMYFUNCTION("if(isblank(A71),,REGEXMATCH(B71,""^((D ?vs\. ?(U ?I|I ?U))|((U ?I|I ?U) ?vs\. ?D)) *$""))"),FALSE)</f>
        <v>0</v>
      </c>
      <c r="AO71" s="37" t="b">
        <f>IFERROR(__xludf.DUMMYFUNCTION("if(isblank(A71),,REGEXMATCH(B71,""^((U ?vs\. ?(U ?I|I ?U))|((U ?I|I ?U) ?vs\. ?U)) *$""))"),FALSE)</f>
        <v>0</v>
      </c>
      <c r="AP71" s="37" t="b">
        <f>IFERROR(__xludf.DUMMYFUNCTION("if(isblank(A71),,REGEXMATCH(B71,""^((I ?vs\. ?(U ?D|D ?U))|((D ?U|U ?D) ?vs\. ?I)) *$""))"),FALSE)</f>
        <v>0</v>
      </c>
      <c r="AQ71" s="37" t="b">
        <f>IFERROR(__xludf.DUMMYFUNCTION("if(isblank(A71),,REGEXMATCH(B71,""^((D ?vs\. ?(U ?D|D ?U))|((D ?U|U ?D) ?vs\. ?D)) *$""))"),FALSE)</f>
        <v>0</v>
      </c>
      <c r="AR71" s="37" t="b">
        <f>IFERROR(__xludf.DUMMYFUNCTION("if(isblank(A71),,REGEXMATCH(B71,""^((U ?vs\. ?(U ?D|D ?U))|((D ?U|U ?D) ?vs\. ?U)) *$""))"),FALSE)</f>
        <v>0</v>
      </c>
      <c r="AS71" s="37" t="b">
        <f>IFERROR(__xludf.DUMMYFUNCTION("if(isblank(A71),,REGEXMATCH(B71,""^((D ?I|I ?D) ?vs\. ?(D ?I|I ?D)) *$""))"),FALSE)</f>
        <v>0</v>
      </c>
      <c r="AT71" s="37" t="b">
        <f>IFERROR(__xludf.DUMMYFUNCTION("if(isblank(A71),,REGEXMATCH(B71,""^((D ?I|I ?D) ?vs\. ?(U ?I|I ?U))|((U ?I|I ?U) ?vs\. ?(D ?I|I ?D)) *$""))"),FALSE)</f>
        <v>0</v>
      </c>
      <c r="AU71" s="37" t="b">
        <f>IFERROR(__xludf.DUMMYFUNCTION("if(isblank(A71),,REGEXMATCH(B71,""^((D ?I|I ?D) ?vs\. ?(U ?D|D ?U))|((U ?D|D ?U) ?vs\. ?(D ?I|I ?D)) *$""))"),FALSE)</f>
        <v>0</v>
      </c>
      <c r="AV71" s="37" t="b">
        <f>IFERROR(__xludf.DUMMYFUNCTION("if(isblank(A71),,REGEXMATCH(B71,""^((U ?I|I ?U) ?vs\. ?(U ?I|I ?U)) *$""))"),FALSE)</f>
        <v>0</v>
      </c>
    </row>
    <row r="72" ht="26.25" customHeight="1">
      <c r="A72" s="79" t="str">
        <f>Paper_Textual_Conflict!M72</f>
        <v>U vs. D (version no.) L includes R</v>
      </c>
      <c r="B72" s="37" t="str">
        <f>IFERROR(__xludf.DUMMYFUNCTION("if(isblank(A72),,regexextract(REGEXEXTRACT(A72,""^.*""),""^[^(]*""))"),"U vs. D ")</f>
        <v>U vs. D </v>
      </c>
      <c r="C72" s="37" t="b">
        <f>IFERROR(__xludf.DUMMYFUNCTION("if(isblank(A72),,REGEXMATCH(B72,"".*\+.*"") )"),FALSE)</f>
        <v>0</v>
      </c>
      <c r="D72" s="37" t="b">
        <f>IFERROR(__xludf.DUMMYFUNCTION("if(isblank(A72),,REGEXMATCH(B72,"".*vs.*"") )"),TRUE)</f>
        <v>1</v>
      </c>
      <c r="E72" s="37" t="b">
        <f>Paper_Textual_Conflict!H72</f>
        <v>1</v>
      </c>
      <c r="F72" s="37" t="str">
        <f>Paper_Textual_Conflict!Q72</f>
        <v>Non-Java</v>
      </c>
      <c r="G72" s="33">
        <v>72.0</v>
      </c>
      <c r="H72" s="37" t="b">
        <f>IFERROR(__xludf.DUMMYFUNCTION("if(isblank(A72),,REGEXMATCH(B72,""^I *\+ I *$""))"),FALSE)</f>
        <v>0</v>
      </c>
      <c r="I72" s="37" t="b">
        <f>IFERROR(__xludf.DUMMYFUNCTION("if(isblank(A72),,REGEXMATCH(B72,""(^I *\+ D *$)|(^D *\+ I *$)""))"),FALSE)</f>
        <v>0</v>
      </c>
      <c r="J72" s="37" t="b">
        <f>IFERROR(__xludf.DUMMYFUNCTION("if(isblank(A72),,REGEXMATCH(B72,""(^I *\+ U *$)|(^U *\+ I *$)""))"),FALSE)</f>
        <v>0</v>
      </c>
      <c r="K72" s="37" t="b">
        <f>IFERROR(__xludf.DUMMYFUNCTION("if(isblank(A72),,REGEXMATCH(B72,""(^I *\+ N *$)|(^N *\+ I *$)"") )"),FALSE)</f>
        <v>0</v>
      </c>
      <c r="L72" s="37" t="b">
        <f>IFERROR(__xludf.DUMMYFUNCTION("if(isblank(A72),,REGEXMATCH(B72,""^D *\+ D *$""))"),FALSE)</f>
        <v>0</v>
      </c>
      <c r="M72" s="37" t="b">
        <f>IFERROR(__xludf.DUMMYFUNCTION("if(isblank(A72),,REGEXMATCH(B72,""(^U *\+ D *$)|(^D *\+ U *$)""))"),FALSE)</f>
        <v>0</v>
      </c>
      <c r="N72" s="37" t="b">
        <f>IFERROR(__xludf.DUMMYFUNCTION("if(isblank(A72),,REGEXMATCH(B72,""(^N *\+ D *$)|(^D *\+ N *$)""))"),FALSE)</f>
        <v>0</v>
      </c>
      <c r="O72" s="37" t="b">
        <f>IFERROR(__xludf.DUMMYFUNCTION("if(isblank(A72),,REGEXMATCH(B72,""^U *\+ U *$""))"),FALSE)</f>
        <v>0</v>
      </c>
      <c r="P72" s="37" t="b">
        <f>IFERROR(__xludf.DUMMYFUNCTION("if(isblank(A72),,REGEXMATCH(B72,""(^U *\+ N *$)|(^N *\+ U *$)""))"),FALSE)</f>
        <v>0</v>
      </c>
      <c r="Q72" s="37" t="b">
        <f>IFERROR(__xludf.DUMMYFUNCTION("if(isblank(A72),,REGEXMATCH(B72,""^((I ?\+ ?(D ?I|I ?D))|((D ?I|I ?D) ?\+ ?I)) *$""))"),FALSE)</f>
        <v>0</v>
      </c>
      <c r="R72" s="37" t="b">
        <f>IFERROR(__xludf.DUMMYFUNCTION("if(isblank(A72),,REGEXMATCH(B72,""^((D ?\+ ?(D ?I|I ?D))|((D ?I|I ?D) ?\+ ?D)) *$""))"),FALSE)</f>
        <v>0</v>
      </c>
      <c r="S72" s="37" t="b">
        <f>IFERROR(__xludf.DUMMYFUNCTION("if(isblank(A72),,REGEXMATCH(B72,""^((U ?\+ ?(D ?I|I ?D))|((D ?I|I ?D) ?\+ ?U)) *$""))"),FALSE)</f>
        <v>0</v>
      </c>
      <c r="T72" s="37" t="b">
        <f>IFERROR(__xludf.DUMMYFUNCTION("if(isblank(A72),,REGEXMATCH(B72,""^((N ?\+ ?(D ?I|I ?D))|((D ?I|I ?D) ?\+ ?N)) *$""))"),FALSE)</f>
        <v>0</v>
      </c>
      <c r="U72" s="37" t="b">
        <f>IFERROR(__xludf.DUMMYFUNCTION("if(isblank(A72),,REGEXMATCH(B72,""^((I ?\+ ?(U ?I|I ?U))|((I ?U|U ?I) ?\+ ?I)) *$""))"),FALSE)</f>
        <v>0</v>
      </c>
      <c r="V72" s="37" t="b">
        <f>IFERROR(__xludf.DUMMYFUNCTION("if(isblank(A72),,REGEXMATCH(B72,""^((D ?\+ ?(U ?I|I ?U))|((I ?U|U ?I) ?\+ ?D)) *$""))"),FALSE)</f>
        <v>0</v>
      </c>
      <c r="W72" s="37" t="b">
        <f>IFERROR(__xludf.DUMMYFUNCTION("if(isblank(A72),,REGEXMATCH(B72,""^((U ?\+ ?(U ?I|I ?U))|((I ?U|U ?I) ?\+ ?U)) *$""))"),FALSE)</f>
        <v>0</v>
      </c>
      <c r="X72" s="37" t="b">
        <f>IFERROR(__xludf.DUMMYFUNCTION("if(isblank(A72),,REGEXMATCH(B72,""^((N ?\+ ?(U ?I|I ?U))|((I ?U|U ?I) ?\+ ?N)) *$""))"),FALSE)</f>
        <v>0</v>
      </c>
      <c r="Y72" s="37" t="b">
        <f>IFERROR(__xludf.DUMMYFUNCTION("if(isblank(A72),,REGEXMATCH(B72,""^((I ?\+ ?(U ?D|D ?U))|((D ?U|U ?D) ?\+ ?I)) *$""))"),FALSE)</f>
        <v>0</v>
      </c>
      <c r="Z72" s="37" t="b">
        <f>IFERROR(__xludf.DUMMYFUNCTION("if(isblank(A72),,REGEXMATCH(B72,""^((D ?\+ ?(U ?D|D ?U))|((D ?U|U ?D) ?\+ ?D)) *$""))"),FALSE)</f>
        <v>0</v>
      </c>
      <c r="AA72" s="37" t="b">
        <f>IFERROR(__xludf.DUMMYFUNCTION("if(isblank(A72),,REGEXMATCH(B72,""^((U ?\+ ?(U ?D|D ?U))|((D ?U|U ?D) ?\+ ?U)) *$""))"),FALSE)</f>
        <v>0</v>
      </c>
      <c r="AB72" s="37" t="b">
        <f>IFERROR(__xludf.DUMMYFUNCTION("if(isblank(A72),,REGEXMATCH(B72,""^((D ?I|I ?D) ?\+ ?(D ?I|I ?D)) *$""))"),FALSE)</f>
        <v>0</v>
      </c>
      <c r="AC72" s="37" t="b">
        <f>IFERROR(__xludf.DUMMYFUNCTION("if(isblank(A72),,REGEXMATCH(B72,""^((D ?I|I ?D) ?\+ ?(U ?I|I ?U))|((U ?I|I ?U) ?\+ ?(D ?I|I ?D)) *$""))"),FALSE)</f>
        <v>0</v>
      </c>
      <c r="AD72" s="37" t="b">
        <f>IFERROR(__xludf.DUMMYFUNCTION("if(isblank(A72),,REGEXMATCH(B72,""^I *vs\. I *$""))"),FALSE)</f>
        <v>0</v>
      </c>
      <c r="AE72" s="37" t="b">
        <f>IFERROR(__xludf.DUMMYFUNCTION("if(isblank(A72),,REGEXMATCH(B72,""(^I *vs\. D *$)|(^D *vs\. I *$)""))"),FALSE)</f>
        <v>0</v>
      </c>
      <c r="AF72" s="37" t="b">
        <f>IFERROR(__xludf.DUMMYFUNCTION("if(isblank(A72),,REGEXMATCH(B72,""(^I *vs\. U *$)|(^U *vs\. I *$)""))"),FALSE)</f>
        <v>0</v>
      </c>
      <c r="AG72" s="37" t="b">
        <f>IFERROR(__xludf.DUMMYFUNCTION("if(isblank(A72),,REGEXMATCH(B72,""^D *vs\. D *$""))"),FALSE)</f>
        <v>0</v>
      </c>
      <c r="AH72" s="37" t="b">
        <f>IFERROR(__xludf.DUMMYFUNCTION("if(isblank(A72),,REGEXMATCH(B72,""(^U *vs\. D *$)|(^D *vs\. U *$)""))"),TRUE)</f>
        <v>1</v>
      </c>
      <c r="AI72" s="37" t="b">
        <f>IFERROR(__xludf.DUMMYFUNCTION("if(isblank(A72),,REGEXMATCH(B72,""^U *vs\. U *$""))"),FALSE)</f>
        <v>0</v>
      </c>
      <c r="AJ72" s="37" t="b">
        <f>IFERROR(__xludf.DUMMYFUNCTION("if(isblank(A72),,REGEXMATCH(B72,""^((I ?vs\. ?(D ?I|I ?D))|((D ?I|I ?D) ?vs\. ?I)) *$""))"),FALSE)</f>
        <v>0</v>
      </c>
      <c r="AK72" s="37" t="b">
        <f>IFERROR(__xludf.DUMMYFUNCTION("if(isblank(A72),,REGEXMATCH(B72,""^((D ?vs\. ?(D ?I|I ?D))|((D ?I|I ?D) ?vs\. ?D)) *$""))"),FALSE)</f>
        <v>0</v>
      </c>
      <c r="AL72" s="37" t="b">
        <f>IFERROR(__xludf.DUMMYFUNCTION("if(isblank(A72),,REGEXMATCH(B72,""^((U ?vs\. ?(D ?I|I ?D))|((D ?I|I ?D) ?vs\. ?U)) *$""))"),FALSE)</f>
        <v>0</v>
      </c>
      <c r="AM72" s="37" t="b">
        <f>IFERROR(__xludf.DUMMYFUNCTION("if(isblank(A72),,REGEXMATCH(B72,""^((I ?vs\. ?(U ?I|I ?U))|((U ?I|I ?U) ?vs\. ?I)) *$""))"),FALSE)</f>
        <v>0</v>
      </c>
      <c r="AN72" s="37" t="b">
        <f>IFERROR(__xludf.DUMMYFUNCTION("if(isblank(A72),,REGEXMATCH(B72,""^((D ?vs\. ?(U ?I|I ?U))|((U ?I|I ?U) ?vs\. ?D)) *$""))"),FALSE)</f>
        <v>0</v>
      </c>
      <c r="AO72" s="37" t="b">
        <f>IFERROR(__xludf.DUMMYFUNCTION("if(isblank(A72),,REGEXMATCH(B72,""^((U ?vs\. ?(U ?I|I ?U))|((U ?I|I ?U) ?vs\. ?U)) *$""))"),FALSE)</f>
        <v>0</v>
      </c>
      <c r="AP72" s="37" t="b">
        <f>IFERROR(__xludf.DUMMYFUNCTION("if(isblank(A72),,REGEXMATCH(B72,""^((I ?vs\. ?(U ?D|D ?U))|((D ?U|U ?D) ?vs\. ?I)) *$""))"),FALSE)</f>
        <v>0</v>
      </c>
      <c r="AQ72" s="37" t="b">
        <f>IFERROR(__xludf.DUMMYFUNCTION("if(isblank(A72),,REGEXMATCH(B72,""^((D ?vs\. ?(U ?D|D ?U))|((D ?U|U ?D) ?vs\. ?D)) *$""))"),FALSE)</f>
        <v>0</v>
      </c>
      <c r="AR72" s="37" t="b">
        <f>IFERROR(__xludf.DUMMYFUNCTION("if(isblank(A72),,REGEXMATCH(B72,""^((U ?vs\. ?(U ?D|D ?U))|((D ?U|U ?D) ?vs\. ?U)) *$""))"),FALSE)</f>
        <v>0</v>
      </c>
      <c r="AS72" s="37" t="b">
        <f>IFERROR(__xludf.DUMMYFUNCTION("if(isblank(A72),,REGEXMATCH(B72,""^((D ?I|I ?D) ?vs\. ?(D ?I|I ?D)) *$""))"),FALSE)</f>
        <v>0</v>
      </c>
      <c r="AT72" s="37" t="b">
        <f>IFERROR(__xludf.DUMMYFUNCTION("if(isblank(A72),,REGEXMATCH(B72,""^((D ?I|I ?D) ?vs\. ?(U ?I|I ?U))|((U ?I|I ?U) ?vs\. ?(D ?I|I ?D)) *$""))"),FALSE)</f>
        <v>0</v>
      </c>
      <c r="AU72" s="37" t="b">
        <f>IFERROR(__xludf.DUMMYFUNCTION("if(isblank(A72),,REGEXMATCH(B72,""^((D ?I|I ?D) ?vs\. ?(U ?D|D ?U))|((U ?D|D ?U) ?vs\. ?(D ?I|I ?D)) *$""))"),FALSE)</f>
        <v>0</v>
      </c>
      <c r="AV72" s="37" t="b">
        <f>IFERROR(__xludf.DUMMYFUNCTION("if(isblank(A72),,REGEXMATCH(B72,""^((U ?I|I ?U) ?vs\. ?(U ?I|I ?U)) *$""))"),FALSE)</f>
        <v>0</v>
      </c>
    </row>
    <row r="73" ht="26.25" customHeight="1">
      <c r="A73" s="79" t="str">
        <f>Paper_Textual_Conflict!M73</f>
        <v>D I vs. D U(Java code)
Origin(U vs. U)</v>
      </c>
      <c r="B73" s="37" t="str">
        <f>IFERROR(__xludf.DUMMYFUNCTION("if(isblank(A73),,regexextract(REGEXEXTRACT(A73,""^.*""),""^[^(]*""))"),"D I vs. D U")</f>
        <v>D I vs. D U</v>
      </c>
      <c r="C73" s="37" t="b">
        <f>IFERROR(__xludf.DUMMYFUNCTION("if(isblank(A73),,REGEXMATCH(B73,"".*\+.*"") )"),FALSE)</f>
        <v>0</v>
      </c>
      <c r="D73" s="37" t="b">
        <f>IFERROR(__xludf.DUMMYFUNCTION("if(isblank(A73),,REGEXMATCH(B73,"".*vs.*"") )"),TRUE)</f>
        <v>1</v>
      </c>
      <c r="E73" s="37" t="b">
        <f>Paper_Textual_Conflict!H73</f>
        <v>1</v>
      </c>
      <c r="F73" s="37" t="str">
        <f>Paper_Textual_Conflict!Q73</f>
        <v>Java</v>
      </c>
      <c r="G73" s="33">
        <v>73.0</v>
      </c>
      <c r="H73" s="37" t="b">
        <f>IFERROR(__xludf.DUMMYFUNCTION("if(isblank(A73),,REGEXMATCH(B73,""^I *\+ I *$""))"),FALSE)</f>
        <v>0</v>
      </c>
      <c r="I73" s="37" t="b">
        <f>IFERROR(__xludf.DUMMYFUNCTION("if(isblank(A73),,REGEXMATCH(B73,""(^I *\+ D *$)|(^D *\+ I *$)""))"),FALSE)</f>
        <v>0</v>
      </c>
      <c r="J73" s="37" t="b">
        <f>IFERROR(__xludf.DUMMYFUNCTION("if(isblank(A73),,REGEXMATCH(B73,""(^I *\+ U *$)|(^U *\+ I *$)""))"),FALSE)</f>
        <v>0</v>
      </c>
      <c r="K73" s="37" t="b">
        <f>IFERROR(__xludf.DUMMYFUNCTION("if(isblank(A73),,REGEXMATCH(B73,""(^I *\+ N *$)|(^N *\+ I *$)"") )"),FALSE)</f>
        <v>0</v>
      </c>
      <c r="L73" s="37" t="b">
        <f>IFERROR(__xludf.DUMMYFUNCTION("if(isblank(A73),,REGEXMATCH(B73,""^D *\+ D *$""))"),FALSE)</f>
        <v>0</v>
      </c>
      <c r="M73" s="37" t="b">
        <f>IFERROR(__xludf.DUMMYFUNCTION("if(isblank(A73),,REGEXMATCH(B73,""(^U *\+ D *$)|(^D *\+ U *$)""))"),FALSE)</f>
        <v>0</v>
      </c>
      <c r="N73" s="37" t="b">
        <f>IFERROR(__xludf.DUMMYFUNCTION("if(isblank(A73),,REGEXMATCH(B73,""(^N *\+ D *$)|(^D *\+ N *$)""))"),FALSE)</f>
        <v>0</v>
      </c>
      <c r="O73" s="37" t="b">
        <f>IFERROR(__xludf.DUMMYFUNCTION("if(isblank(A73),,REGEXMATCH(B73,""^U *\+ U *$""))"),FALSE)</f>
        <v>0</v>
      </c>
      <c r="P73" s="37" t="b">
        <f>IFERROR(__xludf.DUMMYFUNCTION("if(isblank(A73),,REGEXMATCH(B73,""(^U *\+ N *$)|(^N *\+ U *$)""))"),FALSE)</f>
        <v>0</v>
      </c>
      <c r="Q73" s="37" t="b">
        <f>IFERROR(__xludf.DUMMYFUNCTION("if(isblank(A73),,REGEXMATCH(B73,""^((I ?\+ ?(D ?I|I ?D))|((D ?I|I ?D) ?\+ ?I)) *$""))"),FALSE)</f>
        <v>0</v>
      </c>
      <c r="R73" s="37" t="b">
        <f>IFERROR(__xludf.DUMMYFUNCTION("if(isblank(A73),,REGEXMATCH(B73,""^((D ?\+ ?(D ?I|I ?D))|((D ?I|I ?D) ?\+ ?D)) *$""))"),FALSE)</f>
        <v>0</v>
      </c>
      <c r="S73" s="37" t="b">
        <f>IFERROR(__xludf.DUMMYFUNCTION("if(isblank(A73),,REGEXMATCH(B73,""^((U ?\+ ?(D ?I|I ?D))|((D ?I|I ?D) ?\+ ?U)) *$""))"),FALSE)</f>
        <v>0</v>
      </c>
      <c r="T73" s="37" t="b">
        <f>IFERROR(__xludf.DUMMYFUNCTION("if(isblank(A73),,REGEXMATCH(B73,""^((N ?\+ ?(D ?I|I ?D))|((D ?I|I ?D) ?\+ ?N)) *$""))"),FALSE)</f>
        <v>0</v>
      </c>
      <c r="U73" s="37" t="b">
        <f>IFERROR(__xludf.DUMMYFUNCTION("if(isblank(A73),,REGEXMATCH(B73,""^((I ?\+ ?(U ?I|I ?U))|((I ?U|U ?I) ?\+ ?I)) *$""))"),FALSE)</f>
        <v>0</v>
      </c>
      <c r="V73" s="37" t="b">
        <f>IFERROR(__xludf.DUMMYFUNCTION("if(isblank(A73),,REGEXMATCH(B73,""^((D ?\+ ?(U ?I|I ?U))|((I ?U|U ?I) ?\+ ?D)) *$""))"),FALSE)</f>
        <v>0</v>
      </c>
      <c r="W73" s="37" t="b">
        <f>IFERROR(__xludf.DUMMYFUNCTION("if(isblank(A73),,REGEXMATCH(B73,""^((U ?\+ ?(U ?I|I ?U))|((I ?U|U ?I) ?\+ ?U)) *$""))"),FALSE)</f>
        <v>0</v>
      </c>
      <c r="X73" s="37" t="b">
        <f>IFERROR(__xludf.DUMMYFUNCTION("if(isblank(A73),,REGEXMATCH(B73,""^((N ?\+ ?(U ?I|I ?U))|((I ?U|U ?I) ?\+ ?N)) *$""))"),FALSE)</f>
        <v>0</v>
      </c>
      <c r="Y73" s="37" t="b">
        <f>IFERROR(__xludf.DUMMYFUNCTION("if(isblank(A73),,REGEXMATCH(B73,""^((I ?\+ ?(U ?D|D ?U))|((D ?U|U ?D) ?\+ ?I)) *$""))"),FALSE)</f>
        <v>0</v>
      </c>
      <c r="Z73" s="37" t="b">
        <f>IFERROR(__xludf.DUMMYFUNCTION("if(isblank(A73),,REGEXMATCH(B73,""^((D ?\+ ?(U ?D|D ?U))|((D ?U|U ?D) ?\+ ?D)) *$""))"),FALSE)</f>
        <v>0</v>
      </c>
      <c r="AA73" s="37" t="b">
        <f>IFERROR(__xludf.DUMMYFUNCTION("if(isblank(A73),,REGEXMATCH(B73,""^((U ?\+ ?(U ?D|D ?U))|((D ?U|U ?D) ?\+ ?U)) *$""))"),FALSE)</f>
        <v>0</v>
      </c>
      <c r="AB73" s="37" t="b">
        <f>IFERROR(__xludf.DUMMYFUNCTION("if(isblank(A73),,REGEXMATCH(B73,""^((D ?I|I ?D) ?\+ ?(D ?I|I ?D)) *$""))"),FALSE)</f>
        <v>0</v>
      </c>
      <c r="AC73" s="37" t="b">
        <f>IFERROR(__xludf.DUMMYFUNCTION("if(isblank(A73),,REGEXMATCH(B73,""^((D ?I|I ?D) ?\+ ?(U ?I|I ?U))|((U ?I|I ?U) ?\+ ?(D ?I|I ?D)) *$""))"),FALSE)</f>
        <v>0</v>
      </c>
      <c r="AD73" s="37" t="b">
        <f>IFERROR(__xludf.DUMMYFUNCTION("if(isblank(A73),,REGEXMATCH(B73,""^I *vs\. I *$""))"),FALSE)</f>
        <v>0</v>
      </c>
      <c r="AE73" s="37" t="b">
        <f>IFERROR(__xludf.DUMMYFUNCTION("if(isblank(A73),,REGEXMATCH(B73,""(^I *vs\. D *$)|(^D *vs\. I *$)""))"),FALSE)</f>
        <v>0</v>
      </c>
      <c r="AF73" s="37" t="b">
        <f>IFERROR(__xludf.DUMMYFUNCTION("if(isblank(A73),,REGEXMATCH(B73,""(^I *vs\. U *$)|(^U *vs\. I *$)""))"),FALSE)</f>
        <v>0</v>
      </c>
      <c r="AG73" s="37" t="b">
        <f>IFERROR(__xludf.DUMMYFUNCTION("if(isblank(A73),,REGEXMATCH(B73,""^D *vs\. D *$""))"),FALSE)</f>
        <v>0</v>
      </c>
      <c r="AH73" s="37" t="b">
        <f>IFERROR(__xludf.DUMMYFUNCTION("if(isblank(A73),,REGEXMATCH(B73,""(^U *vs\. D *$)|(^D *vs\. U *$)""))"),FALSE)</f>
        <v>0</v>
      </c>
      <c r="AI73" s="37" t="b">
        <f>IFERROR(__xludf.DUMMYFUNCTION("if(isblank(A73),,REGEXMATCH(B73,""^U *vs\. U *$""))"),FALSE)</f>
        <v>0</v>
      </c>
      <c r="AJ73" s="37" t="b">
        <f>IFERROR(__xludf.DUMMYFUNCTION("if(isblank(A73),,REGEXMATCH(B73,""^((I ?vs\. ?(D ?I|I ?D))|((D ?I|I ?D) ?vs\. ?I)) *$""))"),FALSE)</f>
        <v>0</v>
      </c>
      <c r="AK73" s="37" t="b">
        <f>IFERROR(__xludf.DUMMYFUNCTION("if(isblank(A73),,REGEXMATCH(B73,""^((D ?vs\. ?(D ?I|I ?D))|((D ?I|I ?D) ?vs\. ?D)) *$""))"),FALSE)</f>
        <v>0</v>
      </c>
      <c r="AL73" s="37" t="b">
        <f>IFERROR(__xludf.DUMMYFUNCTION("if(isblank(A73),,REGEXMATCH(B73,""^((U ?vs\. ?(D ?I|I ?D))|((D ?I|I ?D) ?vs\. ?U)) *$""))"),FALSE)</f>
        <v>0</v>
      </c>
      <c r="AM73" s="37" t="b">
        <f>IFERROR(__xludf.DUMMYFUNCTION("if(isblank(A73),,REGEXMATCH(B73,""^((I ?vs\. ?(U ?I|I ?U))|((U ?I|I ?U) ?vs\. ?I)) *$""))"),FALSE)</f>
        <v>0</v>
      </c>
      <c r="AN73" s="37" t="b">
        <f>IFERROR(__xludf.DUMMYFUNCTION("if(isblank(A73),,REGEXMATCH(B73,""^((D ?vs\. ?(U ?I|I ?U))|((U ?I|I ?U) ?vs\. ?D)) *$""))"),FALSE)</f>
        <v>0</v>
      </c>
      <c r="AO73" s="37" t="b">
        <f>IFERROR(__xludf.DUMMYFUNCTION("if(isblank(A73),,REGEXMATCH(B73,""^((U ?vs\. ?(U ?I|I ?U))|((U ?I|I ?U) ?vs\. ?U)) *$""))"),FALSE)</f>
        <v>0</v>
      </c>
      <c r="AP73" s="37" t="b">
        <f>IFERROR(__xludf.DUMMYFUNCTION("if(isblank(A73),,REGEXMATCH(B73,""^((I ?vs\. ?(U ?D|D ?U))|((D ?U|U ?D) ?vs\. ?I)) *$""))"),FALSE)</f>
        <v>0</v>
      </c>
      <c r="AQ73" s="37" t="b">
        <f>IFERROR(__xludf.DUMMYFUNCTION("if(isblank(A73),,REGEXMATCH(B73,""^((D ?vs\. ?(U ?D|D ?U))|((D ?U|U ?D) ?vs\. ?D)) *$""))"),FALSE)</f>
        <v>0</v>
      </c>
      <c r="AR73" s="37" t="b">
        <f>IFERROR(__xludf.DUMMYFUNCTION("if(isblank(A73),,REGEXMATCH(B73,""^((U ?vs\. ?(U ?D|D ?U))|((D ?U|U ?D) ?vs\. ?U)) *$""))"),FALSE)</f>
        <v>0</v>
      </c>
      <c r="AS73" s="37" t="b">
        <f>IFERROR(__xludf.DUMMYFUNCTION("if(isblank(A73),,REGEXMATCH(B73,""^((D ?I|I ?D) ?vs\. ?(D ?I|I ?D)) *$""))"),FALSE)</f>
        <v>0</v>
      </c>
      <c r="AT73" s="37" t="b">
        <f>IFERROR(__xludf.DUMMYFUNCTION("if(isblank(A73),,REGEXMATCH(B73,""^((D ?I|I ?D) ?vs\. ?(U ?I|I ?U))|((U ?I|I ?U) ?vs\. ?(D ?I|I ?D)) *$""))"),FALSE)</f>
        <v>0</v>
      </c>
      <c r="AU73" s="37" t="b">
        <f>IFERROR(__xludf.DUMMYFUNCTION("if(isblank(A73),,REGEXMATCH(B73,""^((D ?I|I ?D) ?vs\. ?(U ?D|D ?U))|((U ?D|D ?U) ?vs\. ?(D ?I|I ?D)) *$""))"),TRUE)</f>
        <v>1</v>
      </c>
      <c r="AV73" s="37" t="b">
        <f>IFERROR(__xludf.DUMMYFUNCTION("if(isblank(A73),,REGEXMATCH(B73,""^((U ?I|I ?U) ?vs\. ?(U ?I|I ?U)) *$""))"),FALSE)</f>
        <v>0</v>
      </c>
    </row>
    <row r="74" ht="26.25" customHeight="1">
      <c r="A74" s="79" t="str">
        <f>Paper_Textual_Conflict!M74</f>
        <v>I vs. I (import)</v>
      </c>
      <c r="B74" s="37" t="str">
        <f>IFERROR(__xludf.DUMMYFUNCTION("if(isblank(A74),,regexextract(REGEXEXTRACT(A74,""^.*""),""^[^(]*""))"),"I vs. I ")</f>
        <v>I vs. I </v>
      </c>
      <c r="C74" s="37" t="b">
        <f>IFERROR(__xludf.DUMMYFUNCTION("if(isblank(A74),,REGEXMATCH(B74,"".*\+.*"") )"),FALSE)</f>
        <v>0</v>
      </c>
      <c r="D74" s="37" t="b">
        <f>IFERROR(__xludf.DUMMYFUNCTION("if(isblank(A74),,REGEXMATCH(B74,"".*vs.*"") )"),TRUE)</f>
        <v>1</v>
      </c>
      <c r="E74" s="37" t="b">
        <f>Paper_Textual_Conflict!H74</f>
        <v>1</v>
      </c>
      <c r="F74" s="37" t="str">
        <f>Paper_Textual_Conflict!Q74</f>
        <v>Java</v>
      </c>
      <c r="G74" s="33">
        <v>74.0</v>
      </c>
      <c r="H74" s="37" t="b">
        <f>IFERROR(__xludf.DUMMYFUNCTION("if(isblank(A74),,REGEXMATCH(B74,""^I *\+ I *$""))"),FALSE)</f>
        <v>0</v>
      </c>
      <c r="I74" s="37" t="b">
        <f>IFERROR(__xludf.DUMMYFUNCTION("if(isblank(A74),,REGEXMATCH(B74,""(^I *\+ D *$)|(^D *\+ I *$)""))"),FALSE)</f>
        <v>0</v>
      </c>
      <c r="J74" s="37" t="b">
        <f>IFERROR(__xludf.DUMMYFUNCTION("if(isblank(A74),,REGEXMATCH(B74,""(^I *\+ U *$)|(^U *\+ I *$)""))"),FALSE)</f>
        <v>0</v>
      </c>
      <c r="K74" s="37" t="b">
        <f>IFERROR(__xludf.DUMMYFUNCTION("if(isblank(A74),,REGEXMATCH(B74,""(^I *\+ N *$)|(^N *\+ I *$)"") )"),FALSE)</f>
        <v>0</v>
      </c>
      <c r="L74" s="37" t="b">
        <f>IFERROR(__xludf.DUMMYFUNCTION("if(isblank(A74),,REGEXMATCH(B74,""^D *\+ D *$""))"),FALSE)</f>
        <v>0</v>
      </c>
      <c r="M74" s="37" t="b">
        <f>IFERROR(__xludf.DUMMYFUNCTION("if(isblank(A74),,REGEXMATCH(B74,""(^U *\+ D *$)|(^D *\+ U *$)""))"),FALSE)</f>
        <v>0</v>
      </c>
      <c r="N74" s="37" t="b">
        <f>IFERROR(__xludf.DUMMYFUNCTION("if(isblank(A74),,REGEXMATCH(B74,""(^N *\+ D *$)|(^D *\+ N *$)""))"),FALSE)</f>
        <v>0</v>
      </c>
      <c r="O74" s="37" t="b">
        <f>IFERROR(__xludf.DUMMYFUNCTION("if(isblank(A74),,REGEXMATCH(B74,""^U *\+ U *$""))"),FALSE)</f>
        <v>0</v>
      </c>
      <c r="P74" s="37" t="b">
        <f>IFERROR(__xludf.DUMMYFUNCTION("if(isblank(A74),,REGEXMATCH(B74,""(^U *\+ N *$)|(^N *\+ U *$)""))"),FALSE)</f>
        <v>0</v>
      </c>
      <c r="Q74" s="37" t="b">
        <f>IFERROR(__xludf.DUMMYFUNCTION("if(isblank(A74),,REGEXMATCH(B74,""^((I ?\+ ?(D ?I|I ?D))|((D ?I|I ?D) ?\+ ?I)) *$""))"),FALSE)</f>
        <v>0</v>
      </c>
      <c r="R74" s="37" t="b">
        <f>IFERROR(__xludf.DUMMYFUNCTION("if(isblank(A74),,REGEXMATCH(B74,""^((D ?\+ ?(D ?I|I ?D))|((D ?I|I ?D) ?\+ ?D)) *$""))"),FALSE)</f>
        <v>0</v>
      </c>
      <c r="S74" s="37" t="b">
        <f>IFERROR(__xludf.DUMMYFUNCTION("if(isblank(A74),,REGEXMATCH(B74,""^((U ?\+ ?(D ?I|I ?D))|((D ?I|I ?D) ?\+ ?U)) *$""))"),FALSE)</f>
        <v>0</v>
      </c>
      <c r="T74" s="37" t="b">
        <f>IFERROR(__xludf.DUMMYFUNCTION("if(isblank(A74),,REGEXMATCH(B74,""^((N ?\+ ?(D ?I|I ?D))|((D ?I|I ?D) ?\+ ?N)) *$""))"),FALSE)</f>
        <v>0</v>
      </c>
      <c r="U74" s="37" t="b">
        <f>IFERROR(__xludf.DUMMYFUNCTION("if(isblank(A74),,REGEXMATCH(B74,""^((I ?\+ ?(U ?I|I ?U))|((I ?U|U ?I) ?\+ ?I)) *$""))"),FALSE)</f>
        <v>0</v>
      </c>
      <c r="V74" s="37" t="b">
        <f>IFERROR(__xludf.DUMMYFUNCTION("if(isblank(A74),,REGEXMATCH(B74,""^((D ?\+ ?(U ?I|I ?U))|((I ?U|U ?I) ?\+ ?D)) *$""))"),FALSE)</f>
        <v>0</v>
      </c>
      <c r="W74" s="37" t="b">
        <f>IFERROR(__xludf.DUMMYFUNCTION("if(isblank(A74),,REGEXMATCH(B74,""^((U ?\+ ?(U ?I|I ?U))|((I ?U|U ?I) ?\+ ?U)) *$""))"),FALSE)</f>
        <v>0</v>
      </c>
      <c r="X74" s="37" t="b">
        <f>IFERROR(__xludf.DUMMYFUNCTION("if(isblank(A74),,REGEXMATCH(B74,""^((N ?\+ ?(U ?I|I ?U))|((I ?U|U ?I) ?\+ ?N)) *$""))"),FALSE)</f>
        <v>0</v>
      </c>
      <c r="Y74" s="37" t="b">
        <f>IFERROR(__xludf.DUMMYFUNCTION("if(isblank(A74),,REGEXMATCH(B74,""^((I ?\+ ?(U ?D|D ?U))|((D ?U|U ?D) ?\+ ?I)) *$""))"),FALSE)</f>
        <v>0</v>
      </c>
      <c r="Z74" s="37" t="b">
        <f>IFERROR(__xludf.DUMMYFUNCTION("if(isblank(A74),,REGEXMATCH(B74,""^((D ?\+ ?(U ?D|D ?U))|((D ?U|U ?D) ?\+ ?D)) *$""))"),FALSE)</f>
        <v>0</v>
      </c>
      <c r="AA74" s="37" t="b">
        <f>IFERROR(__xludf.DUMMYFUNCTION("if(isblank(A74),,REGEXMATCH(B74,""^((U ?\+ ?(U ?D|D ?U))|((D ?U|U ?D) ?\+ ?U)) *$""))"),FALSE)</f>
        <v>0</v>
      </c>
      <c r="AB74" s="37" t="b">
        <f>IFERROR(__xludf.DUMMYFUNCTION("if(isblank(A74),,REGEXMATCH(B74,""^((D ?I|I ?D) ?\+ ?(D ?I|I ?D)) *$""))"),FALSE)</f>
        <v>0</v>
      </c>
      <c r="AC74" s="37" t="b">
        <f>IFERROR(__xludf.DUMMYFUNCTION("if(isblank(A74),,REGEXMATCH(B74,""^((D ?I|I ?D) ?\+ ?(U ?I|I ?U))|((U ?I|I ?U) ?\+ ?(D ?I|I ?D)) *$""))"),FALSE)</f>
        <v>0</v>
      </c>
      <c r="AD74" s="37" t="b">
        <f>IFERROR(__xludf.DUMMYFUNCTION("if(isblank(A74),,REGEXMATCH(B74,""^I *vs\. I *$""))"),TRUE)</f>
        <v>1</v>
      </c>
      <c r="AE74" s="37" t="b">
        <f>IFERROR(__xludf.DUMMYFUNCTION("if(isblank(A74),,REGEXMATCH(B74,""(^I *vs\. D *$)|(^D *vs\. I *$)""))"),FALSE)</f>
        <v>0</v>
      </c>
      <c r="AF74" s="37" t="b">
        <f>IFERROR(__xludf.DUMMYFUNCTION("if(isblank(A74),,REGEXMATCH(B74,""(^I *vs\. U *$)|(^U *vs\. I *$)""))"),FALSE)</f>
        <v>0</v>
      </c>
      <c r="AG74" s="37" t="b">
        <f>IFERROR(__xludf.DUMMYFUNCTION("if(isblank(A74),,REGEXMATCH(B74,""^D *vs\. D *$""))"),FALSE)</f>
        <v>0</v>
      </c>
      <c r="AH74" s="37" t="b">
        <f>IFERROR(__xludf.DUMMYFUNCTION("if(isblank(A74),,REGEXMATCH(B74,""(^U *vs\. D *$)|(^D *vs\. U *$)""))"),FALSE)</f>
        <v>0</v>
      </c>
      <c r="AI74" s="37" t="b">
        <f>IFERROR(__xludf.DUMMYFUNCTION("if(isblank(A74),,REGEXMATCH(B74,""^U *vs\. U *$""))"),FALSE)</f>
        <v>0</v>
      </c>
      <c r="AJ74" s="37" t="b">
        <f>IFERROR(__xludf.DUMMYFUNCTION("if(isblank(A74),,REGEXMATCH(B74,""^((I ?vs\. ?(D ?I|I ?D))|((D ?I|I ?D) ?vs\. ?I)) *$""))"),FALSE)</f>
        <v>0</v>
      </c>
      <c r="AK74" s="37" t="b">
        <f>IFERROR(__xludf.DUMMYFUNCTION("if(isblank(A74),,REGEXMATCH(B74,""^((D ?vs\. ?(D ?I|I ?D))|((D ?I|I ?D) ?vs\. ?D)) *$""))"),FALSE)</f>
        <v>0</v>
      </c>
      <c r="AL74" s="37" t="b">
        <f>IFERROR(__xludf.DUMMYFUNCTION("if(isblank(A74),,REGEXMATCH(B74,""^((U ?vs\. ?(D ?I|I ?D))|((D ?I|I ?D) ?vs\. ?U)) *$""))"),FALSE)</f>
        <v>0</v>
      </c>
      <c r="AM74" s="37" t="b">
        <f>IFERROR(__xludf.DUMMYFUNCTION("if(isblank(A74),,REGEXMATCH(B74,""^((I ?vs\. ?(U ?I|I ?U))|((U ?I|I ?U) ?vs\. ?I)) *$""))"),FALSE)</f>
        <v>0</v>
      </c>
      <c r="AN74" s="37" t="b">
        <f>IFERROR(__xludf.DUMMYFUNCTION("if(isblank(A74),,REGEXMATCH(B74,""^((D ?vs\. ?(U ?I|I ?U))|((U ?I|I ?U) ?vs\. ?D)) *$""))"),FALSE)</f>
        <v>0</v>
      </c>
      <c r="AO74" s="37" t="b">
        <f>IFERROR(__xludf.DUMMYFUNCTION("if(isblank(A74),,REGEXMATCH(B74,""^((U ?vs\. ?(U ?I|I ?U))|((U ?I|I ?U) ?vs\. ?U)) *$""))"),FALSE)</f>
        <v>0</v>
      </c>
      <c r="AP74" s="37" t="b">
        <f>IFERROR(__xludf.DUMMYFUNCTION("if(isblank(A74),,REGEXMATCH(B74,""^((I ?vs\. ?(U ?D|D ?U))|((D ?U|U ?D) ?vs\. ?I)) *$""))"),FALSE)</f>
        <v>0</v>
      </c>
      <c r="AQ74" s="37" t="b">
        <f>IFERROR(__xludf.DUMMYFUNCTION("if(isblank(A74),,REGEXMATCH(B74,""^((D ?vs\. ?(U ?D|D ?U))|((D ?U|U ?D) ?vs\. ?D)) *$""))"),FALSE)</f>
        <v>0</v>
      </c>
      <c r="AR74" s="37" t="b">
        <f>IFERROR(__xludf.DUMMYFUNCTION("if(isblank(A74),,REGEXMATCH(B74,""^((U ?vs\. ?(U ?D|D ?U))|((D ?U|U ?D) ?vs\. ?U)) *$""))"),FALSE)</f>
        <v>0</v>
      </c>
      <c r="AS74" s="37" t="b">
        <f>IFERROR(__xludf.DUMMYFUNCTION("if(isblank(A74),,REGEXMATCH(B74,""^((D ?I|I ?D) ?vs\. ?(D ?I|I ?D)) *$""))"),FALSE)</f>
        <v>0</v>
      </c>
      <c r="AT74" s="37" t="b">
        <f>IFERROR(__xludf.DUMMYFUNCTION("if(isblank(A74),,REGEXMATCH(B74,""^((D ?I|I ?D) ?vs\. ?(U ?I|I ?U))|((U ?I|I ?U) ?vs\. ?(D ?I|I ?D)) *$""))"),FALSE)</f>
        <v>0</v>
      </c>
      <c r="AU74" s="37" t="b">
        <f>IFERROR(__xludf.DUMMYFUNCTION("if(isblank(A74),,REGEXMATCH(B74,""^((D ?I|I ?D) ?vs\. ?(U ?D|D ?U))|((U ?D|D ?U) ?vs\. ?(D ?I|I ?D)) *$""))"),FALSE)</f>
        <v>0</v>
      </c>
      <c r="AV74" s="37" t="b">
        <f>IFERROR(__xludf.DUMMYFUNCTION("if(isblank(A74),,REGEXMATCH(B74,""^((U ?I|I ?U) ?vs\. ?(U ?I|I ?U)) *$""))"),FALSE)</f>
        <v>0</v>
      </c>
    </row>
    <row r="75" ht="26.25" customHeight="1">
      <c r="A75" s="79" t="str">
        <f>Paper_Textual_Conflict!M75</f>
        <v>U vs. U (Java code)
L include R</v>
      </c>
      <c r="B75" s="37" t="str">
        <f>IFERROR(__xludf.DUMMYFUNCTION("if(isblank(A75),,regexextract(REGEXEXTRACT(A75,""^.*""),""^[^(]*""))"),"U vs. U ")</f>
        <v>U vs. U </v>
      </c>
      <c r="C75" s="37" t="b">
        <f>IFERROR(__xludf.DUMMYFUNCTION("if(isblank(A75),,REGEXMATCH(B75,"".*\+.*"") )"),FALSE)</f>
        <v>0</v>
      </c>
      <c r="D75" s="37" t="b">
        <f>IFERROR(__xludf.DUMMYFUNCTION("if(isblank(A75),,REGEXMATCH(B75,"".*vs.*"") )"),TRUE)</f>
        <v>1</v>
      </c>
      <c r="E75" s="37" t="b">
        <f>Paper_Textual_Conflict!H75</f>
        <v>1</v>
      </c>
      <c r="F75" s="37" t="str">
        <f>Paper_Textual_Conflict!Q75</f>
        <v>Java</v>
      </c>
      <c r="G75" s="33">
        <v>75.0</v>
      </c>
      <c r="H75" s="37" t="b">
        <f>IFERROR(__xludf.DUMMYFUNCTION("if(isblank(A75),,REGEXMATCH(B75,""^I *\+ I *$""))"),FALSE)</f>
        <v>0</v>
      </c>
      <c r="I75" s="37" t="b">
        <f>IFERROR(__xludf.DUMMYFUNCTION("if(isblank(A75),,REGEXMATCH(B75,""(^I *\+ D *$)|(^D *\+ I *$)""))"),FALSE)</f>
        <v>0</v>
      </c>
      <c r="J75" s="37" t="b">
        <f>IFERROR(__xludf.DUMMYFUNCTION("if(isblank(A75),,REGEXMATCH(B75,""(^I *\+ U *$)|(^U *\+ I *$)""))"),FALSE)</f>
        <v>0</v>
      </c>
      <c r="K75" s="37" t="b">
        <f>IFERROR(__xludf.DUMMYFUNCTION("if(isblank(A75),,REGEXMATCH(B75,""(^I *\+ N *$)|(^N *\+ I *$)"") )"),FALSE)</f>
        <v>0</v>
      </c>
      <c r="L75" s="37" t="b">
        <f>IFERROR(__xludf.DUMMYFUNCTION("if(isblank(A75),,REGEXMATCH(B75,""^D *\+ D *$""))"),FALSE)</f>
        <v>0</v>
      </c>
      <c r="M75" s="37" t="b">
        <f>IFERROR(__xludf.DUMMYFUNCTION("if(isblank(A75),,REGEXMATCH(B75,""(^U *\+ D *$)|(^D *\+ U *$)""))"),FALSE)</f>
        <v>0</v>
      </c>
      <c r="N75" s="37" t="b">
        <f>IFERROR(__xludf.DUMMYFUNCTION("if(isblank(A75),,REGEXMATCH(B75,""(^N *\+ D *$)|(^D *\+ N *$)""))"),FALSE)</f>
        <v>0</v>
      </c>
      <c r="O75" s="37" t="b">
        <f>IFERROR(__xludf.DUMMYFUNCTION("if(isblank(A75),,REGEXMATCH(B75,""^U *\+ U *$""))"),FALSE)</f>
        <v>0</v>
      </c>
      <c r="P75" s="37" t="b">
        <f>IFERROR(__xludf.DUMMYFUNCTION("if(isblank(A75),,REGEXMATCH(B75,""(^U *\+ N *$)|(^N *\+ U *$)""))"),FALSE)</f>
        <v>0</v>
      </c>
      <c r="Q75" s="37" t="b">
        <f>IFERROR(__xludf.DUMMYFUNCTION("if(isblank(A75),,REGEXMATCH(B75,""^((I ?\+ ?(D ?I|I ?D))|((D ?I|I ?D) ?\+ ?I)) *$""))"),FALSE)</f>
        <v>0</v>
      </c>
      <c r="R75" s="37" t="b">
        <f>IFERROR(__xludf.DUMMYFUNCTION("if(isblank(A75),,REGEXMATCH(B75,""^((D ?\+ ?(D ?I|I ?D))|((D ?I|I ?D) ?\+ ?D)) *$""))"),FALSE)</f>
        <v>0</v>
      </c>
      <c r="S75" s="37" t="b">
        <f>IFERROR(__xludf.DUMMYFUNCTION("if(isblank(A75),,REGEXMATCH(B75,""^((U ?\+ ?(D ?I|I ?D))|((D ?I|I ?D) ?\+ ?U)) *$""))"),FALSE)</f>
        <v>0</v>
      </c>
      <c r="T75" s="37" t="b">
        <f>IFERROR(__xludf.DUMMYFUNCTION("if(isblank(A75),,REGEXMATCH(B75,""^((N ?\+ ?(D ?I|I ?D))|((D ?I|I ?D) ?\+ ?N)) *$""))"),FALSE)</f>
        <v>0</v>
      </c>
      <c r="U75" s="37" t="b">
        <f>IFERROR(__xludf.DUMMYFUNCTION("if(isblank(A75),,REGEXMATCH(B75,""^((I ?\+ ?(U ?I|I ?U))|((I ?U|U ?I) ?\+ ?I)) *$""))"),FALSE)</f>
        <v>0</v>
      </c>
      <c r="V75" s="37" t="b">
        <f>IFERROR(__xludf.DUMMYFUNCTION("if(isblank(A75),,REGEXMATCH(B75,""^((D ?\+ ?(U ?I|I ?U))|((I ?U|U ?I) ?\+ ?D)) *$""))"),FALSE)</f>
        <v>0</v>
      </c>
      <c r="W75" s="37" t="b">
        <f>IFERROR(__xludf.DUMMYFUNCTION("if(isblank(A75),,REGEXMATCH(B75,""^((U ?\+ ?(U ?I|I ?U))|((I ?U|U ?I) ?\+ ?U)) *$""))"),FALSE)</f>
        <v>0</v>
      </c>
      <c r="X75" s="37" t="b">
        <f>IFERROR(__xludf.DUMMYFUNCTION("if(isblank(A75),,REGEXMATCH(B75,""^((N ?\+ ?(U ?I|I ?U))|((I ?U|U ?I) ?\+ ?N)) *$""))"),FALSE)</f>
        <v>0</v>
      </c>
      <c r="Y75" s="37" t="b">
        <f>IFERROR(__xludf.DUMMYFUNCTION("if(isblank(A75),,REGEXMATCH(B75,""^((I ?\+ ?(U ?D|D ?U))|((D ?U|U ?D) ?\+ ?I)) *$""))"),FALSE)</f>
        <v>0</v>
      </c>
      <c r="Z75" s="37" t="b">
        <f>IFERROR(__xludf.DUMMYFUNCTION("if(isblank(A75),,REGEXMATCH(B75,""^((D ?\+ ?(U ?D|D ?U))|((D ?U|U ?D) ?\+ ?D)) *$""))"),FALSE)</f>
        <v>0</v>
      </c>
      <c r="AA75" s="37" t="b">
        <f>IFERROR(__xludf.DUMMYFUNCTION("if(isblank(A75),,REGEXMATCH(B75,""^((U ?\+ ?(U ?D|D ?U))|((D ?U|U ?D) ?\+ ?U)) *$""))"),FALSE)</f>
        <v>0</v>
      </c>
      <c r="AB75" s="37" t="b">
        <f>IFERROR(__xludf.DUMMYFUNCTION("if(isblank(A75),,REGEXMATCH(B75,""^((D ?I|I ?D) ?\+ ?(D ?I|I ?D)) *$""))"),FALSE)</f>
        <v>0</v>
      </c>
      <c r="AC75" s="37" t="b">
        <f>IFERROR(__xludf.DUMMYFUNCTION("if(isblank(A75),,REGEXMATCH(B75,""^((D ?I|I ?D) ?\+ ?(U ?I|I ?U))|((U ?I|I ?U) ?\+ ?(D ?I|I ?D)) *$""))"),FALSE)</f>
        <v>0</v>
      </c>
      <c r="AD75" s="37" t="b">
        <f>IFERROR(__xludf.DUMMYFUNCTION("if(isblank(A75),,REGEXMATCH(B75,""^I *vs\. I *$""))"),FALSE)</f>
        <v>0</v>
      </c>
      <c r="AE75" s="37" t="b">
        <f>IFERROR(__xludf.DUMMYFUNCTION("if(isblank(A75),,REGEXMATCH(B75,""(^I *vs\. D *$)|(^D *vs\. I *$)""))"),FALSE)</f>
        <v>0</v>
      </c>
      <c r="AF75" s="37" t="b">
        <f>IFERROR(__xludf.DUMMYFUNCTION("if(isblank(A75),,REGEXMATCH(B75,""(^I *vs\. U *$)|(^U *vs\. I *$)""))"),FALSE)</f>
        <v>0</v>
      </c>
      <c r="AG75" s="37" t="b">
        <f>IFERROR(__xludf.DUMMYFUNCTION("if(isblank(A75),,REGEXMATCH(B75,""^D *vs\. D *$""))"),FALSE)</f>
        <v>0</v>
      </c>
      <c r="AH75" s="37" t="b">
        <f>IFERROR(__xludf.DUMMYFUNCTION("if(isblank(A75),,REGEXMATCH(B75,""(^U *vs\. D *$)|(^D *vs\. U *$)""))"),FALSE)</f>
        <v>0</v>
      </c>
      <c r="AI75" s="37" t="b">
        <f>IFERROR(__xludf.DUMMYFUNCTION("if(isblank(A75),,REGEXMATCH(B75,""^U *vs\. U *$""))"),TRUE)</f>
        <v>1</v>
      </c>
      <c r="AJ75" s="37" t="b">
        <f>IFERROR(__xludf.DUMMYFUNCTION("if(isblank(A75),,REGEXMATCH(B75,""^((I ?vs\. ?(D ?I|I ?D))|((D ?I|I ?D) ?vs\. ?I)) *$""))"),FALSE)</f>
        <v>0</v>
      </c>
      <c r="AK75" s="37" t="b">
        <f>IFERROR(__xludf.DUMMYFUNCTION("if(isblank(A75),,REGEXMATCH(B75,""^((D ?vs\. ?(D ?I|I ?D))|((D ?I|I ?D) ?vs\. ?D)) *$""))"),FALSE)</f>
        <v>0</v>
      </c>
      <c r="AL75" s="37" t="b">
        <f>IFERROR(__xludf.DUMMYFUNCTION("if(isblank(A75),,REGEXMATCH(B75,""^((U ?vs\. ?(D ?I|I ?D))|((D ?I|I ?D) ?vs\. ?U)) *$""))"),FALSE)</f>
        <v>0</v>
      </c>
      <c r="AM75" s="37" t="b">
        <f>IFERROR(__xludf.DUMMYFUNCTION("if(isblank(A75),,REGEXMATCH(B75,""^((I ?vs\. ?(U ?I|I ?U))|((U ?I|I ?U) ?vs\. ?I)) *$""))"),FALSE)</f>
        <v>0</v>
      </c>
      <c r="AN75" s="37" t="b">
        <f>IFERROR(__xludf.DUMMYFUNCTION("if(isblank(A75),,REGEXMATCH(B75,""^((D ?vs\. ?(U ?I|I ?U))|((U ?I|I ?U) ?vs\. ?D)) *$""))"),FALSE)</f>
        <v>0</v>
      </c>
      <c r="AO75" s="37" t="b">
        <f>IFERROR(__xludf.DUMMYFUNCTION("if(isblank(A75),,REGEXMATCH(B75,""^((U ?vs\. ?(U ?I|I ?U))|((U ?I|I ?U) ?vs\. ?U)) *$""))"),FALSE)</f>
        <v>0</v>
      </c>
      <c r="AP75" s="37" t="b">
        <f>IFERROR(__xludf.DUMMYFUNCTION("if(isblank(A75),,REGEXMATCH(B75,""^((I ?vs\. ?(U ?D|D ?U))|((D ?U|U ?D) ?vs\. ?I)) *$""))"),FALSE)</f>
        <v>0</v>
      </c>
      <c r="AQ75" s="37" t="b">
        <f>IFERROR(__xludf.DUMMYFUNCTION("if(isblank(A75),,REGEXMATCH(B75,""^((D ?vs\. ?(U ?D|D ?U))|((D ?U|U ?D) ?vs\. ?D)) *$""))"),FALSE)</f>
        <v>0</v>
      </c>
      <c r="AR75" s="37" t="b">
        <f>IFERROR(__xludf.DUMMYFUNCTION("if(isblank(A75),,REGEXMATCH(B75,""^((U ?vs\. ?(U ?D|D ?U))|((D ?U|U ?D) ?vs\. ?U)) *$""))"),FALSE)</f>
        <v>0</v>
      </c>
      <c r="AS75" s="37" t="b">
        <f>IFERROR(__xludf.DUMMYFUNCTION("if(isblank(A75),,REGEXMATCH(B75,""^((D ?I|I ?D) ?vs\. ?(D ?I|I ?D)) *$""))"),FALSE)</f>
        <v>0</v>
      </c>
      <c r="AT75" s="37" t="b">
        <f>IFERROR(__xludf.DUMMYFUNCTION("if(isblank(A75),,REGEXMATCH(B75,""^((D ?I|I ?D) ?vs\. ?(U ?I|I ?U))|((U ?I|I ?U) ?vs\. ?(D ?I|I ?D)) *$""))"),FALSE)</f>
        <v>0</v>
      </c>
      <c r="AU75" s="37" t="b">
        <f>IFERROR(__xludf.DUMMYFUNCTION("if(isblank(A75),,REGEXMATCH(B75,""^((D ?I|I ?D) ?vs\. ?(U ?D|D ?U))|((U ?D|D ?U) ?vs\. ?(D ?I|I ?D)) *$""))"),FALSE)</f>
        <v>0</v>
      </c>
      <c r="AV75" s="37" t="b">
        <f>IFERROR(__xludf.DUMMYFUNCTION("if(isblank(A75),,REGEXMATCH(B75,""^((U ?I|I ?U) ?vs\. ?(U ?I|I ?U)) *$""))"),FALSE)</f>
        <v>0</v>
      </c>
    </row>
    <row r="76" ht="26.25" customHeight="1">
      <c r="A76" s="79" t="str">
        <f>Paper_Textual_Conflict!M76</f>
        <v>D vs. U (java file)</v>
      </c>
      <c r="B76" s="37" t="str">
        <f>IFERROR(__xludf.DUMMYFUNCTION("if(isblank(A76),,regexextract(REGEXEXTRACT(A76,""^.*""),""^[^(]*""))"),"D vs. U ")</f>
        <v>D vs. U </v>
      </c>
      <c r="C76" s="37" t="b">
        <f>IFERROR(__xludf.DUMMYFUNCTION("if(isblank(A76),,REGEXMATCH(B76,"".*\+.*"") )"),FALSE)</f>
        <v>0</v>
      </c>
      <c r="D76" s="37" t="b">
        <f>IFERROR(__xludf.DUMMYFUNCTION("if(isblank(A76),,REGEXMATCH(B76,"".*vs.*"") )"),TRUE)</f>
        <v>1</v>
      </c>
      <c r="E76" s="37" t="b">
        <f>Paper_Textual_Conflict!H76</f>
        <v>1</v>
      </c>
      <c r="F76" s="37" t="str">
        <f>Paper_Textual_Conflict!Q76</f>
        <v>Java</v>
      </c>
      <c r="G76" s="33">
        <v>76.0</v>
      </c>
      <c r="H76" s="37" t="b">
        <f>IFERROR(__xludf.DUMMYFUNCTION("if(isblank(A76),,REGEXMATCH(B76,""^I *\+ I *$""))"),FALSE)</f>
        <v>0</v>
      </c>
      <c r="I76" s="37" t="b">
        <f>IFERROR(__xludf.DUMMYFUNCTION("if(isblank(A76),,REGEXMATCH(B76,""(^I *\+ D *$)|(^D *\+ I *$)""))"),FALSE)</f>
        <v>0</v>
      </c>
      <c r="J76" s="37" t="b">
        <f>IFERROR(__xludf.DUMMYFUNCTION("if(isblank(A76),,REGEXMATCH(B76,""(^I *\+ U *$)|(^U *\+ I *$)""))"),FALSE)</f>
        <v>0</v>
      </c>
      <c r="K76" s="37" t="b">
        <f>IFERROR(__xludf.DUMMYFUNCTION("if(isblank(A76),,REGEXMATCH(B76,""(^I *\+ N *$)|(^N *\+ I *$)"") )"),FALSE)</f>
        <v>0</v>
      </c>
      <c r="L76" s="37" t="b">
        <f>IFERROR(__xludf.DUMMYFUNCTION("if(isblank(A76),,REGEXMATCH(B76,""^D *\+ D *$""))"),FALSE)</f>
        <v>0</v>
      </c>
      <c r="M76" s="37" t="b">
        <f>IFERROR(__xludf.DUMMYFUNCTION("if(isblank(A76),,REGEXMATCH(B76,""(^U *\+ D *$)|(^D *\+ U *$)""))"),FALSE)</f>
        <v>0</v>
      </c>
      <c r="N76" s="37" t="b">
        <f>IFERROR(__xludf.DUMMYFUNCTION("if(isblank(A76),,REGEXMATCH(B76,""(^N *\+ D *$)|(^D *\+ N *$)""))"),FALSE)</f>
        <v>0</v>
      </c>
      <c r="O76" s="37" t="b">
        <f>IFERROR(__xludf.DUMMYFUNCTION("if(isblank(A76),,REGEXMATCH(B76,""^U *\+ U *$""))"),FALSE)</f>
        <v>0</v>
      </c>
      <c r="P76" s="37" t="b">
        <f>IFERROR(__xludf.DUMMYFUNCTION("if(isblank(A76),,REGEXMATCH(B76,""(^U *\+ N *$)|(^N *\+ U *$)""))"),FALSE)</f>
        <v>0</v>
      </c>
      <c r="Q76" s="37" t="b">
        <f>IFERROR(__xludf.DUMMYFUNCTION("if(isblank(A76),,REGEXMATCH(B76,""^((I ?\+ ?(D ?I|I ?D))|((D ?I|I ?D) ?\+ ?I)) *$""))"),FALSE)</f>
        <v>0</v>
      </c>
      <c r="R76" s="37" t="b">
        <f>IFERROR(__xludf.DUMMYFUNCTION("if(isblank(A76),,REGEXMATCH(B76,""^((D ?\+ ?(D ?I|I ?D))|((D ?I|I ?D) ?\+ ?D)) *$""))"),FALSE)</f>
        <v>0</v>
      </c>
      <c r="S76" s="37" t="b">
        <f>IFERROR(__xludf.DUMMYFUNCTION("if(isblank(A76),,REGEXMATCH(B76,""^((U ?\+ ?(D ?I|I ?D))|((D ?I|I ?D) ?\+ ?U)) *$""))"),FALSE)</f>
        <v>0</v>
      </c>
      <c r="T76" s="37" t="b">
        <f>IFERROR(__xludf.DUMMYFUNCTION("if(isblank(A76),,REGEXMATCH(B76,""^((N ?\+ ?(D ?I|I ?D))|((D ?I|I ?D) ?\+ ?N)) *$""))"),FALSE)</f>
        <v>0</v>
      </c>
      <c r="U76" s="37" t="b">
        <f>IFERROR(__xludf.DUMMYFUNCTION("if(isblank(A76),,REGEXMATCH(B76,""^((I ?\+ ?(U ?I|I ?U))|((I ?U|U ?I) ?\+ ?I)) *$""))"),FALSE)</f>
        <v>0</v>
      </c>
      <c r="V76" s="37" t="b">
        <f>IFERROR(__xludf.DUMMYFUNCTION("if(isblank(A76),,REGEXMATCH(B76,""^((D ?\+ ?(U ?I|I ?U))|((I ?U|U ?I) ?\+ ?D)) *$""))"),FALSE)</f>
        <v>0</v>
      </c>
      <c r="W76" s="37" t="b">
        <f>IFERROR(__xludf.DUMMYFUNCTION("if(isblank(A76),,REGEXMATCH(B76,""^((U ?\+ ?(U ?I|I ?U))|((I ?U|U ?I) ?\+ ?U)) *$""))"),FALSE)</f>
        <v>0</v>
      </c>
      <c r="X76" s="37" t="b">
        <f>IFERROR(__xludf.DUMMYFUNCTION("if(isblank(A76),,REGEXMATCH(B76,""^((N ?\+ ?(U ?I|I ?U))|((I ?U|U ?I) ?\+ ?N)) *$""))"),FALSE)</f>
        <v>0</v>
      </c>
      <c r="Y76" s="37" t="b">
        <f>IFERROR(__xludf.DUMMYFUNCTION("if(isblank(A76),,REGEXMATCH(B76,""^((I ?\+ ?(U ?D|D ?U))|((D ?U|U ?D) ?\+ ?I)) *$""))"),FALSE)</f>
        <v>0</v>
      </c>
      <c r="Z76" s="37" t="b">
        <f>IFERROR(__xludf.DUMMYFUNCTION("if(isblank(A76),,REGEXMATCH(B76,""^((D ?\+ ?(U ?D|D ?U))|((D ?U|U ?D) ?\+ ?D)) *$""))"),FALSE)</f>
        <v>0</v>
      </c>
      <c r="AA76" s="37" t="b">
        <f>IFERROR(__xludf.DUMMYFUNCTION("if(isblank(A76),,REGEXMATCH(B76,""^((U ?\+ ?(U ?D|D ?U))|((D ?U|U ?D) ?\+ ?U)) *$""))"),FALSE)</f>
        <v>0</v>
      </c>
      <c r="AB76" s="37" t="b">
        <f>IFERROR(__xludf.DUMMYFUNCTION("if(isblank(A76),,REGEXMATCH(B76,""^((D ?I|I ?D) ?\+ ?(D ?I|I ?D)) *$""))"),FALSE)</f>
        <v>0</v>
      </c>
      <c r="AC76" s="37" t="b">
        <f>IFERROR(__xludf.DUMMYFUNCTION("if(isblank(A76),,REGEXMATCH(B76,""^((D ?I|I ?D) ?\+ ?(U ?I|I ?U))|((U ?I|I ?U) ?\+ ?(D ?I|I ?D)) *$""))"),FALSE)</f>
        <v>0</v>
      </c>
      <c r="AD76" s="37" t="b">
        <f>IFERROR(__xludf.DUMMYFUNCTION("if(isblank(A76),,REGEXMATCH(B76,""^I *vs\. I *$""))"),FALSE)</f>
        <v>0</v>
      </c>
      <c r="AE76" s="37" t="b">
        <f>IFERROR(__xludf.DUMMYFUNCTION("if(isblank(A76),,REGEXMATCH(B76,""(^I *vs\. D *$)|(^D *vs\. I *$)""))"),FALSE)</f>
        <v>0</v>
      </c>
      <c r="AF76" s="37" t="b">
        <f>IFERROR(__xludf.DUMMYFUNCTION("if(isblank(A76),,REGEXMATCH(B76,""(^I *vs\. U *$)|(^U *vs\. I *$)""))"),FALSE)</f>
        <v>0</v>
      </c>
      <c r="AG76" s="37" t="b">
        <f>IFERROR(__xludf.DUMMYFUNCTION("if(isblank(A76),,REGEXMATCH(B76,""^D *vs\. D *$""))"),FALSE)</f>
        <v>0</v>
      </c>
      <c r="AH76" s="37" t="b">
        <f>IFERROR(__xludf.DUMMYFUNCTION("if(isblank(A76),,REGEXMATCH(B76,""(^U *vs\. D *$)|(^D *vs\. U *$)""))"),TRUE)</f>
        <v>1</v>
      </c>
      <c r="AI76" s="37" t="b">
        <f>IFERROR(__xludf.DUMMYFUNCTION("if(isblank(A76),,REGEXMATCH(B76,""^U *vs\. U *$""))"),FALSE)</f>
        <v>0</v>
      </c>
      <c r="AJ76" s="37" t="b">
        <f>IFERROR(__xludf.DUMMYFUNCTION("if(isblank(A76),,REGEXMATCH(B76,""^((I ?vs\. ?(D ?I|I ?D))|((D ?I|I ?D) ?vs\. ?I)) *$""))"),FALSE)</f>
        <v>0</v>
      </c>
      <c r="AK76" s="37" t="b">
        <f>IFERROR(__xludf.DUMMYFUNCTION("if(isblank(A76),,REGEXMATCH(B76,""^((D ?vs\. ?(D ?I|I ?D))|((D ?I|I ?D) ?vs\. ?D)) *$""))"),FALSE)</f>
        <v>0</v>
      </c>
      <c r="AL76" s="37" t="b">
        <f>IFERROR(__xludf.DUMMYFUNCTION("if(isblank(A76),,REGEXMATCH(B76,""^((U ?vs\. ?(D ?I|I ?D))|((D ?I|I ?D) ?vs\. ?U)) *$""))"),FALSE)</f>
        <v>0</v>
      </c>
      <c r="AM76" s="37" t="b">
        <f>IFERROR(__xludf.DUMMYFUNCTION("if(isblank(A76),,REGEXMATCH(B76,""^((I ?vs\. ?(U ?I|I ?U))|((U ?I|I ?U) ?vs\. ?I)) *$""))"),FALSE)</f>
        <v>0</v>
      </c>
      <c r="AN76" s="37" t="b">
        <f>IFERROR(__xludf.DUMMYFUNCTION("if(isblank(A76),,REGEXMATCH(B76,""^((D ?vs\. ?(U ?I|I ?U))|((U ?I|I ?U) ?vs\. ?D)) *$""))"),FALSE)</f>
        <v>0</v>
      </c>
      <c r="AO76" s="37" t="b">
        <f>IFERROR(__xludf.DUMMYFUNCTION("if(isblank(A76),,REGEXMATCH(B76,""^((U ?vs\. ?(U ?I|I ?U))|((U ?I|I ?U) ?vs\. ?U)) *$""))"),FALSE)</f>
        <v>0</v>
      </c>
      <c r="AP76" s="37" t="b">
        <f>IFERROR(__xludf.DUMMYFUNCTION("if(isblank(A76),,REGEXMATCH(B76,""^((I ?vs\. ?(U ?D|D ?U))|((D ?U|U ?D) ?vs\. ?I)) *$""))"),FALSE)</f>
        <v>0</v>
      </c>
      <c r="AQ76" s="37" t="b">
        <f>IFERROR(__xludf.DUMMYFUNCTION("if(isblank(A76),,REGEXMATCH(B76,""^((D ?vs\. ?(U ?D|D ?U))|((D ?U|U ?D) ?vs\. ?D)) *$""))"),FALSE)</f>
        <v>0</v>
      </c>
      <c r="AR76" s="37" t="b">
        <f>IFERROR(__xludf.DUMMYFUNCTION("if(isblank(A76),,REGEXMATCH(B76,""^((U ?vs\. ?(U ?D|D ?U))|((D ?U|U ?D) ?vs\. ?U)) *$""))"),FALSE)</f>
        <v>0</v>
      </c>
      <c r="AS76" s="37" t="b">
        <f>IFERROR(__xludf.DUMMYFUNCTION("if(isblank(A76),,REGEXMATCH(B76,""^((D ?I|I ?D) ?vs\. ?(D ?I|I ?D)) *$""))"),FALSE)</f>
        <v>0</v>
      </c>
      <c r="AT76" s="37" t="b">
        <f>IFERROR(__xludf.DUMMYFUNCTION("if(isblank(A76),,REGEXMATCH(B76,""^((D ?I|I ?D) ?vs\. ?(U ?I|I ?U))|((U ?I|I ?U) ?vs\. ?(D ?I|I ?D)) *$""))"),FALSE)</f>
        <v>0</v>
      </c>
      <c r="AU76" s="37" t="b">
        <f>IFERROR(__xludf.DUMMYFUNCTION("if(isblank(A76),,REGEXMATCH(B76,""^((D ?I|I ?D) ?vs\. ?(U ?D|D ?U))|((U ?D|D ?U) ?vs\. ?(D ?I|I ?D)) *$""))"),FALSE)</f>
        <v>0</v>
      </c>
      <c r="AV76" s="37" t="b">
        <f>IFERROR(__xludf.DUMMYFUNCTION("if(isblank(A76),,REGEXMATCH(B76,""^((U ?I|I ?U) ?vs\. ?(U ?I|I ?U)) *$""))"),FALSE)</f>
        <v>0</v>
      </c>
    </row>
    <row r="77" ht="26.25" customHeight="1">
      <c r="A77" s="79" t="str">
        <f>Paper_Textual_Conflict!M77</f>
        <v>D + D (import)</v>
      </c>
      <c r="B77" s="37" t="str">
        <f>IFERROR(__xludf.DUMMYFUNCTION("if(isblank(A77),,regexextract(REGEXEXTRACT(A77,""^.*""),""^[^(]*""))"),"D + D ")</f>
        <v>D + D </v>
      </c>
      <c r="C77" s="37" t="b">
        <f>IFERROR(__xludf.DUMMYFUNCTION("if(isblank(A77),,REGEXMATCH(B77,"".*\+.*"") )"),TRUE)</f>
        <v>1</v>
      </c>
      <c r="D77" s="37" t="b">
        <f>IFERROR(__xludf.DUMMYFUNCTION("if(isblank(A77),,REGEXMATCH(B77,"".*vs.*"") )"),FALSE)</f>
        <v>0</v>
      </c>
      <c r="E77" s="37" t="b">
        <f>Paper_Textual_Conflict!H77</f>
        <v>0</v>
      </c>
      <c r="F77" s="37" t="str">
        <f>Paper_Textual_Conflict!Q77</f>
        <v>Java</v>
      </c>
      <c r="G77" s="33">
        <v>77.0</v>
      </c>
      <c r="H77" s="37" t="b">
        <f>IFERROR(__xludf.DUMMYFUNCTION("if(isblank(A77),,REGEXMATCH(B77,""^I *\+ I *$""))"),FALSE)</f>
        <v>0</v>
      </c>
      <c r="I77" s="37" t="b">
        <f>IFERROR(__xludf.DUMMYFUNCTION("if(isblank(A77),,REGEXMATCH(B77,""(^I *\+ D *$)|(^D *\+ I *$)""))"),FALSE)</f>
        <v>0</v>
      </c>
      <c r="J77" s="37" t="b">
        <f>IFERROR(__xludf.DUMMYFUNCTION("if(isblank(A77),,REGEXMATCH(B77,""(^I *\+ U *$)|(^U *\+ I *$)""))"),FALSE)</f>
        <v>0</v>
      </c>
      <c r="K77" s="37" t="b">
        <f>IFERROR(__xludf.DUMMYFUNCTION("if(isblank(A77),,REGEXMATCH(B77,""(^I *\+ N *$)|(^N *\+ I *$)"") )"),FALSE)</f>
        <v>0</v>
      </c>
      <c r="L77" s="37" t="b">
        <f>IFERROR(__xludf.DUMMYFUNCTION("if(isblank(A77),,REGEXMATCH(B77,""^D *\+ D *$""))"),TRUE)</f>
        <v>1</v>
      </c>
      <c r="M77" s="37" t="b">
        <f>IFERROR(__xludf.DUMMYFUNCTION("if(isblank(A77),,REGEXMATCH(B77,""(^U *\+ D *$)|(^D *\+ U *$)""))"),FALSE)</f>
        <v>0</v>
      </c>
      <c r="N77" s="37" t="b">
        <f>IFERROR(__xludf.DUMMYFUNCTION("if(isblank(A77),,REGEXMATCH(B77,""(^N *\+ D *$)|(^D *\+ N *$)""))"),FALSE)</f>
        <v>0</v>
      </c>
      <c r="O77" s="37" t="b">
        <f>IFERROR(__xludf.DUMMYFUNCTION("if(isblank(A77),,REGEXMATCH(B77,""^U *\+ U *$""))"),FALSE)</f>
        <v>0</v>
      </c>
      <c r="P77" s="37" t="b">
        <f>IFERROR(__xludf.DUMMYFUNCTION("if(isblank(A77),,REGEXMATCH(B77,""(^U *\+ N *$)|(^N *\+ U *$)""))"),FALSE)</f>
        <v>0</v>
      </c>
      <c r="Q77" s="37" t="b">
        <f>IFERROR(__xludf.DUMMYFUNCTION("if(isblank(A77),,REGEXMATCH(B77,""^((I ?\+ ?(D ?I|I ?D))|((D ?I|I ?D) ?\+ ?I)) *$""))"),FALSE)</f>
        <v>0</v>
      </c>
      <c r="R77" s="37" t="b">
        <f>IFERROR(__xludf.DUMMYFUNCTION("if(isblank(A77),,REGEXMATCH(B77,""^((D ?\+ ?(D ?I|I ?D))|((D ?I|I ?D) ?\+ ?D)) *$""))"),FALSE)</f>
        <v>0</v>
      </c>
      <c r="S77" s="37" t="b">
        <f>IFERROR(__xludf.DUMMYFUNCTION("if(isblank(A77),,REGEXMATCH(B77,""^((U ?\+ ?(D ?I|I ?D))|((D ?I|I ?D) ?\+ ?U)) *$""))"),FALSE)</f>
        <v>0</v>
      </c>
      <c r="T77" s="37" t="b">
        <f>IFERROR(__xludf.DUMMYFUNCTION("if(isblank(A77),,REGEXMATCH(B77,""^((N ?\+ ?(D ?I|I ?D))|((D ?I|I ?D) ?\+ ?N)) *$""))"),FALSE)</f>
        <v>0</v>
      </c>
      <c r="U77" s="37" t="b">
        <f>IFERROR(__xludf.DUMMYFUNCTION("if(isblank(A77),,REGEXMATCH(B77,""^((I ?\+ ?(U ?I|I ?U))|((I ?U|U ?I) ?\+ ?I)) *$""))"),FALSE)</f>
        <v>0</v>
      </c>
      <c r="V77" s="37" t="b">
        <f>IFERROR(__xludf.DUMMYFUNCTION("if(isblank(A77),,REGEXMATCH(B77,""^((D ?\+ ?(U ?I|I ?U))|((I ?U|U ?I) ?\+ ?D)) *$""))"),FALSE)</f>
        <v>0</v>
      </c>
      <c r="W77" s="37" t="b">
        <f>IFERROR(__xludf.DUMMYFUNCTION("if(isblank(A77),,REGEXMATCH(B77,""^((U ?\+ ?(U ?I|I ?U))|((I ?U|U ?I) ?\+ ?U)) *$""))"),FALSE)</f>
        <v>0</v>
      </c>
      <c r="X77" s="37" t="b">
        <f>IFERROR(__xludf.DUMMYFUNCTION("if(isblank(A77),,REGEXMATCH(B77,""^((N ?\+ ?(U ?I|I ?U))|((I ?U|U ?I) ?\+ ?N)) *$""))"),FALSE)</f>
        <v>0</v>
      </c>
      <c r="Y77" s="37" t="b">
        <f>IFERROR(__xludf.DUMMYFUNCTION("if(isblank(A77),,REGEXMATCH(B77,""^((I ?\+ ?(U ?D|D ?U))|((D ?U|U ?D) ?\+ ?I)) *$""))"),FALSE)</f>
        <v>0</v>
      </c>
      <c r="Z77" s="37" t="b">
        <f>IFERROR(__xludf.DUMMYFUNCTION("if(isblank(A77),,REGEXMATCH(B77,""^((D ?\+ ?(U ?D|D ?U))|((D ?U|U ?D) ?\+ ?D)) *$""))"),FALSE)</f>
        <v>0</v>
      </c>
      <c r="AA77" s="37" t="b">
        <f>IFERROR(__xludf.DUMMYFUNCTION("if(isblank(A77),,REGEXMATCH(B77,""^((U ?\+ ?(U ?D|D ?U))|((D ?U|U ?D) ?\+ ?U)) *$""))"),FALSE)</f>
        <v>0</v>
      </c>
      <c r="AB77" s="37" t="b">
        <f>IFERROR(__xludf.DUMMYFUNCTION("if(isblank(A77),,REGEXMATCH(B77,""^((D ?I|I ?D) ?\+ ?(D ?I|I ?D)) *$""))"),FALSE)</f>
        <v>0</v>
      </c>
      <c r="AC77" s="37" t="b">
        <f>IFERROR(__xludf.DUMMYFUNCTION("if(isblank(A77),,REGEXMATCH(B77,""^((D ?I|I ?D) ?\+ ?(U ?I|I ?U))|((U ?I|I ?U) ?\+ ?(D ?I|I ?D)) *$""))"),FALSE)</f>
        <v>0</v>
      </c>
      <c r="AD77" s="37" t="b">
        <f>IFERROR(__xludf.DUMMYFUNCTION("if(isblank(A77),,REGEXMATCH(B77,""^I *vs\. I *$""))"),FALSE)</f>
        <v>0</v>
      </c>
      <c r="AE77" s="37" t="b">
        <f>IFERROR(__xludf.DUMMYFUNCTION("if(isblank(A77),,REGEXMATCH(B77,""(^I *vs\. D *$)|(^D *vs\. I *$)""))"),FALSE)</f>
        <v>0</v>
      </c>
      <c r="AF77" s="37" t="b">
        <f>IFERROR(__xludf.DUMMYFUNCTION("if(isblank(A77),,REGEXMATCH(B77,""(^I *vs\. U *$)|(^U *vs\. I *$)""))"),FALSE)</f>
        <v>0</v>
      </c>
      <c r="AG77" s="37" t="b">
        <f>IFERROR(__xludf.DUMMYFUNCTION("if(isblank(A77),,REGEXMATCH(B77,""^D *vs\. D *$""))"),FALSE)</f>
        <v>0</v>
      </c>
      <c r="AH77" s="37" t="b">
        <f>IFERROR(__xludf.DUMMYFUNCTION("if(isblank(A77),,REGEXMATCH(B77,""(^U *vs\. D *$)|(^D *vs\. U *$)""))"),FALSE)</f>
        <v>0</v>
      </c>
      <c r="AI77" s="37" t="b">
        <f>IFERROR(__xludf.DUMMYFUNCTION("if(isblank(A77),,REGEXMATCH(B77,""^U *vs\. U *$""))"),FALSE)</f>
        <v>0</v>
      </c>
      <c r="AJ77" s="37" t="b">
        <f>IFERROR(__xludf.DUMMYFUNCTION("if(isblank(A77),,REGEXMATCH(B77,""^((I ?vs\. ?(D ?I|I ?D))|((D ?I|I ?D) ?vs\. ?I)) *$""))"),FALSE)</f>
        <v>0</v>
      </c>
      <c r="AK77" s="37" t="b">
        <f>IFERROR(__xludf.DUMMYFUNCTION("if(isblank(A77),,REGEXMATCH(B77,""^((D ?vs\. ?(D ?I|I ?D))|((D ?I|I ?D) ?vs\. ?D)) *$""))"),FALSE)</f>
        <v>0</v>
      </c>
      <c r="AL77" s="37" t="b">
        <f>IFERROR(__xludf.DUMMYFUNCTION("if(isblank(A77),,REGEXMATCH(B77,""^((U ?vs\. ?(D ?I|I ?D))|((D ?I|I ?D) ?vs\. ?U)) *$""))"),FALSE)</f>
        <v>0</v>
      </c>
      <c r="AM77" s="37" t="b">
        <f>IFERROR(__xludf.DUMMYFUNCTION("if(isblank(A77),,REGEXMATCH(B77,""^((I ?vs\. ?(U ?I|I ?U))|((U ?I|I ?U) ?vs\. ?I)) *$""))"),FALSE)</f>
        <v>0</v>
      </c>
      <c r="AN77" s="37" t="b">
        <f>IFERROR(__xludf.DUMMYFUNCTION("if(isblank(A77),,REGEXMATCH(B77,""^((D ?vs\. ?(U ?I|I ?U))|((U ?I|I ?U) ?vs\. ?D)) *$""))"),FALSE)</f>
        <v>0</v>
      </c>
      <c r="AO77" s="37" t="b">
        <f>IFERROR(__xludf.DUMMYFUNCTION("if(isblank(A77),,REGEXMATCH(B77,""^((U ?vs\. ?(U ?I|I ?U))|((U ?I|I ?U) ?vs\. ?U)) *$""))"),FALSE)</f>
        <v>0</v>
      </c>
      <c r="AP77" s="37" t="b">
        <f>IFERROR(__xludf.DUMMYFUNCTION("if(isblank(A77),,REGEXMATCH(B77,""^((I ?vs\. ?(U ?D|D ?U))|((D ?U|U ?D) ?vs\. ?I)) *$""))"),FALSE)</f>
        <v>0</v>
      </c>
      <c r="AQ77" s="37" t="b">
        <f>IFERROR(__xludf.DUMMYFUNCTION("if(isblank(A77),,REGEXMATCH(B77,""^((D ?vs\. ?(U ?D|D ?U))|((D ?U|U ?D) ?vs\. ?D)) *$""))"),FALSE)</f>
        <v>0</v>
      </c>
      <c r="AR77" s="37" t="b">
        <f>IFERROR(__xludf.DUMMYFUNCTION("if(isblank(A77),,REGEXMATCH(B77,""^((U ?vs\. ?(U ?D|D ?U))|((D ?U|U ?D) ?vs\. ?U)) *$""))"),FALSE)</f>
        <v>0</v>
      </c>
      <c r="AS77" s="37" t="b">
        <f>IFERROR(__xludf.DUMMYFUNCTION("if(isblank(A77),,REGEXMATCH(B77,""^((D ?I|I ?D) ?vs\. ?(D ?I|I ?D)) *$""))"),FALSE)</f>
        <v>0</v>
      </c>
      <c r="AT77" s="37" t="b">
        <f>IFERROR(__xludf.DUMMYFUNCTION("if(isblank(A77),,REGEXMATCH(B77,""^((D ?I|I ?D) ?vs\. ?(U ?I|I ?U))|((U ?I|I ?U) ?vs\. ?(D ?I|I ?D)) *$""))"),FALSE)</f>
        <v>0</v>
      </c>
      <c r="AU77" s="37" t="b">
        <f>IFERROR(__xludf.DUMMYFUNCTION("if(isblank(A77),,REGEXMATCH(B77,""^((D ?I|I ?D) ?vs\. ?(U ?D|D ?U))|((U ?D|D ?U) ?vs\. ?(D ?I|I ?D)) *$""))"),FALSE)</f>
        <v>0</v>
      </c>
      <c r="AV77" s="37" t="b">
        <f>IFERROR(__xludf.DUMMYFUNCTION("if(isblank(A77),,REGEXMATCH(B77,""^((U ?I|I ?U) ?vs\. ?(U ?I|I ?U)) *$""))"),FALSE)</f>
        <v>0</v>
      </c>
    </row>
    <row r="78" ht="26.25" customHeight="1">
      <c r="A78" s="79" t="str">
        <f>Paper_Textual_Conflict!M78</f>
        <v>D vs. I (Java code)
Origin(D + I)</v>
      </c>
      <c r="B78" s="37" t="str">
        <f>IFERROR(__xludf.DUMMYFUNCTION("if(isblank(A78),,regexextract(REGEXEXTRACT(A78,""^.*""),""^[^(]*""))"),"D vs. I ")</f>
        <v>D vs. I </v>
      </c>
      <c r="C78" s="37" t="b">
        <f>IFERROR(__xludf.DUMMYFUNCTION("if(isblank(A78),,REGEXMATCH(B78,"".*\+.*"") )"),FALSE)</f>
        <v>0</v>
      </c>
      <c r="D78" s="37" t="b">
        <f>IFERROR(__xludf.DUMMYFUNCTION("if(isblank(A78),,REGEXMATCH(B78,"".*vs.*"") )"),TRUE)</f>
        <v>1</v>
      </c>
      <c r="E78" s="37" t="b">
        <f>Paper_Textual_Conflict!H78</f>
        <v>1</v>
      </c>
      <c r="F78" s="37" t="str">
        <f>Paper_Textual_Conflict!Q78</f>
        <v>Java</v>
      </c>
      <c r="G78" s="33">
        <v>78.0</v>
      </c>
      <c r="H78" s="37" t="b">
        <f>IFERROR(__xludf.DUMMYFUNCTION("if(isblank(A78),,REGEXMATCH(B78,""^I *\+ I *$""))"),FALSE)</f>
        <v>0</v>
      </c>
      <c r="I78" s="37" t="b">
        <f>IFERROR(__xludf.DUMMYFUNCTION("if(isblank(A78),,REGEXMATCH(B78,""(^I *\+ D *$)|(^D *\+ I *$)""))"),FALSE)</f>
        <v>0</v>
      </c>
      <c r="J78" s="37" t="b">
        <f>IFERROR(__xludf.DUMMYFUNCTION("if(isblank(A78),,REGEXMATCH(B78,""(^I *\+ U *$)|(^U *\+ I *$)""))"),FALSE)</f>
        <v>0</v>
      </c>
      <c r="K78" s="37" t="b">
        <f>IFERROR(__xludf.DUMMYFUNCTION("if(isblank(A78),,REGEXMATCH(B78,""(^I *\+ N *$)|(^N *\+ I *$)"") )"),FALSE)</f>
        <v>0</v>
      </c>
      <c r="L78" s="37" t="b">
        <f>IFERROR(__xludf.DUMMYFUNCTION("if(isblank(A78),,REGEXMATCH(B78,""^D *\+ D *$""))"),FALSE)</f>
        <v>0</v>
      </c>
      <c r="M78" s="37" t="b">
        <f>IFERROR(__xludf.DUMMYFUNCTION("if(isblank(A78),,REGEXMATCH(B78,""(^U *\+ D *$)|(^D *\+ U *$)""))"),FALSE)</f>
        <v>0</v>
      </c>
      <c r="N78" s="37" t="b">
        <f>IFERROR(__xludf.DUMMYFUNCTION("if(isblank(A78),,REGEXMATCH(B78,""(^N *\+ D *$)|(^D *\+ N *$)""))"),FALSE)</f>
        <v>0</v>
      </c>
      <c r="O78" s="37" t="b">
        <f>IFERROR(__xludf.DUMMYFUNCTION("if(isblank(A78),,REGEXMATCH(B78,""^U *\+ U *$""))"),FALSE)</f>
        <v>0</v>
      </c>
      <c r="P78" s="37" t="b">
        <f>IFERROR(__xludf.DUMMYFUNCTION("if(isblank(A78),,REGEXMATCH(B78,""(^U *\+ N *$)|(^N *\+ U *$)""))"),FALSE)</f>
        <v>0</v>
      </c>
      <c r="Q78" s="37" t="b">
        <f>IFERROR(__xludf.DUMMYFUNCTION("if(isblank(A78),,REGEXMATCH(B78,""^((I ?\+ ?(D ?I|I ?D))|((D ?I|I ?D) ?\+ ?I)) *$""))"),FALSE)</f>
        <v>0</v>
      </c>
      <c r="R78" s="37" t="b">
        <f>IFERROR(__xludf.DUMMYFUNCTION("if(isblank(A78),,REGEXMATCH(B78,""^((D ?\+ ?(D ?I|I ?D))|((D ?I|I ?D) ?\+ ?D)) *$""))"),FALSE)</f>
        <v>0</v>
      </c>
      <c r="S78" s="37" t="b">
        <f>IFERROR(__xludf.DUMMYFUNCTION("if(isblank(A78),,REGEXMATCH(B78,""^((U ?\+ ?(D ?I|I ?D))|((D ?I|I ?D) ?\+ ?U)) *$""))"),FALSE)</f>
        <v>0</v>
      </c>
      <c r="T78" s="37" t="b">
        <f>IFERROR(__xludf.DUMMYFUNCTION("if(isblank(A78),,REGEXMATCH(B78,""^((N ?\+ ?(D ?I|I ?D))|((D ?I|I ?D) ?\+ ?N)) *$""))"),FALSE)</f>
        <v>0</v>
      </c>
      <c r="U78" s="37" t="b">
        <f>IFERROR(__xludf.DUMMYFUNCTION("if(isblank(A78),,REGEXMATCH(B78,""^((I ?\+ ?(U ?I|I ?U))|((I ?U|U ?I) ?\+ ?I)) *$""))"),FALSE)</f>
        <v>0</v>
      </c>
      <c r="V78" s="37" t="b">
        <f>IFERROR(__xludf.DUMMYFUNCTION("if(isblank(A78),,REGEXMATCH(B78,""^((D ?\+ ?(U ?I|I ?U))|((I ?U|U ?I) ?\+ ?D)) *$""))"),FALSE)</f>
        <v>0</v>
      </c>
      <c r="W78" s="37" t="b">
        <f>IFERROR(__xludf.DUMMYFUNCTION("if(isblank(A78),,REGEXMATCH(B78,""^((U ?\+ ?(U ?I|I ?U))|((I ?U|U ?I) ?\+ ?U)) *$""))"),FALSE)</f>
        <v>0</v>
      </c>
      <c r="X78" s="37" t="b">
        <f>IFERROR(__xludf.DUMMYFUNCTION("if(isblank(A78),,REGEXMATCH(B78,""^((N ?\+ ?(U ?I|I ?U))|((I ?U|U ?I) ?\+ ?N)) *$""))"),FALSE)</f>
        <v>0</v>
      </c>
      <c r="Y78" s="37" t="b">
        <f>IFERROR(__xludf.DUMMYFUNCTION("if(isblank(A78),,REGEXMATCH(B78,""^((I ?\+ ?(U ?D|D ?U))|((D ?U|U ?D) ?\+ ?I)) *$""))"),FALSE)</f>
        <v>0</v>
      </c>
      <c r="Z78" s="37" t="b">
        <f>IFERROR(__xludf.DUMMYFUNCTION("if(isblank(A78),,REGEXMATCH(B78,""^((D ?\+ ?(U ?D|D ?U))|((D ?U|U ?D) ?\+ ?D)) *$""))"),FALSE)</f>
        <v>0</v>
      </c>
      <c r="AA78" s="37" t="b">
        <f>IFERROR(__xludf.DUMMYFUNCTION("if(isblank(A78),,REGEXMATCH(B78,""^((U ?\+ ?(U ?D|D ?U))|((D ?U|U ?D) ?\+ ?U)) *$""))"),FALSE)</f>
        <v>0</v>
      </c>
      <c r="AB78" s="37" t="b">
        <f>IFERROR(__xludf.DUMMYFUNCTION("if(isblank(A78),,REGEXMATCH(B78,""^((D ?I|I ?D) ?\+ ?(D ?I|I ?D)) *$""))"),FALSE)</f>
        <v>0</v>
      </c>
      <c r="AC78" s="37" t="b">
        <f>IFERROR(__xludf.DUMMYFUNCTION("if(isblank(A78),,REGEXMATCH(B78,""^((D ?I|I ?D) ?\+ ?(U ?I|I ?U))|((U ?I|I ?U) ?\+ ?(D ?I|I ?D)) *$""))"),FALSE)</f>
        <v>0</v>
      </c>
      <c r="AD78" s="37" t="b">
        <f>IFERROR(__xludf.DUMMYFUNCTION("if(isblank(A78),,REGEXMATCH(B78,""^I *vs\. I *$""))"),FALSE)</f>
        <v>0</v>
      </c>
      <c r="AE78" s="37" t="b">
        <f>IFERROR(__xludf.DUMMYFUNCTION("if(isblank(A78),,REGEXMATCH(B78,""(^I *vs\. D *$)|(^D *vs\. I *$)""))"),TRUE)</f>
        <v>1</v>
      </c>
      <c r="AF78" s="37" t="b">
        <f>IFERROR(__xludf.DUMMYFUNCTION("if(isblank(A78),,REGEXMATCH(B78,""(^I *vs\. U *$)|(^U *vs\. I *$)""))"),FALSE)</f>
        <v>0</v>
      </c>
      <c r="AG78" s="37" t="b">
        <f>IFERROR(__xludf.DUMMYFUNCTION("if(isblank(A78),,REGEXMATCH(B78,""^D *vs\. D *$""))"),FALSE)</f>
        <v>0</v>
      </c>
      <c r="AH78" s="37" t="b">
        <f>IFERROR(__xludf.DUMMYFUNCTION("if(isblank(A78),,REGEXMATCH(B78,""(^U *vs\. D *$)|(^D *vs\. U *$)""))"),FALSE)</f>
        <v>0</v>
      </c>
      <c r="AI78" s="37" t="b">
        <f>IFERROR(__xludf.DUMMYFUNCTION("if(isblank(A78),,REGEXMATCH(B78,""^U *vs\. U *$""))"),FALSE)</f>
        <v>0</v>
      </c>
      <c r="AJ78" s="37" t="b">
        <f>IFERROR(__xludf.DUMMYFUNCTION("if(isblank(A78),,REGEXMATCH(B78,""^((I ?vs\. ?(D ?I|I ?D))|((D ?I|I ?D) ?vs\. ?I)) *$""))"),FALSE)</f>
        <v>0</v>
      </c>
      <c r="AK78" s="37" t="b">
        <f>IFERROR(__xludf.DUMMYFUNCTION("if(isblank(A78),,REGEXMATCH(B78,""^((D ?vs\. ?(D ?I|I ?D))|((D ?I|I ?D) ?vs\. ?D)) *$""))"),FALSE)</f>
        <v>0</v>
      </c>
      <c r="AL78" s="37" t="b">
        <f>IFERROR(__xludf.DUMMYFUNCTION("if(isblank(A78),,REGEXMATCH(B78,""^((U ?vs\. ?(D ?I|I ?D))|((D ?I|I ?D) ?vs\. ?U)) *$""))"),FALSE)</f>
        <v>0</v>
      </c>
      <c r="AM78" s="37" t="b">
        <f>IFERROR(__xludf.DUMMYFUNCTION("if(isblank(A78),,REGEXMATCH(B78,""^((I ?vs\. ?(U ?I|I ?U))|((U ?I|I ?U) ?vs\. ?I)) *$""))"),FALSE)</f>
        <v>0</v>
      </c>
      <c r="AN78" s="37" t="b">
        <f>IFERROR(__xludf.DUMMYFUNCTION("if(isblank(A78),,REGEXMATCH(B78,""^((D ?vs\. ?(U ?I|I ?U))|((U ?I|I ?U) ?vs\. ?D)) *$""))"),FALSE)</f>
        <v>0</v>
      </c>
      <c r="AO78" s="37" t="b">
        <f>IFERROR(__xludf.DUMMYFUNCTION("if(isblank(A78),,REGEXMATCH(B78,""^((U ?vs\. ?(U ?I|I ?U))|((U ?I|I ?U) ?vs\. ?U)) *$""))"),FALSE)</f>
        <v>0</v>
      </c>
      <c r="AP78" s="37" t="b">
        <f>IFERROR(__xludf.DUMMYFUNCTION("if(isblank(A78),,REGEXMATCH(B78,""^((I ?vs\. ?(U ?D|D ?U))|((D ?U|U ?D) ?vs\. ?I)) *$""))"),FALSE)</f>
        <v>0</v>
      </c>
      <c r="AQ78" s="37" t="b">
        <f>IFERROR(__xludf.DUMMYFUNCTION("if(isblank(A78),,REGEXMATCH(B78,""^((D ?vs\. ?(U ?D|D ?U))|((D ?U|U ?D) ?vs\. ?D)) *$""))"),FALSE)</f>
        <v>0</v>
      </c>
      <c r="AR78" s="37" t="b">
        <f>IFERROR(__xludf.DUMMYFUNCTION("if(isblank(A78),,REGEXMATCH(B78,""^((U ?vs\. ?(U ?D|D ?U))|((D ?U|U ?D) ?vs\. ?U)) *$""))"),FALSE)</f>
        <v>0</v>
      </c>
      <c r="AS78" s="37" t="b">
        <f>IFERROR(__xludf.DUMMYFUNCTION("if(isblank(A78),,REGEXMATCH(B78,""^((D ?I|I ?D) ?vs\. ?(D ?I|I ?D)) *$""))"),FALSE)</f>
        <v>0</v>
      </c>
      <c r="AT78" s="37" t="b">
        <f>IFERROR(__xludf.DUMMYFUNCTION("if(isblank(A78),,REGEXMATCH(B78,""^((D ?I|I ?D) ?vs\. ?(U ?I|I ?U))|((U ?I|I ?U) ?vs\. ?(D ?I|I ?D)) *$""))"),FALSE)</f>
        <v>0</v>
      </c>
      <c r="AU78" s="37" t="b">
        <f>IFERROR(__xludf.DUMMYFUNCTION("if(isblank(A78),,REGEXMATCH(B78,""^((D ?I|I ?D) ?vs\. ?(U ?D|D ?U))|((U ?D|D ?U) ?vs\. ?(D ?I|I ?D)) *$""))"),FALSE)</f>
        <v>0</v>
      </c>
      <c r="AV78" s="37" t="b">
        <f>IFERROR(__xludf.DUMMYFUNCTION("if(isblank(A78),,REGEXMATCH(B78,""^((U ?I|I ?U) ?vs\. ?(U ?I|I ?U)) *$""))"),FALSE)</f>
        <v>0</v>
      </c>
    </row>
    <row r="79" ht="26.25" customHeight="1">
      <c r="A79" s="79" t="str">
        <f>Paper_Textual_Conflict!M79</f>
        <v>I vs. I(Java code) L is semantically equivalent to R</v>
      </c>
      <c r="B79" s="37" t="str">
        <f>IFERROR(__xludf.DUMMYFUNCTION("if(isblank(A79),,regexextract(REGEXEXTRACT(A79,""^.*""),""^[^(]*""))"),"I vs. I")</f>
        <v>I vs. I</v>
      </c>
      <c r="C79" s="37" t="b">
        <f>IFERROR(__xludf.DUMMYFUNCTION("if(isblank(A79),,REGEXMATCH(B79,"".*\+.*"") )"),FALSE)</f>
        <v>0</v>
      </c>
      <c r="D79" s="37" t="b">
        <f>IFERROR(__xludf.DUMMYFUNCTION("if(isblank(A79),,REGEXMATCH(B79,"".*vs.*"") )"),TRUE)</f>
        <v>1</v>
      </c>
      <c r="E79" s="37" t="b">
        <f>Paper_Textual_Conflict!H79</f>
        <v>1</v>
      </c>
      <c r="F79" s="37" t="str">
        <f>Paper_Textual_Conflict!Q79</f>
        <v>Non-Java</v>
      </c>
      <c r="G79" s="33">
        <v>79.0</v>
      </c>
      <c r="H79" s="37" t="b">
        <f>IFERROR(__xludf.DUMMYFUNCTION("if(isblank(A79),,REGEXMATCH(B79,""^I *\+ I *$""))"),FALSE)</f>
        <v>0</v>
      </c>
      <c r="I79" s="37" t="b">
        <f>IFERROR(__xludf.DUMMYFUNCTION("if(isblank(A79),,REGEXMATCH(B79,""(^I *\+ D *$)|(^D *\+ I *$)""))"),FALSE)</f>
        <v>0</v>
      </c>
      <c r="J79" s="37" t="b">
        <f>IFERROR(__xludf.DUMMYFUNCTION("if(isblank(A79),,REGEXMATCH(B79,""(^I *\+ U *$)|(^U *\+ I *$)""))"),FALSE)</f>
        <v>0</v>
      </c>
      <c r="K79" s="37" t="b">
        <f>IFERROR(__xludf.DUMMYFUNCTION("if(isblank(A79),,REGEXMATCH(B79,""(^I *\+ N *$)|(^N *\+ I *$)"") )"),FALSE)</f>
        <v>0</v>
      </c>
      <c r="L79" s="37" t="b">
        <f>IFERROR(__xludf.DUMMYFUNCTION("if(isblank(A79),,REGEXMATCH(B79,""^D *\+ D *$""))"),FALSE)</f>
        <v>0</v>
      </c>
      <c r="M79" s="37" t="b">
        <f>IFERROR(__xludf.DUMMYFUNCTION("if(isblank(A79),,REGEXMATCH(B79,""(^U *\+ D *$)|(^D *\+ U *$)""))"),FALSE)</f>
        <v>0</v>
      </c>
      <c r="N79" s="37" t="b">
        <f>IFERROR(__xludf.DUMMYFUNCTION("if(isblank(A79),,REGEXMATCH(B79,""(^N *\+ D *$)|(^D *\+ N *$)""))"),FALSE)</f>
        <v>0</v>
      </c>
      <c r="O79" s="37" t="b">
        <f>IFERROR(__xludf.DUMMYFUNCTION("if(isblank(A79),,REGEXMATCH(B79,""^U *\+ U *$""))"),FALSE)</f>
        <v>0</v>
      </c>
      <c r="P79" s="37" t="b">
        <f>IFERROR(__xludf.DUMMYFUNCTION("if(isblank(A79),,REGEXMATCH(B79,""(^U *\+ N *$)|(^N *\+ U *$)""))"),FALSE)</f>
        <v>0</v>
      </c>
      <c r="Q79" s="37" t="b">
        <f>IFERROR(__xludf.DUMMYFUNCTION("if(isblank(A79),,REGEXMATCH(B79,""^((I ?\+ ?(D ?I|I ?D))|((D ?I|I ?D) ?\+ ?I)) *$""))"),FALSE)</f>
        <v>0</v>
      </c>
      <c r="R79" s="37" t="b">
        <f>IFERROR(__xludf.DUMMYFUNCTION("if(isblank(A79),,REGEXMATCH(B79,""^((D ?\+ ?(D ?I|I ?D))|((D ?I|I ?D) ?\+ ?D)) *$""))"),FALSE)</f>
        <v>0</v>
      </c>
      <c r="S79" s="37" t="b">
        <f>IFERROR(__xludf.DUMMYFUNCTION("if(isblank(A79),,REGEXMATCH(B79,""^((U ?\+ ?(D ?I|I ?D))|((D ?I|I ?D) ?\+ ?U)) *$""))"),FALSE)</f>
        <v>0</v>
      </c>
      <c r="T79" s="37" t="b">
        <f>IFERROR(__xludf.DUMMYFUNCTION("if(isblank(A79),,REGEXMATCH(B79,""^((N ?\+ ?(D ?I|I ?D))|((D ?I|I ?D) ?\+ ?N)) *$""))"),FALSE)</f>
        <v>0</v>
      </c>
      <c r="U79" s="37" t="b">
        <f>IFERROR(__xludf.DUMMYFUNCTION("if(isblank(A79),,REGEXMATCH(B79,""^((I ?\+ ?(U ?I|I ?U))|((I ?U|U ?I) ?\+ ?I)) *$""))"),FALSE)</f>
        <v>0</v>
      </c>
      <c r="V79" s="37" t="b">
        <f>IFERROR(__xludf.DUMMYFUNCTION("if(isblank(A79),,REGEXMATCH(B79,""^((D ?\+ ?(U ?I|I ?U))|((I ?U|U ?I) ?\+ ?D)) *$""))"),FALSE)</f>
        <v>0</v>
      </c>
      <c r="W79" s="37" t="b">
        <f>IFERROR(__xludf.DUMMYFUNCTION("if(isblank(A79),,REGEXMATCH(B79,""^((U ?\+ ?(U ?I|I ?U))|((I ?U|U ?I) ?\+ ?U)) *$""))"),FALSE)</f>
        <v>0</v>
      </c>
      <c r="X79" s="37" t="b">
        <f>IFERROR(__xludf.DUMMYFUNCTION("if(isblank(A79),,REGEXMATCH(B79,""^((N ?\+ ?(U ?I|I ?U))|((I ?U|U ?I) ?\+ ?N)) *$""))"),FALSE)</f>
        <v>0</v>
      </c>
      <c r="Y79" s="37" t="b">
        <f>IFERROR(__xludf.DUMMYFUNCTION("if(isblank(A79),,REGEXMATCH(B79,""^((I ?\+ ?(U ?D|D ?U))|((D ?U|U ?D) ?\+ ?I)) *$""))"),FALSE)</f>
        <v>0</v>
      </c>
      <c r="Z79" s="37" t="b">
        <f>IFERROR(__xludf.DUMMYFUNCTION("if(isblank(A79),,REGEXMATCH(B79,""^((D ?\+ ?(U ?D|D ?U))|((D ?U|U ?D) ?\+ ?D)) *$""))"),FALSE)</f>
        <v>0</v>
      </c>
      <c r="AA79" s="37" t="b">
        <f>IFERROR(__xludf.DUMMYFUNCTION("if(isblank(A79),,REGEXMATCH(B79,""^((U ?\+ ?(U ?D|D ?U))|((D ?U|U ?D) ?\+ ?U)) *$""))"),FALSE)</f>
        <v>0</v>
      </c>
      <c r="AB79" s="37" t="b">
        <f>IFERROR(__xludf.DUMMYFUNCTION("if(isblank(A79),,REGEXMATCH(B79,""^((D ?I|I ?D) ?\+ ?(D ?I|I ?D)) *$""))"),FALSE)</f>
        <v>0</v>
      </c>
      <c r="AC79" s="37" t="b">
        <f>IFERROR(__xludf.DUMMYFUNCTION("if(isblank(A79),,REGEXMATCH(B79,""^((D ?I|I ?D) ?\+ ?(U ?I|I ?U))|((U ?I|I ?U) ?\+ ?(D ?I|I ?D)) *$""))"),FALSE)</f>
        <v>0</v>
      </c>
      <c r="AD79" s="37" t="b">
        <f>IFERROR(__xludf.DUMMYFUNCTION("if(isblank(A79),,REGEXMATCH(B79,""^I *vs\. I *$""))"),TRUE)</f>
        <v>1</v>
      </c>
      <c r="AE79" s="37" t="b">
        <f>IFERROR(__xludf.DUMMYFUNCTION("if(isblank(A79),,REGEXMATCH(B79,""(^I *vs\. D *$)|(^D *vs\. I *$)""))"),FALSE)</f>
        <v>0</v>
      </c>
      <c r="AF79" s="37" t="b">
        <f>IFERROR(__xludf.DUMMYFUNCTION("if(isblank(A79),,REGEXMATCH(B79,""(^I *vs\. U *$)|(^U *vs\. I *$)""))"),FALSE)</f>
        <v>0</v>
      </c>
      <c r="AG79" s="37" t="b">
        <f>IFERROR(__xludf.DUMMYFUNCTION("if(isblank(A79),,REGEXMATCH(B79,""^D *vs\. D *$""))"),FALSE)</f>
        <v>0</v>
      </c>
      <c r="AH79" s="37" t="b">
        <f>IFERROR(__xludf.DUMMYFUNCTION("if(isblank(A79),,REGEXMATCH(B79,""(^U *vs\. D *$)|(^D *vs\. U *$)""))"),FALSE)</f>
        <v>0</v>
      </c>
      <c r="AI79" s="37" t="b">
        <f>IFERROR(__xludf.DUMMYFUNCTION("if(isblank(A79),,REGEXMATCH(B79,""^U *vs\. U *$""))"),FALSE)</f>
        <v>0</v>
      </c>
      <c r="AJ79" s="37" t="b">
        <f>IFERROR(__xludf.DUMMYFUNCTION("if(isblank(A79),,REGEXMATCH(B79,""^((I ?vs\. ?(D ?I|I ?D))|((D ?I|I ?D) ?vs\. ?I)) *$""))"),FALSE)</f>
        <v>0</v>
      </c>
      <c r="AK79" s="37" t="b">
        <f>IFERROR(__xludf.DUMMYFUNCTION("if(isblank(A79),,REGEXMATCH(B79,""^((D ?vs\. ?(D ?I|I ?D))|((D ?I|I ?D) ?vs\. ?D)) *$""))"),FALSE)</f>
        <v>0</v>
      </c>
      <c r="AL79" s="37" t="b">
        <f>IFERROR(__xludf.DUMMYFUNCTION("if(isblank(A79),,REGEXMATCH(B79,""^((U ?vs\. ?(D ?I|I ?D))|((D ?I|I ?D) ?vs\. ?U)) *$""))"),FALSE)</f>
        <v>0</v>
      </c>
      <c r="AM79" s="37" t="b">
        <f>IFERROR(__xludf.DUMMYFUNCTION("if(isblank(A79),,REGEXMATCH(B79,""^((I ?vs\. ?(U ?I|I ?U))|((U ?I|I ?U) ?vs\. ?I)) *$""))"),FALSE)</f>
        <v>0</v>
      </c>
      <c r="AN79" s="37" t="b">
        <f>IFERROR(__xludf.DUMMYFUNCTION("if(isblank(A79),,REGEXMATCH(B79,""^((D ?vs\. ?(U ?I|I ?U))|((U ?I|I ?U) ?vs\. ?D)) *$""))"),FALSE)</f>
        <v>0</v>
      </c>
      <c r="AO79" s="37" t="b">
        <f>IFERROR(__xludf.DUMMYFUNCTION("if(isblank(A79),,REGEXMATCH(B79,""^((U ?vs\. ?(U ?I|I ?U))|((U ?I|I ?U) ?vs\. ?U)) *$""))"),FALSE)</f>
        <v>0</v>
      </c>
      <c r="AP79" s="37" t="b">
        <f>IFERROR(__xludf.DUMMYFUNCTION("if(isblank(A79),,REGEXMATCH(B79,""^((I ?vs\. ?(U ?D|D ?U))|((D ?U|U ?D) ?vs\. ?I)) *$""))"),FALSE)</f>
        <v>0</v>
      </c>
      <c r="AQ79" s="37" t="b">
        <f>IFERROR(__xludf.DUMMYFUNCTION("if(isblank(A79),,REGEXMATCH(B79,""^((D ?vs\. ?(U ?D|D ?U))|((D ?U|U ?D) ?vs\. ?D)) *$""))"),FALSE)</f>
        <v>0</v>
      </c>
      <c r="AR79" s="37" t="b">
        <f>IFERROR(__xludf.DUMMYFUNCTION("if(isblank(A79),,REGEXMATCH(B79,""^((U ?vs\. ?(U ?D|D ?U))|((D ?U|U ?D) ?vs\. ?U)) *$""))"),FALSE)</f>
        <v>0</v>
      </c>
      <c r="AS79" s="37" t="b">
        <f>IFERROR(__xludf.DUMMYFUNCTION("if(isblank(A79),,REGEXMATCH(B79,""^((D ?I|I ?D) ?vs\. ?(D ?I|I ?D)) *$""))"),FALSE)</f>
        <v>0</v>
      </c>
      <c r="AT79" s="37" t="b">
        <f>IFERROR(__xludf.DUMMYFUNCTION("if(isblank(A79),,REGEXMATCH(B79,""^((D ?I|I ?D) ?vs\. ?(U ?I|I ?U))|((U ?I|I ?U) ?vs\. ?(D ?I|I ?D)) *$""))"),FALSE)</f>
        <v>0</v>
      </c>
      <c r="AU79" s="37" t="b">
        <f>IFERROR(__xludf.DUMMYFUNCTION("if(isblank(A79),,REGEXMATCH(B79,""^((D ?I|I ?D) ?vs\. ?(U ?D|D ?U))|((U ?D|D ?U) ?vs\. ?(D ?I|I ?D)) *$""))"),FALSE)</f>
        <v>0</v>
      </c>
      <c r="AV79" s="37" t="b">
        <f>IFERROR(__xludf.DUMMYFUNCTION("if(isblank(A79),,REGEXMATCH(B79,""^((U ?I|I ?U) ?vs\. ?(U ?I|I ?U)) *$""))"),FALSE)</f>
        <v>0</v>
      </c>
    </row>
    <row r="80" ht="26.25" customHeight="1">
      <c r="A80" s="79" t="str">
        <f>Paper_Textual_Conflict!M80</f>
        <v>N + D I (configuration) 
Origin(I vs. D I)</v>
      </c>
      <c r="B80" s="37" t="str">
        <f>IFERROR(__xludf.DUMMYFUNCTION("if(isblank(A80),,regexextract(REGEXEXTRACT(A80,""^.*""),""^[^(]*""))"),"N + D I ")</f>
        <v>N + D I </v>
      </c>
      <c r="C80" s="37" t="b">
        <f>IFERROR(__xludf.DUMMYFUNCTION("if(isblank(A80),,REGEXMATCH(B80,"".*\+.*"") )"),TRUE)</f>
        <v>1</v>
      </c>
      <c r="D80" s="37" t="b">
        <f>IFERROR(__xludf.DUMMYFUNCTION("if(isblank(A80),,REGEXMATCH(B80,"".*vs.*"") )"),FALSE)</f>
        <v>0</v>
      </c>
      <c r="E80" s="37" t="b">
        <f>Paper_Textual_Conflict!H80</f>
        <v>0</v>
      </c>
      <c r="F80" s="37" t="str">
        <f>Paper_Textual_Conflict!Q80</f>
        <v>Non-Java</v>
      </c>
      <c r="G80" s="33">
        <v>80.0</v>
      </c>
      <c r="H80" s="37" t="b">
        <f>IFERROR(__xludf.DUMMYFUNCTION("if(isblank(A80),,REGEXMATCH(B80,""^I *\+ I *$""))"),FALSE)</f>
        <v>0</v>
      </c>
      <c r="I80" s="37" t="b">
        <f>IFERROR(__xludf.DUMMYFUNCTION("if(isblank(A80),,REGEXMATCH(B80,""(^I *\+ D *$)|(^D *\+ I *$)""))"),FALSE)</f>
        <v>0</v>
      </c>
      <c r="J80" s="37" t="b">
        <f>IFERROR(__xludf.DUMMYFUNCTION("if(isblank(A80),,REGEXMATCH(B80,""(^I *\+ U *$)|(^U *\+ I *$)""))"),FALSE)</f>
        <v>0</v>
      </c>
      <c r="K80" s="37" t="b">
        <f>IFERROR(__xludf.DUMMYFUNCTION("if(isblank(A80),,REGEXMATCH(B80,""(^I *\+ N *$)|(^N *\+ I *$)"") )"),FALSE)</f>
        <v>0</v>
      </c>
      <c r="L80" s="37" t="b">
        <f>IFERROR(__xludf.DUMMYFUNCTION("if(isblank(A80),,REGEXMATCH(B80,""^D *\+ D *$""))"),FALSE)</f>
        <v>0</v>
      </c>
      <c r="M80" s="37" t="b">
        <f>IFERROR(__xludf.DUMMYFUNCTION("if(isblank(A80),,REGEXMATCH(B80,""(^U *\+ D *$)|(^D *\+ U *$)""))"),FALSE)</f>
        <v>0</v>
      </c>
      <c r="N80" s="37" t="b">
        <f>IFERROR(__xludf.DUMMYFUNCTION("if(isblank(A80),,REGEXMATCH(B80,""(^N *\+ D *$)|(^D *\+ N *$)""))"),FALSE)</f>
        <v>0</v>
      </c>
      <c r="O80" s="37" t="b">
        <f>IFERROR(__xludf.DUMMYFUNCTION("if(isblank(A80),,REGEXMATCH(B80,""^U *\+ U *$""))"),FALSE)</f>
        <v>0</v>
      </c>
      <c r="P80" s="37" t="b">
        <f>IFERROR(__xludf.DUMMYFUNCTION("if(isblank(A80),,REGEXMATCH(B80,""(^U *\+ N *$)|(^N *\+ U *$)""))"),FALSE)</f>
        <v>0</v>
      </c>
      <c r="Q80" s="37" t="b">
        <f>IFERROR(__xludf.DUMMYFUNCTION("if(isblank(A80),,REGEXMATCH(B80,""^((I ?\+ ?(D ?I|I ?D))|((D ?I|I ?D) ?\+ ?I)) *$""))"),FALSE)</f>
        <v>0</v>
      </c>
      <c r="R80" s="37" t="b">
        <f>IFERROR(__xludf.DUMMYFUNCTION("if(isblank(A80),,REGEXMATCH(B80,""^((D ?\+ ?(D ?I|I ?D))|((D ?I|I ?D) ?\+ ?D)) *$""))"),FALSE)</f>
        <v>0</v>
      </c>
      <c r="S80" s="37" t="b">
        <f>IFERROR(__xludf.DUMMYFUNCTION("if(isblank(A80),,REGEXMATCH(B80,""^((U ?\+ ?(D ?I|I ?D))|((D ?I|I ?D) ?\+ ?U)) *$""))"),FALSE)</f>
        <v>0</v>
      </c>
      <c r="T80" s="37" t="b">
        <f>IFERROR(__xludf.DUMMYFUNCTION("if(isblank(A80),,REGEXMATCH(B80,""^((N ?\+ ?(D ?I|I ?D))|((D ?I|I ?D) ?\+ ?N)) *$""))"),TRUE)</f>
        <v>1</v>
      </c>
      <c r="U80" s="37" t="b">
        <f>IFERROR(__xludf.DUMMYFUNCTION("if(isblank(A80),,REGEXMATCH(B80,""^((I ?\+ ?(U ?I|I ?U))|((I ?U|U ?I) ?\+ ?I)) *$""))"),FALSE)</f>
        <v>0</v>
      </c>
      <c r="V80" s="37" t="b">
        <f>IFERROR(__xludf.DUMMYFUNCTION("if(isblank(A80),,REGEXMATCH(B80,""^((D ?\+ ?(U ?I|I ?U))|((I ?U|U ?I) ?\+ ?D)) *$""))"),FALSE)</f>
        <v>0</v>
      </c>
      <c r="W80" s="37" t="b">
        <f>IFERROR(__xludf.DUMMYFUNCTION("if(isblank(A80),,REGEXMATCH(B80,""^((U ?\+ ?(U ?I|I ?U))|((I ?U|U ?I) ?\+ ?U)) *$""))"),FALSE)</f>
        <v>0</v>
      </c>
      <c r="X80" s="37" t="b">
        <f>IFERROR(__xludf.DUMMYFUNCTION("if(isblank(A80),,REGEXMATCH(B80,""^((N ?\+ ?(U ?I|I ?U))|((I ?U|U ?I) ?\+ ?N)) *$""))"),FALSE)</f>
        <v>0</v>
      </c>
      <c r="Y80" s="37" t="b">
        <f>IFERROR(__xludf.DUMMYFUNCTION("if(isblank(A80),,REGEXMATCH(B80,""^((I ?\+ ?(U ?D|D ?U))|((D ?U|U ?D) ?\+ ?I)) *$""))"),FALSE)</f>
        <v>0</v>
      </c>
      <c r="Z80" s="37" t="b">
        <f>IFERROR(__xludf.DUMMYFUNCTION("if(isblank(A80),,REGEXMATCH(B80,""^((D ?\+ ?(U ?D|D ?U))|((D ?U|U ?D) ?\+ ?D)) *$""))"),FALSE)</f>
        <v>0</v>
      </c>
      <c r="AA80" s="37" t="b">
        <f>IFERROR(__xludf.DUMMYFUNCTION("if(isblank(A80),,REGEXMATCH(B80,""^((U ?\+ ?(U ?D|D ?U))|((D ?U|U ?D) ?\+ ?U)) *$""))"),FALSE)</f>
        <v>0</v>
      </c>
      <c r="AB80" s="37" t="b">
        <f>IFERROR(__xludf.DUMMYFUNCTION("if(isblank(A80),,REGEXMATCH(B80,""^((D ?I|I ?D) ?\+ ?(D ?I|I ?D)) *$""))"),FALSE)</f>
        <v>0</v>
      </c>
      <c r="AC80" s="37" t="b">
        <f>IFERROR(__xludf.DUMMYFUNCTION("if(isblank(A80),,REGEXMATCH(B80,""^((D ?I|I ?D) ?\+ ?(U ?I|I ?U))|((U ?I|I ?U) ?\+ ?(D ?I|I ?D)) *$""))"),FALSE)</f>
        <v>0</v>
      </c>
      <c r="AD80" s="37" t="b">
        <f>IFERROR(__xludf.DUMMYFUNCTION("if(isblank(A80),,REGEXMATCH(B80,""^I *vs\. I *$""))"),FALSE)</f>
        <v>0</v>
      </c>
      <c r="AE80" s="37" t="b">
        <f>IFERROR(__xludf.DUMMYFUNCTION("if(isblank(A80),,REGEXMATCH(B80,""(^I *vs\. D *$)|(^D *vs\. I *$)""))"),FALSE)</f>
        <v>0</v>
      </c>
      <c r="AF80" s="37" t="b">
        <f>IFERROR(__xludf.DUMMYFUNCTION("if(isblank(A80),,REGEXMATCH(B80,""(^I *vs\. U *$)|(^U *vs\. I *$)""))"),FALSE)</f>
        <v>0</v>
      </c>
      <c r="AG80" s="37" t="b">
        <f>IFERROR(__xludf.DUMMYFUNCTION("if(isblank(A80),,REGEXMATCH(B80,""^D *vs\. D *$""))"),FALSE)</f>
        <v>0</v>
      </c>
      <c r="AH80" s="37" t="b">
        <f>IFERROR(__xludf.DUMMYFUNCTION("if(isblank(A80),,REGEXMATCH(B80,""(^U *vs\. D *$)|(^D *vs\. U *$)""))"),FALSE)</f>
        <v>0</v>
      </c>
      <c r="AI80" s="37" t="b">
        <f>IFERROR(__xludf.DUMMYFUNCTION("if(isblank(A80),,REGEXMATCH(B80,""^U *vs\. U *$""))"),FALSE)</f>
        <v>0</v>
      </c>
      <c r="AJ80" s="37" t="b">
        <f>IFERROR(__xludf.DUMMYFUNCTION("if(isblank(A80),,REGEXMATCH(B80,""^((I ?vs\. ?(D ?I|I ?D))|((D ?I|I ?D) ?vs\. ?I)) *$""))"),FALSE)</f>
        <v>0</v>
      </c>
      <c r="AK80" s="37" t="b">
        <f>IFERROR(__xludf.DUMMYFUNCTION("if(isblank(A80),,REGEXMATCH(B80,""^((D ?vs\. ?(D ?I|I ?D))|((D ?I|I ?D) ?vs\. ?D)) *$""))"),FALSE)</f>
        <v>0</v>
      </c>
      <c r="AL80" s="37" t="b">
        <f>IFERROR(__xludf.DUMMYFUNCTION("if(isblank(A80),,REGEXMATCH(B80,""^((U ?vs\. ?(D ?I|I ?D))|((D ?I|I ?D) ?vs\. ?U)) *$""))"),FALSE)</f>
        <v>0</v>
      </c>
      <c r="AM80" s="37" t="b">
        <f>IFERROR(__xludf.DUMMYFUNCTION("if(isblank(A80),,REGEXMATCH(B80,""^((I ?vs\. ?(U ?I|I ?U))|((U ?I|I ?U) ?vs\. ?I)) *$""))"),FALSE)</f>
        <v>0</v>
      </c>
      <c r="AN80" s="37" t="b">
        <f>IFERROR(__xludf.DUMMYFUNCTION("if(isblank(A80),,REGEXMATCH(B80,""^((D ?vs\. ?(U ?I|I ?U))|((U ?I|I ?U) ?vs\. ?D)) *$""))"),FALSE)</f>
        <v>0</v>
      </c>
      <c r="AO80" s="37" t="b">
        <f>IFERROR(__xludf.DUMMYFUNCTION("if(isblank(A80),,REGEXMATCH(B80,""^((U ?vs\. ?(U ?I|I ?U))|((U ?I|I ?U) ?vs\. ?U)) *$""))"),FALSE)</f>
        <v>0</v>
      </c>
      <c r="AP80" s="37" t="b">
        <f>IFERROR(__xludf.DUMMYFUNCTION("if(isblank(A80),,REGEXMATCH(B80,""^((I ?vs\. ?(U ?D|D ?U))|((D ?U|U ?D) ?vs\. ?I)) *$""))"),FALSE)</f>
        <v>0</v>
      </c>
      <c r="AQ80" s="37" t="b">
        <f>IFERROR(__xludf.DUMMYFUNCTION("if(isblank(A80),,REGEXMATCH(B80,""^((D ?vs\. ?(U ?D|D ?U))|((D ?U|U ?D) ?vs\. ?D)) *$""))"),FALSE)</f>
        <v>0</v>
      </c>
      <c r="AR80" s="37" t="b">
        <f>IFERROR(__xludf.DUMMYFUNCTION("if(isblank(A80),,REGEXMATCH(B80,""^((U ?vs\. ?(U ?D|D ?U))|((D ?U|U ?D) ?vs\. ?U)) *$""))"),FALSE)</f>
        <v>0</v>
      </c>
      <c r="AS80" s="37" t="b">
        <f>IFERROR(__xludf.DUMMYFUNCTION("if(isblank(A80),,REGEXMATCH(B80,""^((D ?I|I ?D) ?vs\. ?(D ?I|I ?D)) *$""))"),FALSE)</f>
        <v>0</v>
      </c>
      <c r="AT80" s="37" t="b">
        <f>IFERROR(__xludf.DUMMYFUNCTION("if(isblank(A80),,REGEXMATCH(B80,""^((D ?I|I ?D) ?vs\. ?(U ?I|I ?U))|((U ?I|I ?U) ?vs\. ?(D ?I|I ?D)) *$""))"),FALSE)</f>
        <v>0</v>
      </c>
      <c r="AU80" s="37" t="b">
        <f>IFERROR(__xludf.DUMMYFUNCTION("if(isblank(A80),,REGEXMATCH(B80,""^((D ?I|I ?D) ?vs\. ?(U ?D|D ?U))|((U ?D|D ?U) ?vs\. ?(D ?I|I ?D)) *$""))"),FALSE)</f>
        <v>0</v>
      </c>
      <c r="AV80" s="37" t="b">
        <f>IFERROR(__xludf.DUMMYFUNCTION("if(isblank(A80),,REGEXMATCH(B80,""^((U ?I|I ?U) ?vs\. ?(U ?I|I ?U)) *$""))"),FALSE)</f>
        <v>0</v>
      </c>
    </row>
    <row r="81" ht="26.25" customHeight="1">
      <c r="A81" s="79" t="str">
        <f>Paper_Textual_Conflict!M81</f>
        <v>I vs. I (file) L and R semantically equivalent</v>
      </c>
      <c r="B81" s="37" t="str">
        <f>IFERROR(__xludf.DUMMYFUNCTION("if(isblank(A81),,regexextract(REGEXEXTRACT(A81,""^.*""),""^[^(]*""))"),"I vs. I ")</f>
        <v>I vs. I </v>
      </c>
      <c r="C81" s="37" t="b">
        <f>IFERROR(__xludf.DUMMYFUNCTION("if(isblank(A81),,REGEXMATCH(B81,"".*\+.*"") )"),FALSE)</f>
        <v>0</v>
      </c>
      <c r="D81" s="37" t="b">
        <f>IFERROR(__xludf.DUMMYFUNCTION("if(isblank(A81),,REGEXMATCH(B81,"".*vs.*"") )"),TRUE)</f>
        <v>1</v>
      </c>
      <c r="E81" s="37" t="b">
        <f>Paper_Textual_Conflict!H81</f>
        <v>1</v>
      </c>
      <c r="F81" s="37" t="str">
        <f>Paper_Textual_Conflict!Q81</f>
        <v>Non-Java</v>
      </c>
      <c r="G81" s="33">
        <v>81.0</v>
      </c>
      <c r="H81" s="37" t="b">
        <f>IFERROR(__xludf.DUMMYFUNCTION("if(isblank(A81),,REGEXMATCH(B81,""^I *\+ I *$""))"),FALSE)</f>
        <v>0</v>
      </c>
      <c r="I81" s="37" t="b">
        <f>IFERROR(__xludf.DUMMYFUNCTION("if(isblank(A81),,REGEXMATCH(B81,""(^I *\+ D *$)|(^D *\+ I *$)""))"),FALSE)</f>
        <v>0</v>
      </c>
      <c r="J81" s="37" t="b">
        <f>IFERROR(__xludf.DUMMYFUNCTION("if(isblank(A81),,REGEXMATCH(B81,""(^I *\+ U *$)|(^U *\+ I *$)""))"),FALSE)</f>
        <v>0</v>
      </c>
      <c r="K81" s="37" t="b">
        <f>IFERROR(__xludf.DUMMYFUNCTION("if(isblank(A81),,REGEXMATCH(B81,""(^I *\+ N *$)|(^N *\+ I *$)"") )"),FALSE)</f>
        <v>0</v>
      </c>
      <c r="L81" s="37" t="b">
        <f>IFERROR(__xludf.DUMMYFUNCTION("if(isblank(A81),,REGEXMATCH(B81,""^D *\+ D *$""))"),FALSE)</f>
        <v>0</v>
      </c>
      <c r="M81" s="37" t="b">
        <f>IFERROR(__xludf.DUMMYFUNCTION("if(isblank(A81),,REGEXMATCH(B81,""(^U *\+ D *$)|(^D *\+ U *$)""))"),FALSE)</f>
        <v>0</v>
      </c>
      <c r="N81" s="37" t="b">
        <f>IFERROR(__xludf.DUMMYFUNCTION("if(isblank(A81),,REGEXMATCH(B81,""(^N *\+ D *$)|(^D *\+ N *$)""))"),FALSE)</f>
        <v>0</v>
      </c>
      <c r="O81" s="37" t="b">
        <f>IFERROR(__xludf.DUMMYFUNCTION("if(isblank(A81),,REGEXMATCH(B81,""^U *\+ U *$""))"),FALSE)</f>
        <v>0</v>
      </c>
      <c r="P81" s="37" t="b">
        <f>IFERROR(__xludf.DUMMYFUNCTION("if(isblank(A81),,REGEXMATCH(B81,""(^U *\+ N *$)|(^N *\+ U *$)""))"),FALSE)</f>
        <v>0</v>
      </c>
      <c r="Q81" s="37" t="b">
        <f>IFERROR(__xludf.DUMMYFUNCTION("if(isblank(A81),,REGEXMATCH(B81,""^((I ?\+ ?(D ?I|I ?D))|((D ?I|I ?D) ?\+ ?I)) *$""))"),FALSE)</f>
        <v>0</v>
      </c>
      <c r="R81" s="37" t="b">
        <f>IFERROR(__xludf.DUMMYFUNCTION("if(isblank(A81),,REGEXMATCH(B81,""^((D ?\+ ?(D ?I|I ?D))|((D ?I|I ?D) ?\+ ?D)) *$""))"),FALSE)</f>
        <v>0</v>
      </c>
      <c r="S81" s="37" t="b">
        <f>IFERROR(__xludf.DUMMYFUNCTION("if(isblank(A81),,REGEXMATCH(B81,""^((U ?\+ ?(D ?I|I ?D))|((D ?I|I ?D) ?\+ ?U)) *$""))"),FALSE)</f>
        <v>0</v>
      </c>
      <c r="T81" s="37" t="b">
        <f>IFERROR(__xludf.DUMMYFUNCTION("if(isblank(A81),,REGEXMATCH(B81,""^((N ?\+ ?(D ?I|I ?D))|((D ?I|I ?D) ?\+ ?N)) *$""))"),FALSE)</f>
        <v>0</v>
      </c>
      <c r="U81" s="37" t="b">
        <f>IFERROR(__xludf.DUMMYFUNCTION("if(isblank(A81),,REGEXMATCH(B81,""^((I ?\+ ?(U ?I|I ?U))|((I ?U|U ?I) ?\+ ?I)) *$""))"),FALSE)</f>
        <v>0</v>
      </c>
      <c r="V81" s="37" t="b">
        <f>IFERROR(__xludf.DUMMYFUNCTION("if(isblank(A81),,REGEXMATCH(B81,""^((D ?\+ ?(U ?I|I ?U))|((I ?U|U ?I) ?\+ ?D)) *$""))"),FALSE)</f>
        <v>0</v>
      </c>
      <c r="W81" s="37" t="b">
        <f>IFERROR(__xludf.DUMMYFUNCTION("if(isblank(A81),,REGEXMATCH(B81,""^((U ?\+ ?(U ?I|I ?U))|((I ?U|U ?I) ?\+ ?U)) *$""))"),FALSE)</f>
        <v>0</v>
      </c>
      <c r="X81" s="37" t="b">
        <f>IFERROR(__xludf.DUMMYFUNCTION("if(isblank(A81),,REGEXMATCH(B81,""^((N ?\+ ?(U ?I|I ?U))|((I ?U|U ?I) ?\+ ?N)) *$""))"),FALSE)</f>
        <v>0</v>
      </c>
      <c r="Y81" s="37" t="b">
        <f>IFERROR(__xludf.DUMMYFUNCTION("if(isblank(A81),,REGEXMATCH(B81,""^((I ?\+ ?(U ?D|D ?U))|((D ?U|U ?D) ?\+ ?I)) *$""))"),FALSE)</f>
        <v>0</v>
      </c>
      <c r="Z81" s="37" t="b">
        <f>IFERROR(__xludf.DUMMYFUNCTION("if(isblank(A81),,REGEXMATCH(B81,""^((D ?\+ ?(U ?D|D ?U))|((D ?U|U ?D) ?\+ ?D)) *$""))"),FALSE)</f>
        <v>0</v>
      </c>
      <c r="AA81" s="37" t="b">
        <f>IFERROR(__xludf.DUMMYFUNCTION("if(isblank(A81),,REGEXMATCH(B81,""^((U ?\+ ?(U ?D|D ?U))|((D ?U|U ?D) ?\+ ?U)) *$""))"),FALSE)</f>
        <v>0</v>
      </c>
      <c r="AB81" s="37" t="b">
        <f>IFERROR(__xludf.DUMMYFUNCTION("if(isblank(A81),,REGEXMATCH(B81,""^((D ?I|I ?D) ?\+ ?(D ?I|I ?D)) *$""))"),FALSE)</f>
        <v>0</v>
      </c>
      <c r="AC81" s="37" t="b">
        <f>IFERROR(__xludf.DUMMYFUNCTION("if(isblank(A81),,REGEXMATCH(B81,""^((D ?I|I ?D) ?\+ ?(U ?I|I ?U))|((U ?I|I ?U) ?\+ ?(D ?I|I ?D)) *$""))"),FALSE)</f>
        <v>0</v>
      </c>
      <c r="AD81" s="37" t="b">
        <f>IFERROR(__xludf.DUMMYFUNCTION("if(isblank(A81),,REGEXMATCH(B81,""^I *vs\. I *$""))"),TRUE)</f>
        <v>1</v>
      </c>
      <c r="AE81" s="37" t="b">
        <f>IFERROR(__xludf.DUMMYFUNCTION("if(isblank(A81),,REGEXMATCH(B81,""(^I *vs\. D *$)|(^D *vs\. I *$)""))"),FALSE)</f>
        <v>0</v>
      </c>
      <c r="AF81" s="37" t="b">
        <f>IFERROR(__xludf.DUMMYFUNCTION("if(isblank(A81),,REGEXMATCH(B81,""(^I *vs\. U *$)|(^U *vs\. I *$)""))"),FALSE)</f>
        <v>0</v>
      </c>
      <c r="AG81" s="37" t="b">
        <f>IFERROR(__xludf.DUMMYFUNCTION("if(isblank(A81),,REGEXMATCH(B81,""^D *vs\. D *$""))"),FALSE)</f>
        <v>0</v>
      </c>
      <c r="AH81" s="37" t="b">
        <f>IFERROR(__xludf.DUMMYFUNCTION("if(isblank(A81),,REGEXMATCH(B81,""(^U *vs\. D *$)|(^D *vs\. U *$)""))"),FALSE)</f>
        <v>0</v>
      </c>
      <c r="AI81" s="37" t="b">
        <f>IFERROR(__xludf.DUMMYFUNCTION("if(isblank(A81),,REGEXMATCH(B81,""^U *vs\. U *$""))"),FALSE)</f>
        <v>0</v>
      </c>
      <c r="AJ81" s="37" t="b">
        <f>IFERROR(__xludf.DUMMYFUNCTION("if(isblank(A81),,REGEXMATCH(B81,""^((I ?vs\. ?(D ?I|I ?D))|((D ?I|I ?D) ?vs\. ?I)) *$""))"),FALSE)</f>
        <v>0</v>
      </c>
      <c r="AK81" s="37" t="b">
        <f>IFERROR(__xludf.DUMMYFUNCTION("if(isblank(A81),,REGEXMATCH(B81,""^((D ?vs\. ?(D ?I|I ?D))|((D ?I|I ?D) ?vs\. ?D)) *$""))"),FALSE)</f>
        <v>0</v>
      </c>
      <c r="AL81" s="37" t="b">
        <f>IFERROR(__xludf.DUMMYFUNCTION("if(isblank(A81),,REGEXMATCH(B81,""^((U ?vs\. ?(D ?I|I ?D))|((D ?I|I ?D) ?vs\. ?U)) *$""))"),FALSE)</f>
        <v>0</v>
      </c>
      <c r="AM81" s="37" t="b">
        <f>IFERROR(__xludf.DUMMYFUNCTION("if(isblank(A81),,REGEXMATCH(B81,""^((I ?vs\. ?(U ?I|I ?U))|((U ?I|I ?U) ?vs\. ?I)) *$""))"),FALSE)</f>
        <v>0</v>
      </c>
      <c r="AN81" s="37" t="b">
        <f>IFERROR(__xludf.DUMMYFUNCTION("if(isblank(A81),,REGEXMATCH(B81,""^((D ?vs\. ?(U ?I|I ?U))|((U ?I|I ?U) ?vs\. ?D)) *$""))"),FALSE)</f>
        <v>0</v>
      </c>
      <c r="AO81" s="37" t="b">
        <f>IFERROR(__xludf.DUMMYFUNCTION("if(isblank(A81),,REGEXMATCH(B81,""^((U ?vs\. ?(U ?I|I ?U))|((U ?I|I ?U) ?vs\. ?U)) *$""))"),FALSE)</f>
        <v>0</v>
      </c>
      <c r="AP81" s="37" t="b">
        <f>IFERROR(__xludf.DUMMYFUNCTION("if(isblank(A81),,REGEXMATCH(B81,""^((I ?vs\. ?(U ?D|D ?U))|((D ?U|U ?D) ?vs\. ?I)) *$""))"),FALSE)</f>
        <v>0</v>
      </c>
      <c r="AQ81" s="37" t="b">
        <f>IFERROR(__xludf.DUMMYFUNCTION("if(isblank(A81),,REGEXMATCH(B81,""^((D ?vs\. ?(U ?D|D ?U))|((D ?U|U ?D) ?vs\. ?D)) *$""))"),FALSE)</f>
        <v>0</v>
      </c>
      <c r="AR81" s="37" t="b">
        <f>IFERROR(__xludf.DUMMYFUNCTION("if(isblank(A81),,REGEXMATCH(B81,""^((U ?vs\. ?(U ?D|D ?U))|((D ?U|U ?D) ?vs\. ?U)) *$""))"),FALSE)</f>
        <v>0</v>
      </c>
      <c r="AS81" s="37" t="b">
        <f>IFERROR(__xludf.DUMMYFUNCTION("if(isblank(A81),,REGEXMATCH(B81,""^((D ?I|I ?D) ?vs\. ?(D ?I|I ?D)) *$""))"),FALSE)</f>
        <v>0</v>
      </c>
      <c r="AT81" s="37" t="b">
        <f>IFERROR(__xludf.DUMMYFUNCTION("if(isblank(A81),,REGEXMATCH(B81,""^((D ?I|I ?D) ?vs\. ?(U ?I|I ?U))|((U ?I|I ?U) ?vs\. ?(D ?I|I ?D)) *$""))"),FALSE)</f>
        <v>0</v>
      </c>
      <c r="AU81" s="37" t="b">
        <f>IFERROR(__xludf.DUMMYFUNCTION("if(isblank(A81),,REGEXMATCH(B81,""^((D ?I|I ?D) ?vs\. ?(U ?D|D ?U))|((U ?D|D ?U) ?vs\. ?(D ?I|I ?D)) *$""))"),FALSE)</f>
        <v>0</v>
      </c>
      <c r="AV81" s="37" t="b">
        <f>IFERROR(__xludf.DUMMYFUNCTION("if(isblank(A81),,REGEXMATCH(B81,""^((U ?I|I ?U) ?vs\. ?(U ?I|I ?U)) *$""))"),FALSE)</f>
        <v>0</v>
      </c>
    </row>
    <row r="82" ht="26.25" customHeight="1">
      <c r="A82" s="79" t="str">
        <f>Paper_Textual_Conflict!M82</f>
        <v>I vs. I(Java code)</v>
      </c>
      <c r="B82" s="37" t="str">
        <f>IFERROR(__xludf.DUMMYFUNCTION("if(isblank(A82),,regexextract(REGEXEXTRACT(A82,""^.*""),""^[^(]*""))"),"I vs. I")</f>
        <v>I vs. I</v>
      </c>
      <c r="C82" s="37" t="b">
        <f>IFERROR(__xludf.DUMMYFUNCTION("if(isblank(A82),,REGEXMATCH(B82,"".*\+.*"") )"),FALSE)</f>
        <v>0</v>
      </c>
      <c r="D82" s="37" t="b">
        <f>IFERROR(__xludf.DUMMYFUNCTION("if(isblank(A82),,REGEXMATCH(B82,"".*vs.*"") )"),TRUE)</f>
        <v>1</v>
      </c>
      <c r="E82" s="37" t="b">
        <f>Paper_Textual_Conflict!H82</f>
        <v>1</v>
      </c>
      <c r="F82" s="37" t="str">
        <f>Paper_Textual_Conflict!Q82</f>
        <v>Java</v>
      </c>
      <c r="G82" s="33">
        <v>82.0</v>
      </c>
      <c r="H82" s="37" t="b">
        <f>IFERROR(__xludf.DUMMYFUNCTION("if(isblank(A82),,REGEXMATCH(B82,""^I *\+ I *$""))"),FALSE)</f>
        <v>0</v>
      </c>
      <c r="I82" s="37" t="b">
        <f>IFERROR(__xludf.DUMMYFUNCTION("if(isblank(A82),,REGEXMATCH(B82,""(^I *\+ D *$)|(^D *\+ I *$)""))"),FALSE)</f>
        <v>0</v>
      </c>
      <c r="J82" s="37" t="b">
        <f>IFERROR(__xludf.DUMMYFUNCTION("if(isblank(A82),,REGEXMATCH(B82,""(^I *\+ U *$)|(^U *\+ I *$)""))"),FALSE)</f>
        <v>0</v>
      </c>
      <c r="K82" s="37" t="b">
        <f>IFERROR(__xludf.DUMMYFUNCTION("if(isblank(A82),,REGEXMATCH(B82,""(^I *\+ N *$)|(^N *\+ I *$)"") )"),FALSE)</f>
        <v>0</v>
      </c>
      <c r="L82" s="37" t="b">
        <f>IFERROR(__xludf.DUMMYFUNCTION("if(isblank(A82),,REGEXMATCH(B82,""^D *\+ D *$""))"),FALSE)</f>
        <v>0</v>
      </c>
      <c r="M82" s="37" t="b">
        <f>IFERROR(__xludf.DUMMYFUNCTION("if(isblank(A82),,REGEXMATCH(B82,""(^U *\+ D *$)|(^D *\+ U *$)""))"),FALSE)</f>
        <v>0</v>
      </c>
      <c r="N82" s="37" t="b">
        <f>IFERROR(__xludf.DUMMYFUNCTION("if(isblank(A82),,REGEXMATCH(B82,""(^N *\+ D *$)|(^D *\+ N *$)""))"),FALSE)</f>
        <v>0</v>
      </c>
      <c r="O82" s="37" t="b">
        <f>IFERROR(__xludf.DUMMYFUNCTION("if(isblank(A82),,REGEXMATCH(B82,""^U *\+ U *$""))"),FALSE)</f>
        <v>0</v>
      </c>
      <c r="P82" s="37" t="b">
        <f>IFERROR(__xludf.DUMMYFUNCTION("if(isblank(A82),,REGEXMATCH(B82,""(^U *\+ N *$)|(^N *\+ U *$)""))"),FALSE)</f>
        <v>0</v>
      </c>
      <c r="Q82" s="37" t="b">
        <f>IFERROR(__xludf.DUMMYFUNCTION("if(isblank(A82),,REGEXMATCH(B82,""^((I ?\+ ?(D ?I|I ?D))|((D ?I|I ?D) ?\+ ?I)) *$""))"),FALSE)</f>
        <v>0</v>
      </c>
      <c r="R82" s="37" t="b">
        <f>IFERROR(__xludf.DUMMYFUNCTION("if(isblank(A82),,REGEXMATCH(B82,""^((D ?\+ ?(D ?I|I ?D))|((D ?I|I ?D) ?\+ ?D)) *$""))"),FALSE)</f>
        <v>0</v>
      </c>
      <c r="S82" s="37" t="b">
        <f>IFERROR(__xludf.DUMMYFUNCTION("if(isblank(A82),,REGEXMATCH(B82,""^((U ?\+ ?(D ?I|I ?D))|((D ?I|I ?D) ?\+ ?U)) *$""))"),FALSE)</f>
        <v>0</v>
      </c>
      <c r="T82" s="37" t="b">
        <f>IFERROR(__xludf.DUMMYFUNCTION("if(isblank(A82),,REGEXMATCH(B82,""^((N ?\+ ?(D ?I|I ?D))|((D ?I|I ?D) ?\+ ?N)) *$""))"),FALSE)</f>
        <v>0</v>
      </c>
      <c r="U82" s="37" t="b">
        <f>IFERROR(__xludf.DUMMYFUNCTION("if(isblank(A82),,REGEXMATCH(B82,""^((I ?\+ ?(U ?I|I ?U))|((I ?U|U ?I) ?\+ ?I)) *$""))"),FALSE)</f>
        <v>0</v>
      </c>
      <c r="V82" s="37" t="b">
        <f>IFERROR(__xludf.DUMMYFUNCTION("if(isblank(A82),,REGEXMATCH(B82,""^((D ?\+ ?(U ?I|I ?U))|((I ?U|U ?I) ?\+ ?D)) *$""))"),FALSE)</f>
        <v>0</v>
      </c>
      <c r="W82" s="37" t="b">
        <f>IFERROR(__xludf.DUMMYFUNCTION("if(isblank(A82),,REGEXMATCH(B82,""^((U ?\+ ?(U ?I|I ?U))|((I ?U|U ?I) ?\+ ?U)) *$""))"),FALSE)</f>
        <v>0</v>
      </c>
      <c r="X82" s="37" t="b">
        <f>IFERROR(__xludf.DUMMYFUNCTION("if(isblank(A82),,REGEXMATCH(B82,""^((N ?\+ ?(U ?I|I ?U))|((I ?U|U ?I) ?\+ ?N)) *$""))"),FALSE)</f>
        <v>0</v>
      </c>
      <c r="Y82" s="37" t="b">
        <f>IFERROR(__xludf.DUMMYFUNCTION("if(isblank(A82),,REGEXMATCH(B82,""^((I ?\+ ?(U ?D|D ?U))|((D ?U|U ?D) ?\+ ?I)) *$""))"),FALSE)</f>
        <v>0</v>
      </c>
      <c r="Z82" s="37" t="b">
        <f>IFERROR(__xludf.DUMMYFUNCTION("if(isblank(A82),,REGEXMATCH(B82,""^((D ?\+ ?(U ?D|D ?U))|((D ?U|U ?D) ?\+ ?D)) *$""))"),FALSE)</f>
        <v>0</v>
      </c>
      <c r="AA82" s="37" t="b">
        <f>IFERROR(__xludf.DUMMYFUNCTION("if(isblank(A82),,REGEXMATCH(B82,""^((U ?\+ ?(U ?D|D ?U))|((D ?U|U ?D) ?\+ ?U)) *$""))"),FALSE)</f>
        <v>0</v>
      </c>
      <c r="AB82" s="37" t="b">
        <f>IFERROR(__xludf.DUMMYFUNCTION("if(isblank(A82),,REGEXMATCH(B82,""^((D ?I|I ?D) ?\+ ?(D ?I|I ?D)) *$""))"),FALSE)</f>
        <v>0</v>
      </c>
      <c r="AC82" s="37" t="b">
        <f>IFERROR(__xludf.DUMMYFUNCTION("if(isblank(A82),,REGEXMATCH(B82,""^((D ?I|I ?D) ?\+ ?(U ?I|I ?U))|((U ?I|I ?U) ?\+ ?(D ?I|I ?D)) *$""))"),FALSE)</f>
        <v>0</v>
      </c>
      <c r="AD82" s="37" t="b">
        <f>IFERROR(__xludf.DUMMYFUNCTION("if(isblank(A82),,REGEXMATCH(B82,""^I *vs\. I *$""))"),TRUE)</f>
        <v>1</v>
      </c>
      <c r="AE82" s="37" t="b">
        <f>IFERROR(__xludf.DUMMYFUNCTION("if(isblank(A82),,REGEXMATCH(B82,""(^I *vs\. D *$)|(^D *vs\. I *$)""))"),FALSE)</f>
        <v>0</v>
      </c>
      <c r="AF82" s="37" t="b">
        <f>IFERROR(__xludf.DUMMYFUNCTION("if(isblank(A82),,REGEXMATCH(B82,""(^I *vs\. U *$)|(^U *vs\. I *$)""))"),FALSE)</f>
        <v>0</v>
      </c>
      <c r="AG82" s="37" t="b">
        <f>IFERROR(__xludf.DUMMYFUNCTION("if(isblank(A82),,REGEXMATCH(B82,""^D *vs\. D *$""))"),FALSE)</f>
        <v>0</v>
      </c>
      <c r="AH82" s="37" t="b">
        <f>IFERROR(__xludf.DUMMYFUNCTION("if(isblank(A82),,REGEXMATCH(B82,""(^U *vs\. D *$)|(^D *vs\. U *$)""))"),FALSE)</f>
        <v>0</v>
      </c>
      <c r="AI82" s="37" t="b">
        <f>IFERROR(__xludf.DUMMYFUNCTION("if(isblank(A82),,REGEXMATCH(B82,""^U *vs\. U *$""))"),FALSE)</f>
        <v>0</v>
      </c>
      <c r="AJ82" s="37" t="b">
        <f>IFERROR(__xludf.DUMMYFUNCTION("if(isblank(A82),,REGEXMATCH(B82,""^((I ?vs\. ?(D ?I|I ?D))|((D ?I|I ?D) ?vs\. ?I)) *$""))"),FALSE)</f>
        <v>0</v>
      </c>
      <c r="AK82" s="37" t="b">
        <f>IFERROR(__xludf.DUMMYFUNCTION("if(isblank(A82),,REGEXMATCH(B82,""^((D ?vs\. ?(D ?I|I ?D))|((D ?I|I ?D) ?vs\. ?D)) *$""))"),FALSE)</f>
        <v>0</v>
      </c>
      <c r="AL82" s="37" t="b">
        <f>IFERROR(__xludf.DUMMYFUNCTION("if(isblank(A82),,REGEXMATCH(B82,""^((U ?vs\. ?(D ?I|I ?D))|((D ?I|I ?D) ?vs\. ?U)) *$""))"),FALSE)</f>
        <v>0</v>
      </c>
      <c r="AM82" s="37" t="b">
        <f>IFERROR(__xludf.DUMMYFUNCTION("if(isblank(A82),,REGEXMATCH(B82,""^((I ?vs\. ?(U ?I|I ?U))|((U ?I|I ?U) ?vs\. ?I)) *$""))"),FALSE)</f>
        <v>0</v>
      </c>
      <c r="AN82" s="37" t="b">
        <f>IFERROR(__xludf.DUMMYFUNCTION("if(isblank(A82),,REGEXMATCH(B82,""^((D ?vs\. ?(U ?I|I ?U))|((U ?I|I ?U) ?vs\. ?D)) *$""))"),FALSE)</f>
        <v>0</v>
      </c>
      <c r="AO82" s="37" t="b">
        <f>IFERROR(__xludf.DUMMYFUNCTION("if(isblank(A82),,REGEXMATCH(B82,""^((U ?vs\. ?(U ?I|I ?U))|((U ?I|I ?U) ?vs\. ?U)) *$""))"),FALSE)</f>
        <v>0</v>
      </c>
      <c r="AP82" s="37" t="b">
        <f>IFERROR(__xludf.DUMMYFUNCTION("if(isblank(A82),,REGEXMATCH(B82,""^((I ?vs\. ?(U ?D|D ?U))|((D ?U|U ?D) ?vs\. ?I)) *$""))"),FALSE)</f>
        <v>0</v>
      </c>
      <c r="AQ82" s="37" t="b">
        <f>IFERROR(__xludf.DUMMYFUNCTION("if(isblank(A82),,REGEXMATCH(B82,""^((D ?vs\. ?(U ?D|D ?U))|((D ?U|U ?D) ?vs\. ?D)) *$""))"),FALSE)</f>
        <v>0</v>
      </c>
      <c r="AR82" s="37" t="b">
        <f>IFERROR(__xludf.DUMMYFUNCTION("if(isblank(A82),,REGEXMATCH(B82,""^((U ?vs\. ?(U ?D|D ?U))|((D ?U|U ?D) ?vs\. ?U)) *$""))"),FALSE)</f>
        <v>0</v>
      </c>
      <c r="AS82" s="37" t="b">
        <f>IFERROR(__xludf.DUMMYFUNCTION("if(isblank(A82),,REGEXMATCH(B82,""^((D ?I|I ?D) ?vs\. ?(D ?I|I ?D)) *$""))"),FALSE)</f>
        <v>0</v>
      </c>
      <c r="AT82" s="37" t="b">
        <f>IFERROR(__xludf.DUMMYFUNCTION("if(isblank(A82),,REGEXMATCH(B82,""^((D ?I|I ?D) ?vs\. ?(U ?I|I ?U))|((U ?I|I ?U) ?vs\. ?(D ?I|I ?D)) *$""))"),FALSE)</f>
        <v>0</v>
      </c>
      <c r="AU82" s="37" t="b">
        <f>IFERROR(__xludf.DUMMYFUNCTION("if(isblank(A82),,REGEXMATCH(B82,""^((D ?I|I ?D) ?vs\. ?(U ?D|D ?U))|((U ?D|D ?U) ?vs\. ?(D ?I|I ?D)) *$""))"),FALSE)</f>
        <v>0</v>
      </c>
      <c r="AV82" s="37" t="b">
        <f>IFERROR(__xludf.DUMMYFUNCTION("if(isblank(A82),,REGEXMATCH(B82,""^((U ?I|I ?U) ?vs\. ?(U ?I|I ?U)) *$""))"),FALSE)</f>
        <v>0</v>
      </c>
    </row>
    <row r="83" ht="26.25" customHeight="1">
      <c r="A83" s="79" t="str">
        <f>Paper_Textual_Conflict!M83</f>
        <v>I vs. I(contributors)</v>
      </c>
      <c r="B83" s="37" t="str">
        <f>IFERROR(__xludf.DUMMYFUNCTION("if(isblank(A83),,regexextract(REGEXEXTRACT(A83,""^.*""),""^[^(]*""))"),"I vs. I")</f>
        <v>I vs. I</v>
      </c>
      <c r="C83" s="37" t="b">
        <f>IFERROR(__xludf.DUMMYFUNCTION("if(isblank(A83),,REGEXMATCH(B83,"".*\+.*"") )"),FALSE)</f>
        <v>0</v>
      </c>
      <c r="D83" s="37" t="b">
        <f>IFERROR(__xludf.DUMMYFUNCTION("if(isblank(A83),,REGEXMATCH(B83,"".*vs.*"") )"),TRUE)</f>
        <v>1</v>
      </c>
      <c r="E83" s="37" t="b">
        <f>Paper_Textual_Conflict!H83</f>
        <v>1</v>
      </c>
      <c r="F83" s="37" t="str">
        <f>Paper_Textual_Conflict!Q83</f>
        <v>Non-Java</v>
      </c>
      <c r="G83" s="33">
        <v>83.0</v>
      </c>
      <c r="H83" s="37" t="b">
        <f>IFERROR(__xludf.DUMMYFUNCTION("if(isblank(A83),,REGEXMATCH(B83,""^I *\+ I *$""))"),FALSE)</f>
        <v>0</v>
      </c>
      <c r="I83" s="37" t="b">
        <f>IFERROR(__xludf.DUMMYFUNCTION("if(isblank(A83),,REGEXMATCH(B83,""(^I *\+ D *$)|(^D *\+ I *$)""))"),FALSE)</f>
        <v>0</v>
      </c>
      <c r="J83" s="37" t="b">
        <f>IFERROR(__xludf.DUMMYFUNCTION("if(isblank(A83),,REGEXMATCH(B83,""(^I *\+ U *$)|(^U *\+ I *$)""))"),FALSE)</f>
        <v>0</v>
      </c>
      <c r="K83" s="37" t="b">
        <f>IFERROR(__xludf.DUMMYFUNCTION("if(isblank(A83),,REGEXMATCH(B83,""(^I *\+ N *$)|(^N *\+ I *$)"") )"),FALSE)</f>
        <v>0</v>
      </c>
      <c r="L83" s="37" t="b">
        <f>IFERROR(__xludf.DUMMYFUNCTION("if(isblank(A83),,REGEXMATCH(B83,""^D *\+ D *$""))"),FALSE)</f>
        <v>0</v>
      </c>
      <c r="M83" s="37" t="b">
        <f>IFERROR(__xludf.DUMMYFUNCTION("if(isblank(A83),,REGEXMATCH(B83,""(^U *\+ D *$)|(^D *\+ U *$)""))"),FALSE)</f>
        <v>0</v>
      </c>
      <c r="N83" s="37" t="b">
        <f>IFERROR(__xludf.DUMMYFUNCTION("if(isblank(A83),,REGEXMATCH(B83,""(^N *\+ D *$)|(^D *\+ N *$)""))"),FALSE)</f>
        <v>0</v>
      </c>
      <c r="O83" s="37" t="b">
        <f>IFERROR(__xludf.DUMMYFUNCTION("if(isblank(A83),,REGEXMATCH(B83,""^U *\+ U *$""))"),FALSE)</f>
        <v>0</v>
      </c>
      <c r="P83" s="37" t="b">
        <f>IFERROR(__xludf.DUMMYFUNCTION("if(isblank(A83),,REGEXMATCH(B83,""(^U *\+ N *$)|(^N *\+ U *$)""))"),FALSE)</f>
        <v>0</v>
      </c>
      <c r="Q83" s="37" t="b">
        <f>IFERROR(__xludf.DUMMYFUNCTION("if(isblank(A83),,REGEXMATCH(B83,""^((I ?\+ ?(D ?I|I ?D))|((D ?I|I ?D) ?\+ ?I)) *$""))"),FALSE)</f>
        <v>0</v>
      </c>
      <c r="R83" s="37" t="b">
        <f>IFERROR(__xludf.DUMMYFUNCTION("if(isblank(A83),,REGEXMATCH(B83,""^((D ?\+ ?(D ?I|I ?D))|((D ?I|I ?D) ?\+ ?D)) *$""))"),FALSE)</f>
        <v>0</v>
      </c>
      <c r="S83" s="37" t="b">
        <f>IFERROR(__xludf.DUMMYFUNCTION("if(isblank(A83),,REGEXMATCH(B83,""^((U ?\+ ?(D ?I|I ?D))|((D ?I|I ?D) ?\+ ?U)) *$""))"),FALSE)</f>
        <v>0</v>
      </c>
      <c r="T83" s="37" t="b">
        <f>IFERROR(__xludf.DUMMYFUNCTION("if(isblank(A83),,REGEXMATCH(B83,""^((N ?\+ ?(D ?I|I ?D))|((D ?I|I ?D) ?\+ ?N)) *$""))"),FALSE)</f>
        <v>0</v>
      </c>
      <c r="U83" s="37" t="b">
        <f>IFERROR(__xludf.DUMMYFUNCTION("if(isblank(A83),,REGEXMATCH(B83,""^((I ?\+ ?(U ?I|I ?U))|((I ?U|U ?I) ?\+ ?I)) *$""))"),FALSE)</f>
        <v>0</v>
      </c>
      <c r="V83" s="37" t="b">
        <f>IFERROR(__xludf.DUMMYFUNCTION("if(isblank(A83),,REGEXMATCH(B83,""^((D ?\+ ?(U ?I|I ?U))|((I ?U|U ?I) ?\+ ?D)) *$""))"),FALSE)</f>
        <v>0</v>
      </c>
      <c r="W83" s="37" t="b">
        <f>IFERROR(__xludf.DUMMYFUNCTION("if(isblank(A83),,REGEXMATCH(B83,""^((U ?\+ ?(U ?I|I ?U))|((I ?U|U ?I) ?\+ ?U)) *$""))"),FALSE)</f>
        <v>0</v>
      </c>
      <c r="X83" s="37" t="b">
        <f>IFERROR(__xludf.DUMMYFUNCTION("if(isblank(A83),,REGEXMATCH(B83,""^((N ?\+ ?(U ?I|I ?U))|((I ?U|U ?I) ?\+ ?N)) *$""))"),FALSE)</f>
        <v>0</v>
      </c>
      <c r="Y83" s="37" t="b">
        <f>IFERROR(__xludf.DUMMYFUNCTION("if(isblank(A83),,REGEXMATCH(B83,""^((I ?\+ ?(U ?D|D ?U))|((D ?U|U ?D) ?\+ ?I)) *$""))"),FALSE)</f>
        <v>0</v>
      </c>
      <c r="Z83" s="37" t="b">
        <f>IFERROR(__xludf.DUMMYFUNCTION("if(isblank(A83),,REGEXMATCH(B83,""^((D ?\+ ?(U ?D|D ?U))|((D ?U|U ?D) ?\+ ?D)) *$""))"),FALSE)</f>
        <v>0</v>
      </c>
      <c r="AA83" s="37" t="b">
        <f>IFERROR(__xludf.DUMMYFUNCTION("if(isblank(A83),,REGEXMATCH(B83,""^((U ?\+ ?(U ?D|D ?U))|((D ?U|U ?D) ?\+ ?U)) *$""))"),FALSE)</f>
        <v>0</v>
      </c>
      <c r="AB83" s="37" t="b">
        <f>IFERROR(__xludf.DUMMYFUNCTION("if(isblank(A83),,REGEXMATCH(B83,""^((D ?I|I ?D) ?\+ ?(D ?I|I ?D)) *$""))"),FALSE)</f>
        <v>0</v>
      </c>
      <c r="AC83" s="37" t="b">
        <f>IFERROR(__xludf.DUMMYFUNCTION("if(isblank(A83),,REGEXMATCH(B83,""^((D ?I|I ?D) ?\+ ?(U ?I|I ?U))|((U ?I|I ?U) ?\+ ?(D ?I|I ?D)) *$""))"),FALSE)</f>
        <v>0</v>
      </c>
      <c r="AD83" s="37" t="b">
        <f>IFERROR(__xludf.DUMMYFUNCTION("if(isblank(A83),,REGEXMATCH(B83,""^I *vs\. I *$""))"),TRUE)</f>
        <v>1</v>
      </c>
      <c r="AE83" s="37" t="b">
        <f>IFERROR(__xludf.DUMMYFUNCTION("if(isblank(A83),,REGEXMATCH(B83,""(^I *vs\. D *$)|(^D *vs\. I *$)""))"),FALSE)</f>
        <v>0</v>
      </c>
      <c r="AF83" s="37" t="b">
        <f>IFERROR(__xludf.DUMMYFUNCTION("if(isblank(A83),,REGEXMATCH(B83,""(^I *vs\. U *$)|(^U *vs\. I *$)""))"),FALSE)</f>
        <v>0</v>
      </c>
      <c r="AG83" s="37" t="b">
        <f>IFERROR(__xludf.DUMMYFUNCTION("if(isblank(A83),,REGEXMATCH(B83,""^D *vs\. D *$""))"),FALSE)</f>
        <v>0</v>
      </c>
      <c r="AH83" s="37" t="b">
        <f>IFERROR(__xludf.DUMMYFUNCTION("if(isblank(A83),,REGEXMATCH(B83,""(^U *vs\. D *$)|(^D *vs\. U *$)""))"),FALSE)</f>
        <v>0</v>
      </c>
      <c r="AI83" s="37" t="b">
        <f>IFERROR(__xludf.DUMMYFUNCTION("if(isblank(A83),,REGEXMATCH(B83,""^U *vs\. U *$""))"),FALSE)</f>
        <v>0</v>
      </c>
      <c r="AJ83" s="37" t="b">
        <f>IFERROR(__xludf.DUMMYFUNCTION("if(isblank(A83),,REGEXMATCH(B83,""^((I ?vs\. ?(D ?I|I ?D))|((D ?I|I ?D) ?vs\. ?I)) *$""))"),FALSE)</f>
        <v>0</v>
      </c>
      <c r="AK83" s="37" t="b">
        <f>IFERROR(__xludf.DUMMYFUNCTION("if(isblank(A83),,REGEXMATCH(B83,""^((D ?vs\. ?(D ?I|I ?D))|((D ?I|I ?D) ?vs\. ?D)) *$""))"),FALSE)</f>
        <v>0</v>
      </c>
      <c r="AL83" s="37" t="b">
        <f>IFERROR(__xludf.DUMMYFUNCTION("if(isblank(A83),,REGEXMATCH(B83,""^((U ?vs\. ?(D ?I|I ?D))|((D ?I|I ?D) ?vs\. ?U)) *$""))"),FALSE)</f>
        <v>0</v>
      </c>
      <c r="AM83" s="37" t="b">
        <f>IFERROR(__xludf.DUMMYFUNCTION("if(isblank(A83),,REGEXMATCH(B83,""^((I ?vs\. ?(U ?I|I ?U))|((U ?I|I ?U) ?vs\. ?I)) *$""))"),FALSE)</f>
        <v>0</v>
      </c>
      <c r="AN83" s="37" t="b">
        <f>IFERROR(__xludf.DUMMYFUNCTION("if(isblank(A83),,REGEXMATCH(B83,""^((D ?vs\. ?(U ?I|I ?U))|((U ?I|I ?U) ?vs\. ?D)) *$""))"),FALSE)</f>
        <v>0</v>
      </c>
      <c r="AO83" s="37" t="b">
        <f>IFERROR(__xludf.DUMMYFUNCTION("if(isblank(A83),,REGEXMATCH(B83,""^((U ?vs\. ?(U ?I|I ?U))|((U ?I|I ?U) ?vs\. ?U)) *$""))"),FALSE)</f>
        <v>0</v>
      </c>
      <c r="AP83" s="37" t="b">
        <f>IFERROR(__xludf.DUMMYFUNCTION("if(isblank(A83),,REGEXMATCH(B83,""^((I ?vs\. ?(U ?D|D ?U))|((D ?U|U ?D) ?vs\. ?I)) *$""))"),FALSE)</f>
        <v>0</v>
      </c>
      <c r="AQ83" s="37" t="b">
        <f>IFERROR(__xludf.DUMMYFUNCTION("if(isblank(A83),,REGEXMATCH(B83,""^((D ?vs\. ?(U ?D|D ?U))|((D ?U|U ?D) ?vs\. ?D)) *$""))"),FALSE)</f>
        <v>0</v>
      </c>
      <c r="AR83" s="37" t="b">
        <f>IFERROR(__xludf.DUMMYFUNCTION("if(isblank(A83),,REGEXMATCH(B83,""^((U ?vs\. ?(U ?D|D ?U))|((D ?U|U ?D) ?vs\. ?U)) *$""))"),FALSE)</f>
        <v>0</v>
      </c>
      <c r="AS83" s="37" t="b">
        <f>IFERROR(__xludf.DUMMYFUNCTION("if(isblank(A83),,REGEXMATCH(B83,""^((D ?I|I ?D) ?vs\. ?(D ?I|I ?D)) *$""))"),FALSE)</f>
        <v>0</v>
      </c>
      <c r="AT83" s="37" t="b">
        <f>IFERROR(__xludf.DUMMYFUNCTION("if(isblank(A83),,REGEXMATCH(B83,""^((D ?I|I ?D) ?vs\. ?(U ?I|I ?U))|((U ?I|I ?U) ?vs\. ?(D ?I|I ?D)) *$""))"),FALSE)</f>
        <v>0</v>
      </c>
      <c r="AU83" s="37" t="b">
        <f>IFERROR(__xludf.DUMMYFUNCTION("if(isblank(A83),,REGEXMATCH(B83,""^((D ?I|I ?D) ?vs\. ?(U ?D|D ?U))|((U ?D|D ?U) ?vs\. ?(D ?I|I ?D)) *$""))"),FALSE)</f>
        <v>0</v>
      </c>
      <c r="AV83" s="37" t="b">
        <f>IFERROR(__xludf.DUMMYFUNCTION("if(isblank(A83),,REGEXMATCH(B83,""^((U ?I|I ?U) ?vs\. ?(U ?I|I ?U)) *$""))"),FALSE)</f>
        <v>0</v>
      </c>
    </row>
    <row r="84" ht="26.25" customHeight="1">
      <c r="A84" s="79" t="str">
        <f>Paper_Textual_Conflict!M84</f>
        <v>U vs. D (gradle)</v>
      </c>
      <c r="B84" s="37" t="str">
        <f>IFERROR(__xludf.DUMMYFUNCTION("if(isblank(A84),,regexextract(REGEXEXTRACT(A84,""^.*""),""^[^(]*""))"),"U vs. D ")</f>
        <v>U vs. D </v>
      </c>
      <c r="C84" s="37" t="b">
        <f>IFERROR(__xludf.DUMMYFUNCTION("if(isblank(A84),,REGEXMATCH(B84,"".*\+.*"") )"),FALSE)</f>
        <v>0</v>
      </c>
      <c r="D84" s="37" t="b">
        <f>IFERROR(__xludf.DUMMYFUNCTION("if(isblank(A84),,REGEXMATCH(B84,"".*vs.*"") )"),TRUE)</f>
        <v>1</v>
      </c>
      <c r="E84" s="37" t="b">
        <f>Paper_Textual_Conflict!H84</f>
        <v>1</v>
      </c>
      <c r="F84" s="37" t="str">
        <f>Paper_Textual_Conflict!Q84</f>
        <v>Non-Java</v>
      </c>
      <c r="G84" s="33">
        <v>84.0</v>
      </c>
      <c r="H84" s="37" t="b">
        <f>IFERROR(__xludf.DUMMYFUNCTION("if(isblank(A84),,REGEXMATCH(B84,""^I *\+ I *$""))"),FALSE)</f>
        <v>0</v>
      </c>
      <c r="I84" s="37" t="b">
        <f>IFERROR(__xludf.DUMMYFUNCTION("if(isblank(A84),,REGEXMATCH(B84,""(^I *\+ D *$)|(^D *\+ I *$)""))"),FALSE)</f>
        <v>0</v>
      </c>
      <c r="J84" s="37" t="b">
        <f>IFERROR(__xludf.DUMMYFUNCTION("if(isblank(A84),,REGEXMATCH(B84,""(^I *\+ U *$)|(^U *\+ I *$)""))"),FALSE)</f>
        <v>0</v>
      </c>
      <c r="K84" s="37" t="b">
        <f>IFERROR(__xludf.DUMMYFUNCTION("if(isblank(A84),,REGEXMATCH(B84,""(^I *\+ N *$)|(^N *\+ I *$)"") )"),FALSE)</f>
        <v>0</v>
      </c>
      <c r="L84" s="37" t="b">
        <f>IFERROR(__xludf.DUMMYFUNCTION("if(isblank(A84),,REGEXMATCH(B84,""^D *\+ D *$""))"),FALSE)</f>
        <v>0</v>
      </c>
      <c r="M84" s="37" t="b">
        <f>IFERROR(__xludf.DUMMYFUNCTION("if(isblank(A84),,REGEXMATCH(B84,""(^U *\+ D *$)|(^D *\+ U *$)""))"),FALSE)</f>
        <v>0</v>
      </c>
      <c r="N84" s="37" t="b">
        <f>IFERROR(__xludf.DUMMYFUNCTION("if(isblank(A84),,REGEXMATCH(B84,""(^N *\+ D *$)|(^D *\+ N *$)""))"),FALSE)</f>
        <v>0</v>
      </c>
      <c r="O84" s="37" t="b">
        <f>IFERROR(__xludf.DUMMYFUNCTION("if(isblank(A84),,REGEXMATCH(B84,""^U *\+ U *$""))"),FALSE)</f>
        <v>0</v>
      </c>
      <c r="P84" s="37" t="b">
        <f>IFERROR(__xludf.DUMMYFUNCTION("if(isblank(A84),,REGEXMATCH(B84,""(^U *\+ N *$)|(^N *\+ U *$)""))"),FALSE)</f>
        <v>0</v>
      </c>
      <c r="Q84" s="37" t="b">
        <f>IFERROR(__xludf.DUMMYFUNCTION("if(isblank(A84),,REGEXMATCH(B84,""^((I ?\+ ?(D ?I|I ?D))|((D ?I|I ?D) ?\+ ?I)) *$""))"),FALSE)</f>
        <v>0</v>
      </c>
      <c r="R84" s="37" t="b">
        <f>IFERROR(__xludf.DUMMYFUNCTION("if(isblank(A84),,REGEXMATCH(B84,""^((D ?\+ ?(D ?I|I ?D))|((D ?I|I ?D) ?\+ ?D)) *$""))"),FALSE)</f>
        <v>0</v>
      </c>
      <c r="S84" s="37" t="b">
        <f>IFERROR(__xludf.DUMMYFUNCTION("if(isblank(A84),,REGEXMATCH(B84,""^((U ?\+ ?(D ?I|I ?D))|((D ?I|I ?D) ?\+ ?U)) *$""))"),FALSE)</f>
        <v>0</v>
      </c>
      <c r="T84" s="37" t="b">
        <f>IFERROR(__xludf.DUMMYFUNCTION("if(isblank(A84),,REGEXMATCH(B84,""^((N ?\+ ?(D ?I|I ?D))|((D ?I|I ?D) ?\+ ?N)) *$""))"),FALSE)</f>
        <v>0</v>
      </c>
      <c r="U84" s="37" t="b">
        <f>IFERROR(__xludf.DUMMYFUNCTION("if(isblank(A84),,REGEXMATCH(B84,""^((I ?\+ ?(U ?I|I ?U))|((I ?U|U ?I) ?\+ ?I)) *$""))"),FALSE)</f>
        <v>0</v>
      </c>
      <c r="V84" s="37" t="b">
        <f>IFERROR(__xludf.DUMMYFUNCTION("if(isblank(A84),,REGEXMATCH(B84,""^((D ?\+ ?(U ?I|I ?U))|((I ?U|U ?I) ?\+ ?D)) *$""))"),FALSE)</f>
        <v>0</v>
      </c>
      <c r="W84" s="37" t="b">
        <f>IFERROR(__xludf.DUMMYFUNCTION("if(isblank(A84),,REGEXMATCH(B84,""^((U ?\+ ?(U ?I|I ?U))|((I ?U|U ?I) ?\+ ?U)) *$""))"),FALSE)</f>
        <v>0</v>
      </c>
      <c r="X84" s="37" t="b">
        <f>IFERROR(__xludf.DUMMYFUNCTION("if(isblank(A84),,REGEXMATCH(B84,""^((N ?\+ ?(U ?I|I ?U))|((I ?U|U ?I) ?\+ ?N)) *$""))"),FALSE)</f>
        <v>0</v>
      </c>
      <c r="Y84" s="37" t="b">
        <f>IFERROR(__xludf.DUMMYFUNCTION("if(isblank(A84),,REGEXMATCH(B84,""^((I ?\+ ?(U ?D|D ?U))|((D ?U|U ?D) ?\+ ?I)) *$""))"),FALSE)</f>
        <v>0</v>
      </c>
      <c r="Z84" s="37" t="b">
        <f>IFERROR(__xludf.DUMMYFUNCTION("if(isblank(A84),,REGEXMATCH(B84,""^((D ?\+ ?(U ?D|D ?U))|((D ?U|U ?D) ?\+ ?D)) *$""))"),FALSE)</f>
        <v>0</v>
      </c>
      <c r="AA84" s="37" t="b">
        <f>IFERROR(__xludf.DUMMYFUNCTION("if(isblank(A84),,REGEXMATCH(B84,""^((U ?\+ ?(U ?D|D ?U))|((D ?U|U ?D) ?\+ ?U)) *$""))"),FALSE)</f>
        <v>0</v>
      </c>
      <c r="AB84" s="37" t="b">
        <f>IFERROR(__xludf.DUMMYFUNCTION("if(isblank(A84),,REGEXMATCH(B84,""^((D ?I|I ?D) ?\+ ?(D ?I|I ?D)) *$""))"),FALSE)</f>
        <v>0</v>
      </c>
      <c r="AC84" s="37" t="b">
        <f>IFERROR(__xludf.DUMMYFUNCTION("if(isblank(A84),,REGEXMATCH(B84,""^((D ?I|I ?D) ?\+ ?(U ?I|I ?U))|((U ?I|I ?U) ?\+ ?(D ?I|I ?D)) *$""))"),FALSE)</f>
        <v>0</v>
      </c>
      <c r="AD84" s="37" t="b">
        <f>IFERROR(__xludf.DUMMYFUNCTION("if(isblank(A84),,REGEXMATCH(B84,""^I *vs\. I *$""))"),FALSE)</f>
        <v>0</v>
      </c>
      <c r="AE84" s="37" t="b">
        <f>IFERROR(__xludf.DUMMYFUNCTION("if(isblank(A84),,REGEXMATCH(B84,""(^I *vs\. D *$)|(^D *vs\. I *$)""))"),FALSE)</f>
        <v>0</v>
      </c>
      <c r="AF84" s="37" t="b">
        <f>IFERROR(__xludf.DUMMYFUNCTION("if(isblank(A84),,REGEXMATCH(B84,""(^I *vs\. U *$)|(^U *vs\. I *$)""))"),FALSE)</f>
        <v>0</v>
      </c>
      <c r="AG84" s="37" t="b">
        <f>IFERROR(__xludf.DUMMYFUNCTION("if(isblank(A84),,REGEXMATCH(B84,""^D *vs\. D *$""))"),FALSE)</f>
        <v>0</v>
      </c>
      <c r="AH84" s="37" t="b">
        <f>IFERROR(__xludf.DUMMYFUNCTION("if(isblank(A84),,REGEXMATCH(B84,""(^U *vs\. D *$)|(^D *vs\. U *$)""))"),TRUE)</f>
        <v>1</v>
      </c>
      <c r="AI84" s="37" t="b">
        <f>IFERROR(__xludf.DUMMYFUNCTION("if(isblank(A84),,REGEXMATCH(B84,""^U *vs\. U *$""))"),FALSE)</f>
        <v>0</v>
      </c>
      <c r="AJ84" s="37" t="b">
        <f>IFERROR(__xludf.DUMMYFUNCTION("if(isblank(A84),,REGEXMATCH(B84,""^((I ?vs\. ?(D ?I|I ?D))|((D ?I|I ?D) ?vs\. ?I)) *$""))"),FALSE)</f>
        <v>0</v>
      </c>
      <c r="AK84" s="37" t="b">
        <f>IFERROR(__xludf.DUMMYFUNCTION("if(isblank(A84),,REGEXMATCH(B84,""^((D ?vs\. ?(D ?I|I ?D))|((D ?I|I ?D) ?vs\. ?D)) *$""))"),FALSE)</f>
        <v>0</v>
      </c>
      <c r="AL84" s="37" t="b">
        <f>IFERROR(__xludf.DUMMYFUNCTION("if(isblank(A84),,REGEXMATCH(B84,""^((U ?vs\. ?(D ?I|I ?D))|((D ?I|I ?D) ?vs\. ?U)) *$""))"),FALSE)</f>
        <v>0</v>
      </c>
      <c r="AM84" s="37" t="b">
        <f>IFERROR(__xludf.DUMMYFUNCTION("if(isblank(A84),,REGEXMATCH(B84,""^((I ?vs\. ?(U ?I|I ?U))|((U ?I|I ?U) ?vs\. ?I)) *$""))"),FALSE)</f>
        <v>0</v>
      </c>
      <c r="AN84" s="37" t="b">
        <f>IFERROR(__xludf.DUMMYFUNCTION("if(isblank(A84),,REGEXMATCH(B84,""^((D ?vs\. ?(U ?I|I ?U))|((U ?I|I ?U) ?vs\. ?D)) *$""))"),FALSE)</f>
        <v>0</v>
      </c>
      <c r="AO84" s="37" t="b">
        <f>IFERROR(__xludf.DUMMYFUNCTION("if(isblank(A84),,REGEXMATCH(B84,""^((U ?vs\. ?(U ?I|I ?U))|((U ?I|I ?U) ?vs\. ?U)) *$""))"),FALSE)</f>
        <v>0</v>
      </c>
      <c r="AP84" s="37" t="b">
        <f>IFERROR(__xludf.DUMMYFUNCTION("if(isblank(A84),,REGEXMATCH(B84,""^((I ?vs\. ?(U ?D|D ?U))|((D ?U|U ?D) ?vs\. ?I)) *$""))"),FALSE)</f>
        <v>0</v>
      </c>
      <c r="AQ84" s="37" t="b">
        <f>IFERROR(__xludf.DUMMYFUNCTION("if(isblank(A84),,REGEXMATCH(B84,""^((D ?vs\. ?(U ?D|D ?U))|((D ?U|U ?D) ?vs\. ?D)) *$""))"),FALSE)</f>
        <v>0</v>
      </c>
      <c r="AR84" s="37" t="b">
        <f>IFERROR(__xludf.DUMMYFUNCTION("if(isblank(A84),,REGEXMATCH(B84,""^((U ?vs\. ?(U ?D|D ?U))|((D ?U|U ?D) ?vs\. ?U)) *$""))"),FALSE)</f>
        <v>0</v>
      </c>
      <c r="AS84" s="37" t="b">
        <f>IFERROR(__xludf.DUMMYFUNCTION("if(isblank(A84),,REGEXMATCH(B84,""^((D ?I|I ?D) ?vs\. ?(D ?I|I ?D)) *$""))"),FALSE)</f>
        <v>0</v>
      </c>
      <c r="AT84" s="37" t="b">
        <f>IFERROR(__xludf.DUMMYFUNCTION("if(isblank(A84),,REGEXMATCH(B84,""^((D ?I|I ?D) ?vs\. ?(U ?I|I ?U))|((U ?I|I ?U) ?vs\. ?(D ?I|I ?D)) *$""))"),FALSE)</f>
        <v>0</v>
      </c>
      <c r="AU84" s="37" t="b">
        <f>IFERROR(__xludf.DUMMYFUNCTION("if(isblank(A84),,REGEXMATCH(B84,""^((D ?I|I ?D) ?vs\. ?(U ?D|D ?U))|((U ?D|D ?U) ?vs\. ?(D ?I|I ?D)) *$""))"),FALSE)</f>
        <v>0</v>
      </c>
      <c r="AV84" s="37" t="b">
        <f>IFERROR(__xludf.DUMMYFUNCTION("if(isblank(A84),,REGEXMATCH(B84,""^((U ?I|I ?U) ?vs\. ?(U ?I|I ?U)) *$""))"),FALSE)</f>
        <v>0</v>
      </c>
    </row>
    <row r="85" ht="26.25" customHeight="1">
      <c r="A85" s="79" t="str">
        <f>Paper_Textual_Conflict!M85</f>
        <v>I vs. I (import)</v>
      </c>
      <c r="B85" s="37" t="str">
        <f>IFERROR(__xludf.DUMMYFUNCTION("if(isblank(A85),,regexextract(REGEXEXTRACT(A85,""^.*""),""^[^(]*""))"),"I vs. I ")</f>
        <v>I vs. I </v>
      </c>
      <c r="C85" s="37" t="b">
        <f>IFERROR(__xludf.DUMMYFUNCTION("if(isblank(A85),,REGEXMATCH(B85,"".*\+.*"") )"),FALSE)</f>
        <v>0</v>
      </c>
      <c r="D85" s="37" t="b">
        <f>IFERROR(__xludf.DUMMYFUNCTION("if(isblank(A85),,REGEXMATCH(B85,"".*vs.*"") )"),TRUE)</f>
        <v>1</v>
      </c>
      <c r="E85" s="37" t="b">
        <f>Paper_Textual_Conflict!H85</f>
        <v>1</v>
      </c>
      <c r="F85" s="37" t="str">
        <f>Paper_Textual_Conflict!Q85</f>
        <v>Java</v>
      </c>
      <c r="G85" s="33">
        <v>85.0</v>
      </c>
      <c r="H85" s="37" t="b">
        <f>IFERROR(__xludf.DUMMYFUNCTION("if(isblank(A85),,REGEXMATCH(B85,""^I *\+ I *$""))"),FALSE)</f>
        <v>0</v>
      </c>
      <c r="I85" s="37" t="b">
        <f>IFERROR(__xludf.DUMMYFUNCTION("if(isblank(A85),,REGEXMATCH(B85,""(^I *\+ D *$)|(^D *\+ I *$)""))"),FALSE)</f>
        <v>0</v>
      </c>
      <c r="J85" s="37" t="b">
        <f>IFERROR(__xludf.DUMMYFUNCTION("if(isblank(A85),,REGEXMATCH(B85,""(^I *\+ U *$)|(^U *\+ I *$)""))"),FALSE)</f>
        <v>0</v>
      </c>
      <c r="K85" s="37" t="b">
        <f>IFERROR(__xludf.DUMMYFUNCTION("if(isblank(A85),,REGEXMATCH(B85,""(^I *\+ N *$)|(^N *\+ I *$)"") )"),FALSE)</f>
        <v>0</v>
      </c>
      <c r="L85" s="37" t="b">
        <f>IFERROR(__xludf.DUMMYFUNCTION("if(isblank(A85),,REGEXMATCH(B85,""^D *\+ D *$""))"),FALSE)</f>
        <v>0</v>
      </c>
      <c r="M85" s="37" t="b">
        <f>IFERROR(__xludf.DUMMYFUNCTION("if(isblank(A85),,REGEXMATCH(B85,""(^U *\+ D *$)|(^D *\+ U *$)""))"),FALSE)</f>
        <v>0</v>
      </c>
      <c r="N85" s="37" t="b">
        <f>IFERROR(__xludf.DUMMYFUNCTION("if(isblank(A85),,REGEXMATCH(B85,""(^N *\+ D *$)|(^D *\+ N *$)""))"),FALSE)</f>
        <v>0</v>
      </c>
      <c r="O85" s="37" t="b">
        <f>IFERROR(__xludf.DUMMYFUNCTION("if(isblank(A85),,REGEXMATCH(B85,""^U *\+ U *$""))"),FALSE)</f>
        <v>0</v>
      </c>
      <c r="P85" s="37" t="b">
        <f>IFERROR(__xludf.DUMMYFUNCTION("if(isblank(A85),,REGEXMATCH(B85,""(^U *\+ N *$)|(^N *\+ U *$)""))"),FALSE)</f>
        <v>0</v>
      </c>
      <c r="Q85" s="37" t="b">
        <f>IFERROR(__xludf.DUMMYFUNCTION("if(isblank(A85),,REGEXMATCH(B85,""^((I ?\+ ?(D ?I|I ?D))|((D ?I|I ?D) ?\+ ?I)) *$""))"),FALSE)</f>
        <v>0</v>
      </c>
      <c r="R85" s="37" t="b">
        <f>IFERROR(__xludf.DUMMYFUNCTION("if(isblank(A85),,REGEXMATCH(B85,""^((D ?\+ ?(D ?I|I ?D))|((D ?I|I ?D) ?\+ ?D)) *$""))"),FALSE)</f>
        <v>0</v>
      </c>
      <c r="S85" s="37" t="b">
        <f>IFERROR(__xludf.DUMMYFUNCTION("if(isblank(A85),,REGEXMATCH(B85,""^((U ?\+ ?(D ?I|I ?D))|((D ?I|I ?D) ?\+ ?U)) *$""))"),FALSE)</f>
        <v>0</v>
      </c>
      <c r="T85" s="37" t="b">
        <f>IFERROR(__xludf.DUMMYFUNCTION("if(isblank(A85),,REGEXMATCH(B85,""^((N ?\+ ?(D ?I|I ?D))|((D ?I|I ?D) ?\+ ?N)) *$""))"),FALSE)</f>
        <v>0</v>
      </c>
      <c r="U85" s="37" t="b">
        <f>IFERROR(__xludf.DUMMYFUNCTION("if(isblank(A85),,REGEXMATCH(B85,""^((I ?\+ ?(U ?I|I ?U))|((I ?U|U ?I) ?\+ ?I)) *$""))"),FALSE)</f>
        <v>0</v>
      </c>
      <c r="V85" s="37" t="b">
        <f>IFERROR(__xludf.DUMMYFUNCTION("if(isblank(A85),,REGEXMATCH(B85,""^((D ?\+ ?(U ?I|I ?U))|((I ?U|U ?I) ?\+ ?D)) *$""))"),FALSE)</f>
        <v>0</v>
      </c>
      <c r="W85" s="37" t="b">
        <f>IFERROR(__xludf.DUMMYFUNCTION("if(isblank(A85),,REGEXMATCH(B85,""^((U ?\+ ?(U ?I|I ?U))|((I ?U|U ?I) ?\+ ?U)) *$""))"),FALSE)</f>
        <v>0</v>
      </c>
      <c r="X85" s="37" t="b">
        <f>IFERROR(__xludf.DUMMYFUNCTION("if(isblank(A85),,REGEXMATCH(B85,""^((N ?\+ ?(U ?I|I ?U))|((I ?U|U ?I) ?\+ ?N)) *$""))"),FALSE)</f>
        <v>0</v>
      </c>
      <c r="Y85" s="37" t="b">
        <f>IFERROR(__xludf.DUMMYFUNCTION("if(isblank(A85),,REGEXMATCH(B85,""^((I ?\+ ?(U ?D|D ?U))|((D ?U|U ?D) ?\+ ?I)) *$""))"),FALSE)</f>
        <v>0</v>
      </c>
      <c r="Z85" s="37" t="b">
        <f>IFERROR(__xludf.DUMMYFUNCTION("if(isblank(A85),,REGEXMATCH(B85,""^((D ?\+ ?(U ?D|D ?U))|((D ?U|U ?D) ?\+ ?D)) *$""))"),FALSE)</f>
        <v>0</v>
      </c>
      <c r="AA85" s="37" t="b">
        <f>IFERROR(__xludf.DUMMYFUNCTION("if(isblank(A85),,REGEXMATCH(B85,""^((U ?\+ ?(U ?D|D ?U))|((D ?U|U ?D) ?\+ ?U)) *$""))"),FALSE)</f>
        <v>0</v>
      </c>
      <c r="AB85" s="37" t="b">
        <f>IFERROR(__xludf.DUMMYFUNCTION("if(isblank(A85),,REGEXMATCH(B85,""^((D ?I|I ?D) ?\+ ?(D ?I|I ?D)) *$""))"),FALSE)</f>
        <v>0</v>
      </c>
      <c r="AC85" s="37" t="b">
        <f>IFERROR(__xludf.DUMMYFUNCTION("if(isblank(A85),,REGEXMATCH(B85,""^((D ?I|I ?D) ?\+ ?(U ?I|I ?U))|((U ?I|I ?U) ?\+ ?(D ?I|I ?D)) *$""))"),FALSE)</f>
        <v>0</v>
      </c>
      <c r="AD85" s="37" t="b">
        <f>IFERROR(__xludf.DUMMYFUNCTION("if(isblank(A85),,REGEXMATCH(B85,""^I *vs\. I *$""))"),TRUE)</f>
        <v>1</v>
      </c>
      <c r="AE85" s="37" t="b">
        <f>IFERROR(__xludf.DUMMYFUNCTION("if(isblank(A85),,REGEXMATCH(B85,""(^I *vs\. D *$)|(^D *vs\. I *$)""))"),FALSE)</f>
        <v>0</v>
      </c>
      <c r="AF85" s="37" t="b">
        <f>IFERROR(__xludf.DUMMYFUNCTION("if(isblank(A85),,REGEXMATCH(B85,""(^I *vs\. U *$)|(^U *vs\. I *$)""))"),FALSE)</f>
        <v>0</v>
      </c>
      <c r="AG85" s="37" t="b">
        <f>IFERROR(__xludf.DUMMYFUNCTION("if(isblank(A85),,REGEXMATCH(B85,""^D *vs\. D *$""))"),FALSE)</f>
        <v>0</v>
      </c>
      <c r="AH85" s="37" t="b">
        <f>IFERROR(__xludf.DUMMYFUNCTION("if(isblank(A85),,REGEXMATCH(B85,""(^U *vs\. D *$)|(^D *vs\. U *$)""))"),FALSE)</f>
        <v>0</v>
      </c>
      <c r="AI85" s="37" t="b">
        <f>IFERROR(__xludf.DUMMYFUNCTION("if(isblank(A85),,REGEXMATCH(B85,""^U *vs\. U *$""))"),FALSE)</f>
        <v>0</v>
      </c>
      <c r="AJ85" s="37" t="b">
        <f>IFERROR(__xludf.DUMMYFUNCTION("if(isblank(A85),,REGEXMATCH(B85,""^((I ?vs\. ?(D ?I|I ?D))|((D ?I|I ?D) ?vs\. ?I)) *$""))"),FALSE)</f>
        <v>0</v>
      </c>
      <c r="AK85" s="37" t="b">
        <f>IFERROR(__xludf.DUMMYFUNCTION("if(isblank(A85),,REGEXMATCH(B85,""^((D ?vs\. ?(D ?I|I ?D))|((D ?I|I ?D) ?vs\. ?D)) *$""))"),FALSE)</f>
        <v>0</v>
      </c>
      <c r="AL85" s="37" t="b">
        <f>IFERROR(__xludf.DUMMYFUNCTION("if(isblank(A85),,REGEXMATCH(B85,""^((U ?vs\. ?(D ?I|I ?D))|((D ?I|I ?D) ?vs\. ?U)) *$""))"),FALSE)</f>
        <v>0</v>
      </c>
      <c r="AM85" s="37" t="b">
        <f>IFERROR(__xludf.DUMMYFUNCTION("if(isblank(A85),,REGEXMATCH(B85,""^((I ?vs\. ?(U ?I|I ?U))|((U ?I|I ?U) ?vs\. ?I)) *$""))"),FALSE)</f>
        <v>0</v>
      </c>
      <c r="AN85" s="37" t="b">
        <f>IFERROR(__xludf.DUMMYFUNCTION("if(isblank(A85),,REGEXMATCH(B85,""^((D ?vs\. ?(U ?I|I ?U))|((U ?I|I ?U) ?vs\. ?D)) *$""))"),FALSE)</f>
        <v>0</v>
      </c>
      <c r="AO85" s="37" t="b">
        <f>IFERROR(__xludf.DUMMYFUNCTION("if(isblank(A85),,REGEXMATCH(B85,""^((U ?vs\. ?(U ?I|I ?U))|((U ?I|I ?U) ?vs\. ?U)) *$""))"),FALSE)</f>
        <v>0</v>
      </c>
      <c r="AP85" s="37" t="b">
        <f>IFERROR(__xludf.DUMMYFUNCTION("if(isblank(A85),,REGEXMATCH(B85,""^((I ?vs\. ?(U ?D|D ?U))|((D ?U|U ?D) ?vs\. ?I)) *$""))"),FALSE)</f>
        <v>0</v>
      </c>
      <c r="AQ85" s="37" t="b">
        <f>IFERROR(__xludf.DUMMYFUNCTION("if(isblank(A85),,REGEXMATCH(B85,""^((D ?vs\. ?(U ?D|D ?U))|((D ?U|U ?D) ?vs\. ?D)) *$""))"),FALSE)</f>
        <v>0</v>
      </c>
      <c r="AR85" s="37" t="b">
        <f>IFERROR(__xludf.DUMMYFUNCTION("if(isblank(A85),,REGEXMATCH(B85,""^((U ?vs\. ?(U ?D|D ?U))|((D ?U|U ?D) ?vs\. ?U)) *$""))"),FALSE)</f>
        <v>0</v>
      </c>
      <c r="AS85" s="37" t="b">
        <f>IFERROR(__xludf.DUMMYFUNCTION("if(isblank(A85),,REGEXMATCH(B85,""^((D ?I|I ?D) ?vs\. ?(D ?I|I ?D)) *$""))"),FALSE)</f>
        <v>0</v>
      </c>
      <c r="AT85" s="37" t="b">
        <f>IFERROR(__xludf.DUMMYFUNCTION("if(isblank(A85),,REGEXMATCH(B85,""^((D ?I|I ?D) ?vs\. ?(U ?I|I ?U))|((U ?I|I ?U) ?vs\. ?(D ?I|I ?D)) *$""))"),FALSE)</f>
        <v>0</v>
      </c>
      <c r="AU85" s="37" t="b">
        <f>IFERROR(__xludf.DUMMYFUNCTION("if(isblank(A85),,REGEXMATCH(B85,""^((D ?I|I ?D) ?vs\. ?(U ?D|D ?U))|((U ?D|D ?U) ?vs\. ?(D ?I|I ?D)) *$""))"),FALSE)</f>
        <v>0</v>
      </c>
      <c r="AV85" s="37" t="b">
        <f>IFERROR(__xludf.DUMMYFUNCTION("if(isblank(A85),,REGEXMATCH(B85,""^((U ?I|I ?U) ?vs\. ?(U ?I|I ?U)) *$""))"),FALSE)</f>
        <v>0</v>
      </c>
    </row>
    <row r="86" ht="26.25" customHeight="1">
      <c r="A86" s="79" t="str">
        <f>Paper_Textual_Conflict!M86</f>
        <v>U vs. U (annotations)</v>
      </c>
      <c r="B86" s="37" t="str">
        <f>IFERROR(__xludf.DUMMYFUNCTION("if(isblank(A86),,regexextract(REGEXEXTRACT(A86,""^.*""),""^[^(]*""))"),"U vs. U ")</f>
        <v>U vs. U </v>
      </c>
      <c r="C86" s="37" t="b">
        <f>IFERROR(__xludf.DUMMYFUNCTION("if(isblank(A86),,REGEXMATCH(B86,"".*\+.*"") )"),FALSE)</f>
        <v>0</v>
      </c>
      <c r="D86" s="37" t="b">
        <f>IFERROR(__xludf.DUMMYFUNCTION("if(isblank(A86),,REGEXMATCH(B86,"".*vs.*"") )"),TRUE)</f>
        <v>1</v>
      </c>
      <c r="E86" s="37" t="b">
        <f>Paper_Textual_Conflict!H86</f>
        <v>1</v>
      </c>
      <c r="F86" s="37" t="str">
        <f>Paper_Textual_Conflict!Q86</f>
        <v>Java</v>
      </c>
      <c r="G86" s="33">
        <v>86.0</v>
      </c>
      <c r="H86" s="37" t="b">
        <f>IFERROR(__xludf.DUMMYFUNCTION("if(isblank(A86),,REGEXMATCH(B86,""^I *\+ I *$""))"),FALSE)</f>
        <v>0</v>
      </c>
      <c r="I86" s="37" t="b">
        <f>IFERROR(__xludf.DUMMYFUNCTION("if(isblank(A86),,REGEXMATCH(B86,""(^I *\+ D *$)|(^D *\+ I *$)""))"),FALSE)</f>
        <v>0</v>
      </c>
      <c r="J86" s="37" t="b">
        <f>IFERROR(__xludf.DUMMYFUNCTION("if(isblank(A86),,REGEXMATCH(B86,""(^I *\+ U *$)|(^U *\+ I *$)""))"),FALSE)</f>
        <v>0</v>
      </c>
      <c r="K86" s="37" t="b">
        <f>IFERROR(__xludf.DUMMYFUNCTION("if(isblank(A86),,REGEXMATCH(B86,""(^I *\+ N *$)|(^N *\+ I *$)"") )"),FALSE)</f>
        <v>0</v>
      </c>
      <c r="L86" s="37" t="b">
        <f>IFERROR(__xludf.DUMMYFUNCTION("if(isblank(A86),,REGEXMATCH(B86,""^D *\+ D *$""))"),FALSE)</f>
        <v>0</v>
      </c>
      <c r="M86" s="37" t="b">
        <f>IFERROR(__xludf.DUMMYFUNCTION("if(isblank(A86),,REGEXMATCH(B86,""(^U *\+ D *$)|(^D *\+ U *$)""))"),FALSE)</f>
        <v>0</v>
      </c>
      <c r="N86" s="37" t="b">
        <f>IFERROR(__xludf.DUMMYFUNCTION("if(isblank(A86),,REGEXMATCH(B86,""(^N *\+ D *$)|(^D *\+ N *$)""))"),FALSE)</f>
        <v>0</v>
      </c>
      <c r="O86" s="37" t="b">
        <f>IFERROR(__xludf.DUMMYFUNCTION("if(isblank(A86),,REGEXMATCH(B86,""^U *\+ U *$""))"),FALSE)</f>
        <v>0</v>
      </c>
      <c r="P86" s="37" t="b">
        <f>IFERROR(__xludf.DUMMYFUNCTION("if(isblank(A86),,REGEXMATCH(B86,""(^U *\+ N *$)|(^N *\+ U *$)""))"),FALSE)</f>
        <v>0</v>
      </c>
      <c r="Q86" s="37" t="b">
        <f>IFERROR(__xludf.DUMMYFUNCTION("if(isblank(A86),,REGEXMATCH(B86,""^((I ?\+ ?(D ?I|I ?D))|((D ?I|I ?D) ?\+ ?I)) *$""))"),FALSE)</f>
        <v>0</v>
      </c>
      <c r="R86" s="37" t="b">
        <f>IFERROR(__xludf.DUMMYFUNCTION("if(isblank(A86),,REGEXMATCH(B86,""^((D ?\+ ?(D ?I|I ?D))|((D ?I|I ?D) ?\+ ?D)) *$""))"),FALSE)</f>
        <v>0</v>
      </c>
      <c r="S86" s="37" t="b">
        <f>IFERROR(__xludf.DUMMYFUNCTION("if(isblank(A86),,REGEXMATCH(B86,""^((U ?\+ ?(D ?I|I ?D))|((D ?I|I ?D) ?\+ ?U)) *$""))"),FALSE)</f>
        <v>0</v>
      </c>
      <c r="T86" s="37" t="b">
        <f>IFERROR(__xludf.DUMMYFUNCTION("if(isblank(A86),,REGEXMATCH(B86,""^((N ?\+ ?(D ?I|I ?D))|((D ?I|I ?D) ?\+ ?N)) *$""))"),FALSE)</f>
        <v>0</v>
      </c>
      <c r="U86" s="37" t="b">
        <f>IFERROR(__xludf.DUMMYFUNCTION("if(isblank(A86),,REGEXMATCH(B86,""^((I ?\+ ?(U ?I|I ?U))|((I ?U|U ?I) ?\+ ?I)) *$""))"),FALSE)</f>
        <v>0</v>
      </c>
      <c r="V86" s="37" t="b">
        <f>IFERROR(__xludf.DUMMYFUNCTION("if(isblank(A86),,REGEXMATCH(B86,""^((D ?\+ ?(U ?I|I ?U))|((I ?U|U ?I) ?\+ ?D)) *$""))"),FALSE)</f>
        <v>0</v>
      </c>
      <c r="W86" s="37" t="b">
        <f>IFERROR(__xludf.DUMMYFUNCTION("if(isblank(A86),,REGEXMATCH(B86,""^((U ?\+ ?(U ?I|I ?U))|((I ?U|U ?I) ?\+ ?U)) *$""))"),FALSE)</f>
        <v>0</v>
      </c>
      <c r="X86" s="37" t="b">
        <f>IFERROR(__xludf.DUMMYFUNCTION("if(isblank(A86),,REGEXMATCH(B86,""^((N ?\+ ?(U ?I|I ?U))|((I ?U|U ?I) ?\+ ?N)) *$""))"),FALSE)</f>
        <v>0</v>
      </c>
      <c r="Y86" s="37" t="b">
        <f>IFERROR(__xludf.DUMMYFUNCTION("if(isblank(A86),,REGEXMATCH(B86,""^((I ?\+ ?(U ?D|D ?U))|((D ?U|U ?D) ?\+ ?I)) *$""))"),FALSE)</f>
        <v>0</v>
      </c>
      <c r="Z86" s="37" t="b">
        <f>IFERROR(__xludf.DUMMYFUNCTION("if(isblank(A86),,REGEXMATCH(B86,""^((D ?\+ ?(U ?D|D ?U))|((D ?U|U ?D) ?\+ ?D)) *$""))"),FALSE)</f>
        <v>0</v>
      </c>
      <c r="AA86" s="37" t="b">
        <f>IFERROR(__xludf.DUMMYFUNCTION("if(isblank(A86),,REGEXMATCH(B86,""^((U ?\+ ?(U ?D|D ?U))|((D ?U|U ?D) ?\+ ?U)) *$""))"),FALSE)</f>
        <v>0</v>
      </c>
      <c r="AB86" s="37" t="b">
        <f>IFERROR(__xludf.DUMMYFUNCTION("if(isblank(A86),,REGEXMATCH(B86,""^((D ?I|I ?D) ?\+ ?(D ?I|I ?D)) *$""))"),FALSE)</f>
        <v>0</v>
      </c>
      <c r="AC86" s="37" t="b">
        <f>IFERROR(__xludf.DUMMYFUNCTION("if(isblank(A86),,REGEXMATCH(B86,""^((D ?I|I ?D) ?\+ ?(U ?I|I ?U))|((U ?I|I ?U) ?\+ ?(D ?I|I ?D)) *$""))"),FALSE)</f>
        <v>0</v>
      </c>
      <c r="AD86" s="37" t="b">
        <f>IFERROR(__xludf.DUMMYFUNCTION("if(isblank(A86),,REGEXMATCH(B86,""^I *vs\. I *$""))"),FALSE)</f>
        <v>0</v>
      </c>
      <c r="AE86" s="37" t="b">
        <f>IFERROR(__xludf.DUMMYFUNCTION("if(isblank(A86),,REGEXMATCH(B86,""(^I *vs\. D *$)|(^D *vs\. I *$)""))"),FALSE)</f>
        <v>0</v>
      </c>
      <c r="AF86" s="37" t="b">
        <f>IFERROR(__xludf.DUMMYFUNCTION("if(isblank(A86),,REGEXMATCH(B86,""(^I *vs\. U *$)|(^U *vs\. I *$)""))"),FALSE)</f>
        <v>0</v>
      </c>
      <c r="AG86" s="37" t="b">
        <f>IFERROR(__xludf.DUMMYFUNCTION("if(isblank(A86),,REGEXMATCH(B86,""^D *vs\. D *$""))"),FALSE)</f>
        <v>0</v>
      </c>
      <c r="AH86" s="37" t="b">
        <f>IFERROR(__xludf.DUMMYFUNCTION("if(isblank(A86),,REGEXMATCH(B86,""(^U *vs\. D *$)|(^D *vs\. U *$)""))"),FALSE)</f>
        <v>0</v>
      </c>
      <c r="AI86" s="37" t="b">
        <f>IFERROR(__xludf.DUMMYFUNCTION("if(isblank(A86),,REGEXMATCH(B86,""^U *vs\. U *$""))"),TRUE)</f>
        <v>1</v>
      </c>
      <c r="AJ86" s="37" t="b">
        <f>IFERROR(__xludf.DUMMYFUNCTION("if(isblank(A86),,REGEXMATCH(B86,""^((I ?vs\. ?(D ?I|I ?D))|((D ?I|I ?D) ?vs\. ?I)) *$""))"),FALSE)</f>
        <v>0</v>
      </c>
      <c r="AK86" s="37" t="b">
        <f>IFERROR(__xludf.DUMMYFUNCTION("if(isblank(A86),,REGEXMATCH(B86,""^((D ?vs\. ?(D ?I|I ?D))|((D ?I|I ?D) ?vs\. ?D)) *$""))"),FALSE)</f>
        <v>0</v>
      </c>
      <c r="AL86" s="37" t="b">
        <f>IFERROR(__xludf.DUMMYFUNCTION("if(isblank(A86),,REGEXMATCH(B86,""^((U ?vs\. ?(D ?I|I ?D))|((D ?I|I ?D) ?vs\. ?U)) *$""))"),FALSE)</f>
        <v>0</v>
      </c>
      <c r="AM86" s="37" t="b">
        <f>IFERROR(__xludf.DUMMYFUNCTION("if(isblank(A86),,REGEXMATCH(B86,""^((I ?vs\. ?(U ?I|I ?U))|((U ?I|I ?U) ?vs\. ?I)) *$""))"),FALSE)</f>
        <v>0</v>
      </c>
      <c r="AN86" s="37" t="b">
        <f>IFERROR(__xludf.DUMMYFUNCTION("if(isblank(A86),,REGEXMATCH(B86,""^((D ?vs\. ?(U ?I|I ?U))|((U ?I|I ?U) ?vs\. ?D)) *$""))"),FALSE)</f>
        <v>0</v>
      </c>
      <c r="AO86" s="37" t="b">
        <f>IFERROR(__xludf.DUMMYFUNCTION("if(isblank(A86),,REGEXMATCH(B86,""^((U ?vs\. ?(U ?I|I ?U))|((U ?I|I ?U) ?vs\. ?U)) *$""))"),FALSE)</f>
        <v>0</v>
      </c>
      <c r="AP86" s="37" t="b">
        <f>IFERROR(__xludf.DUMMYFUNCTION("if(isblank(A86),,REGEXMATCH(B86,""^((I ?vs\. ?(U ?D|D ?U))|((D ?U|U ?D) ?vs\. ?I)) *$""))"),FALSE)</f>
        <v>0</v>
      </c>
      <c r="AQ86" s="37" t="b">
        <f>IFERROR(__xludf.DUMMYFUNCTION("if(isblank(A86),,REGEXMATCH(B86,""^((D ?vs\. ?(U ?D|D ?U))|((D ?U|U ?D) ?vs\. ?D)) *$""))"),FALSE)</f>
        <v>0</v>
      </c>
      <c r="AR86" s="37" t="b">
        <f>IFERROR(__xludf.DUMMYFUNCTION("if(isblank(A86),,REGEXMATCH(B86,""^((U ?vs\. ?(U ?D|D ?U))|((D ?U|U ?D) ?vs\. ?U)) *$""))"),FALSE)</f>
        <v>0</v>
      </c>
      <c r="AS86" s="37" t="b">
        <f>IFERROR(__xludf.DUMMYFUNCTION("if(isblank(A86),,REGEXMATCH(B86,""^((D ?I|I ?D) ?vs\. ?(D ?I|I ?D)) *$""))"),FALSE)</f>
        <v>0</v>
      </c>
      <c r="AT86" s="37" t="b">
        <f>IFERROR(__xludf.DUMMYFUNCTION("if(isblank(A86),,REGEXMATCH(B86,""^((D ?I|I ?D) ?vs\. ?(U ?I|I ?U))|((U ?I|I ?U) ?vs\. ?(D ?I|I ?D)) *$""))"),FALSE)</f>
        <v>0</v>
      </c>
      <c r="AU86" s="37" t="b">
        <f>IFERROR(__xludf.DUMMYFUNCTION("if(isblank(A86),,REGEXMATCH(B86,""^((D ?I|I ?D) ?vs\. ?(U ?D|D ?U))|((U ?D|D ?U) ?vs\. ?(D ?I|I ?D)) *$""))"),FALSE)</f>
        <v>0</v>
      </c>
      <c r="AV86" s="37" t="b">
        <f>IFERROR(__xludf.DUMMYFUNCTION("if(isblank(A86),,REGEXMATCH(B86,""^((U ?I|I ?U) ?vs\. ?(U ?I|I ?U)) *$""))"),FALSE)</f>
        <v>0</v>
      </c>
    </row>
    <row r="87" ht="26.25" customHeight="1">
      <c r="A87" s="79" t="str">
        <f>Paper_Textual_Conflict!M87</f>
        <v>I + N (import) L include R
Origin(U vs. D)</v>
      </c>
      <c r="B87" s="37" t="str">
        <f>IFERROR(__xludf.DUMMYFUNCTION("if(isblank(A87),,regexextract(REGEXEXTRACT(A87,""^.*""),""^[^(]*""))"),"I + N ")</f>
        <v>I + N </v>
      </c>
      <c r="C87" s="37" t="b">
        <f>IFERROR(__xludf.DUMMYFUNCTION("if(isblank(A87),,REGEXMATCH(B87,"".*\+.*"") )"),TRUE)</f>
        <v>1</v>
      </c>
      <c r="D87" s="37" t="b">
        <f>IFERROR(__xludf.DUMMYFUNCTION("if(isblank(A87),,REGEXMATCH(B87,"".*vs.*"") )"),FALSE)</f>
        <v>0</v>
      </c>
      <c r="E87" s="37" t="b">
        <f>Paper_Textual_Conflict!H87</f>
        <v>0</v>
      </c>
      <c r="F87" s="37" t="str">
        <f>Paper_Textual_Conflict!Q87</f>
        <v>Java</v>
      </c>
      <c r="G87" s="33">
        <v>87.0</v>
      </c>
      <c r="H87" s="37" t="b">
        <f>IFERROR(__xludf.DUMMYFUNCTION("if(isblank(A87),,REGEXMATCH(B87,""^I *\+ I *$""))"),FALSE)</f>
        <v>0</v>
      </c>
      <c r="I87" s="37" t="b">
        <f>IFERROR(__xludf.DUMMYFUNCTION("if(isblank(A87),,REGEXMATCH(B87,""(^I *\+ D *$)|(^D *\+ I *$)""))"),FALSE)</f>
        <v>0</v>
      </c>
      <c r="J87" s="37" t="b">
        <f>IFERROR(__xludf.DUMMYFUNCTION("if(isblank(A87),,REGEXMATCH(B87,""(^I *\+ U *$)|(^U *\+ I *$)""))"),FALSE)</f>
        <v>0</v>
      </c>
      <c r="K87" s="37" t="b">
        <f>IFERROR(__xludf.DUMMYFUNCTION("if(isblank(A87),,REGEXMATCH(B87,""(^I *\+ N *$)|(^N *\+ I *$)"") )"),TRUE)</f>
        <v>1</v>
      </c>
      <c r="L87" s="37" t="b">
        <f>IFERROR(__xludf.DUMMYFUNCTION("if(isblank(A87),,REGEXMATCH(B87,""^D *\+ D *$""))"),FALSE)</f>
        <v>0</v>
      </c>
      <c r="M87" s="37" t="b">
        <f>IFERROR(__xludf.DUMMYFUNCTION("if(isblank(A87),,REGEXMATCH(B87,""(^U *\+ D *$)|(^D *\+ U *$)""))"),FALSE)</f>
        <v>0</v>
      </c>
      <c r="N87" s="37" t="b">
        <f>IFERROR(__xludf.DUMMYFUNCTION("if(isblank(A87),,REGEXMATCH(B87,""(^N *\+ D *$)|(^D *\+ N *$)""))"),FALSE)</f>
        <v>0</v>
      </c>
      <c r="O87" s="37" t="b">
        <f>IFERROR(__xludf.DUMMYFUNCTION("if(isblank(A87),,REGEXMATCH(B87,""^U *\+ U *$""))"),FALSE)</f>
        <v>0</v>
      </c>
      <c r="P87" s="37" t="b">
        <f>IFERROR(__xludf.DUMMYFUNCTION("if(isblank(A87),,REGEXMATCH(B87,""(^U *\+ N *$)|(^N *\+ U *$)""))"),FALSE)</f>
        <v>0</v>
      </c>
      <c r="Q87" s="37" t="b">
        <f>IFERROR(__xludf.DUMMYFUNCTION("if(isblank(A87),,REGEXMATCH(B87,""^((I ?\+ ?(D ?I|I ?D))|((D ?I|I ?D) ?\+ ?I)) *$""))"),FALSE)</f>
        <v>0</v>
      </c>
      <c r="R87" s="37" t="b">
        <f>IFERROR(__xludf.DUMMYFUNCTION("if(isblank(A87),,REGEXMATCH(B87,""^((D ?\+ ?(D ?I|I ?D))|((D ?I|I ?D) ?\+ ?D)) *$""))"),FALSE)</f>
        <v>0</v>
      </c>
      <c r="S87" s="37" t="b">
        <f>IFERROR(__xludf.DUMMYFUNCTION("if(isblank(A87),,REGEXMATCH(B87,""^((U ?\+ ?(D ?I|I ?D))|((D ?I|I ?D) ?\+ ?U)) *$""))"),FALSE)</f>
        <v>0</v>
      </c>
      <c r="T87" s="37" t="b">
        <f>IFERROR(__xludf.DUMMYFUNCTION("if(isblank(A87),,REGEXMATCH(B87,""^((N ?\+ ?(D ?I|I ?D))|((D ?I|I ?D) ?\+ ?N)) *$""))"),FALSE)</f>
        <v>0</v>
      </c>
      <c r="U87" s="37" t="b">
        <f>IFERROR(__xludf.DUMMYFUNCTION("if(isblank(A87),,REGEXMATCH(B87,""^((I ?\+ ?(U ?I|I ?U))|((I ?U|U ?I) ?\+ ?I)) *$""))"),FALSE)</f>
        <v>0</v>
      </c>
      <c r="V87" s="37" t="b">
        <f>IFERROR(__xludf.DUMMYFUNCTION("if(isblank(A87),,REGEXMATCH(B87,""^((D ?\+ ?(U ?I|I ?U))|((I ?U|U ?I) ?\+ ?D)) *$""))"),FALSE)</f>
        <v>0</v>
      </c>
      <c r="W87" s="37" t="b">
        <f>IFERROR(__xludf.DUMMYFUNCTION("if(isblank(A87),,REGEXMATCH(B87,""^((U ?\+ ?(U ?I|I ?U))|((I ?U|U ?I) ?\+ ?U)) *$""))"),FALSE)</f>
        <v>0</v>
      </c>
      <c r="X87" s="37" t="b">
        <f>IFERROR(__xludf.DUMMYFUNCTION("if(isblank(A87),,REGEXMATCH(B87,""^((N ?\+ ?(U ?I|I ?U))|((I ?U|U ?I) ?\+ ?N)) *$""))"),FALSE)</f>
        <v>0</v>
      </c>
      <c r="Y87" s="37" t="b">
        <f>IFERROR(__xludf.DUMMYFUNCTION("if(isblank(A87),,REGEXMATCH(B87,""^((I ?\+ ?(U ?D|D ?U))|((D ?U|U ?D) ?\+ ?I)) *$""))"),FALSE)</f>
        <v>0</v>
      </c>
      <c r="Z87" s="37" t="b">
        <f>IFERROR(__xludf.DUMMYFUNCTION("if(isblank(A87),,REGEXMATCH(B87,""^((D ?\+ ?(U ?D|D ?U))|((D ?U|U ?D) ?\+ ?D)) *$""))"),FALSE)</f>
        <v>0</v>
      </c>
      <c r="AA87" s="37" t="b">
        <f>IFERROR(__xludf.DUMMYFUNCTION("if(isblank(A87),,REGEXMATCH(B87,""^((U ?\+ ?(U ?D|D ?U))|((D ?U|U ?D) ?\+ ?U)) *$""))"),FALSE)</f>
        <v>0</v>
      </c>
      <c r="AB87" s="37" t="b">
        <f>IFERROR(__xludf.DUMMYFUNCTION("if(isblank(A87),,REGEXMATCH(B87,""^((D ?I|I ?D) ?\+ ?(D ?I|I ?D)) *$""))"),FALSE)</f>
        <v>0</v>
      </c>
      <c r="AC87" s="37" t="b">
        <f>IFERROR(__xludf.DUMMYFUNCTION("if(isblank(A87),,REGEXMATCH(B87,""^((D ?I|I ?D) ?\+ ?(U ?I|I ?U))|((U ?I|I ?U) ?\+ ?(D ?I|I ?D)) *$""))"),FALSE)</f>
        <v>0</v>
      </c>
      <c r="AD87" s="37" t="b">
        <f>IFERROR(__xludf.DUMMYFUNCTION("if(isblank(A87),,REGEXMATCH(B87,""^I *vs\. I *$""))"),FALSE)</f>
        <v>0</v>
      </c>
      <c r="AE87" s="37" t="b">
        <f>IFERROR(__xludf.DUMMYFUNCTION("if(isblank(A87),,REGEXMATCH(B87,""(^I *vs\. D *$)|(^D *vs\. I *$)""))"),FALSE)</f>
        <v>0</v>
      </c>
      <c r="AF87" s="37" t="b">
        <f>IFERROR(__xludf.DUMMYFUNCTION("if(isblank(A87),,REGEXMATCH(B87,""(^I *vs\. U *$)|(^U *vs\. I *$)""))"),FALSE)</f>
        <v>0</v>
      </c>
      <c r="AG87" s="37" t="b">
        <f>IFERROR(__xludf.DUMMYFUNCTION("if(isblank(A87),,REGEXMATCH(B87,""^D *vs\. D *$""))"),FALSE)</f>
        <v>0</v>
      </c>
      <c r="AH87" s="37" t="b">
        <f>IFERROR(__xludf.DUMMYFUNCTION("if(isblank(A87),,REGEXMATCH(B87,""(^U *vs\. D *$)|(^D *vs\. U *$)""))"),FALSE)</f>
        <v>0</v>
      </c>
      <c r="AI87" s="37" t="b">
        <f>IFERROR(__xludf.DUMMYFUNCTION("if(isblank(A87),,REGEXMATCH(B87,""^U *vs\. U *$""))"),FALSE)</f>
        <v>0</v>
      </c>
      <c r="AJ87" s="37" t="b">
        <f>IFERROR(__xludf.DUMMYFUNCTION("if(isblank(A87),,REGEXMATCH(B87,""^((I ?vs\. ?(D ?I|I ?D))|((D ?I|I ?D) ?vs\. ?I)) *$""))"),FALSE)</f>
        <v>0</v>
      </c>
      <c r="AK87" s="37" t="b">
        <f>IFERROR(__xludf.DUMMYFUNCTION("if(isblank(A87),,REGEXMATCH(B87,""^((D ?vs\. ?(D ?I|I ?D))|((D ?I|I ?D) ?vs\. ?D)) *$""))"),FALSE)</f>
        <v>0</v>
      </c>
      <c r="AL87" s="37" t="b">
        <f>IFERROR(__xludf.DUMMYFUNCTION("if(isblank(A87),,REGEXMATCH(B87,""^((U ?vs\. ?(D ?I|I ?D))|((D ?I|I ?D) ?vs\. ?U)) *$""))"),FALSE)</f>
        <v>0</v>
      </c>
      <c r="AM87" s="37" t="b">
        <f>IFERROR(__xludf.DUMMYFUNCTION("if(isblank(A87),,REGEXMATCH(B87,""^((I ?vs\. ?(U ?I|I ?U))|((U ?I|I ?U) ?vs\. ?I)) *$""))"),FALSE)</f>
        <v>0</v>
      </c>
      <c r="AN87" s="37" t="b">
        <f>IFERROR(__xludf.DUMMYFUNCTION("if(isblank(A87),,REGEXMATCH(B87,""^((D ?vs\. ?(U ?I|I ?U))|((U ?I|I ?U) ?vs\. ?D)) *$""))"),FALSE)</f>
        <v>0</v>
      </c>
      <c r="AO87" s="37" t="b">
        <f>IFERROR(__xludf.DUMMYFUNCTION("if(isblank(A87),,REGEXMATCH(B87,""^((U ?vs\. ?(U ?I|I ?U))|((U ?I|I ?U) ?vs\. ?U)) *$""))"),FALSE)</f>
        <v>0</v>
      </c>
      <c r="AP87" s="37" t="b">
        <f>IFERROR(__xludf.DUMMYFUNCTION("if(isblank(A87),,REGEXMATCH(B87,""^((I ?vs\. ?(U ?D|D ?U))|((D ?U|U ?D) ?vs\. ?I)) *$""))"),FALSE)</f>
        <v>0</v>
      </c>
      <c r="AQ87" s="37" t="b">
        <f>IFERROR(__xludf.DUMMYFUNCTION("if(isblank(A87),,REGEXMATCH(B87,""^((D ?vs\. ?(U ?D|D ?U))|((D ?U|U ?D) ?vs\. ?D)) *$""))"),FALSE)</f>
        <v>0</v>
      </c>
      <c r="AR87" s="37" t="b">
        <f>IFERROR(__xludf.DUMMYFUNCTION("if(isblank(A87),,REGEXMATCH(B87,""^((U ?vs\. ?(U ?D|D ?U))|((D ?U|U ?D) ?vs\. ?U)) *$""))"),FALSE)</f>
        <v>0</v>
      </c>
      <c r="AS87" s="37" t="b">
        <f>IFERROR(__xludf.DUMMYFUNCTION("if(isblank(A87),,REGEXMATCH(B87,""^((D ?I|I ?D) ?vs\. ?(D ?I|I ?D)) *$""))"),FALSE)</f>
        <v>0</v>
      </c>
      <c r="AT87" s="37" t="b">
        <f>IFERROR(__xludf.DUMMYFUNCTION("if(isblank(A87),,REGEXMATCH(B87,""^((D ?I|I ?D) ?vs\. ?(U ?I|I ?U))|((U ?I|I ?U) ?vs\. ?(D ?I|I ?D)) *$""))"),FALSE)</f>
        <v>0</v>
      </c>
      <c r="AU87" s="37" t="b">
        <f>IFERROR(__xludf.DUMMYFUNCTION("if(isblank(A87),,REGEXMATCH(B87,""^((D ?I|I ?D) ?vs\. ?(U ?D|D ?U))|((U ?D|D ?U) ?vs\. ?(D ?I|I ?D)) *$""))"),FALSE)</f>
        <v>0</v>
      </c>
      <c r="AV87" s="37" t="b">
        <f>IFERROR(__xludf.DUMMYFUNCTION("if(isblank(A87),,REGEXMATCH(B87,""^((U ?I|I ?U) ?vs\. ?(U ?I|I ?U)) *$""))"),FALSE)</f>
        <v>0</v>
      </c>
    </row>
    <row r="88" ht="26.25" customHeight="1">
      <c r="A88" s="79" t="str">
        <f>Paper_Textual_Conflict!M88</f>
        <v>I + D (import)
Origin(U vs. D)</v>
      </c>
      <c r="B88" s="37" t="str">
        <f>IFERROR(__xludf.DUMMYFUNCTION("if(isblank(A88),,regexextract(REGEXEXTRACT(A88,""^.*""),""^[^(]*""))"),"I + D ")</f>
        <v>I + D </v>
      </c>
      <c r="C88" s="37" t="b">
        <f>IFERROR(__xludf.DUMMYFUNCTION("if(isblank(A88),,REGEXMATCH(B88,"".*\+.*"") )"),TRUE)</f>
        <v>1</v>
      </c>
      <c r="D88" s="37" t="b">
        <f>IFERROR(__xludf.DUMMYFUNCTION("if(isblank(A88),,REGEXMATCH(B88,"".*vs.*"") )"),FALSE)</f>
        <v>0</v>
      </c>
      <c r="E88" s="37" t="b">
        <f>Paper_Textual_Conflict!H88</f>
        <v>0</v>
      </c>
      <c r="F88" s="37" t="str">
        <f>Paper_Textual_Conflict!Q88</f>
        <v>Java</v>
      </c>
      <c r="G88" s="33">
        <v>88.0</v>
      </c>
      <c r="H88" s="37" t="b">
        <f>IFERROR(__xludf.DUMMYFUNCTION("if(isblank(A88),,REGEXMATCH(B88,""^I *\+ I *$""))"),FALSE)</f>
        <v>0</v>
      </c>
      <c r="I88" s="37" t="b">
        <f>IFERROR(__xludf.DUMMYFUNCTION("if(isblank(A88),,REGEXMATCH(B88,""(^I *\+ D *$)|(^D *\+ I *$)""))"),TRUE)</f>
        <v>1</v>
      </c>
      <c r="J88" s="37" t="b">
        <f>IFERROR(__xludf.DUMMYFUNCTION("if(isblank(A88),,REGEXMATCH(B88,""(^I *\+ U *$)|(^U *\+ I *$)""))"),FALSE)</f>
        <v>0</v>
      </c>
      <c r="K88" s="37" t="b">
        <f>IFERROR(__xludf.DUMMYFUNCTION("if(isblank(A88),,REGEXMATCH(B88,""(^I *\+ N *$)|(^N *\+ I *$)"") )"),FALSE)</f>
        <v>0</v>
      </c>
      <c r="L88" s="37" t="b">
        <f>IFERROR(__xludf.DUMMYFUNCTION("if(isblank(A88),,REGEXMATCH(B88,""^D *\+ D *$""))"),FALSE)</f>
        <v>0</v>
      </c>
      <c r="M88" s="37" t="b">
        <f>IFERROR(__xludf.DUMMYFUNCTION("if(isblank(A88),,REGEXMATCH(B88,""(^U *\+ D *$)|(^D *\+ U *$)""))"),FALSE)</f>
        <v>0</v>
      </c>
      <c r="N88" s="37" t="b">
        <f>IFERROR(__xludf.DUMMYFUNCTION("if(isblank(A88),,REGEXMATCH(B88,""(^N *\+ D *$)|(^D *\+ N *$)""))"),FALSE)</f>
        <v>0</v>
      </c>
      <c r="O88" s="37" t="b">
        <f>IFERROR(__xludf.DUMMYFUNCTION("if(isblank(A88),,REGEXMATCH(B88,""^U *\+ U *$""))"),FALSE)</f>
        <v>0</v>
      </c>
      <c r="P88" s="37" t="b">
        <f>IFERROR(__xludf.DUMMYFUNCTION("if(isblank(A88),,REGEXMATCH(B88,""(^U *\+ N *$)|(^N *\+ U *$)""))"),FALSE)</f>
        <v>0</v>
      </c>
      <c r="Q88" s="37" t="b">
        <f>IFERROR(__xludf.DUMMYFUNCTION("if(isblank(A88),,REGEXMATCH(B88,""^((I ?\+ ?(D ?I|I ?D))|((D ?I|I ?D) ?\+ ?I)) *$""))"),FALSE)</f>
        <v>0</v>
      </c>
      <c r="R88" s="37" t="b">
        <f>IFERROR(__xludf.DUMMYFUNCTION("if(isblank(A88),,REGEXMATCH(B88,""^((D ?\+ ?(D ?I|I ?D))|((D ?I|I ?D) ?\+ ?D)) *$""))"),FALSE)</f>
        <v>0</v>
      </c>
      <c r="S88" s="37" t="b">
        <f>IFERROR(__xludf.DUMMYFUNCTION("if(isblank(A88),,REGEXMATCH(B88,""^((U ?\+ ?(D ?I|I ?D))|((D ?I|I ?D) ?\+ ?U)) *$""))"),FALSE)</f>
        <v>0</v>
      </c>
      <c r="T88" s="37" t="b">
        <f>IFERROR(__xludf.DUMMYFUNCTION("if(isblank(A88),,REGEXMATCH(B88,""^((N ?\+ ?(D ?I|I ?D))|((D ?I|I ?D) ?\+ ?N)) *$""))"),FALSE)</f>
        <v>0</v>
      </c>
      <c r="U88" s="37" t="b">
        <f>IFERROR(__xludf.DUMMYFUNCTION("if(isblank(A88),,REGEXMATCH(B88,""^((I ?\+ ?(U ?I|I ?U))|((I ?U|U ?I) ?\+ ?I)) *$""))"),FALSE)</f>
        <v>0</v>
      </c>
      <c r="V88" s="37" t="b">
        <f>IFERROR(__xludf.DUMMYFUNCTION("if(isblank(A88),,REGEXMATCH(B88,""^((D ?\+ ?(U ?I|I ?U))|((I ?U|U ?I) ?\+ ?D)) *$""))"),FALSE)</f>
        <v>0</v>
      </c>
      <c r="W88" s="37" t="b">
        <f>IFERROR(__xludf.DUMMYFUNCTION("if(isblank(A88),,REGEXMATCH(B88,""^((U ?\+ ?(U ?I|I ?U))|((I ?U|U ?I) ?\+ ?U)) *$""))"),FALSE)</f>
        <v>0</v>
      </c>
      <c r="X88" s="37" t="b">
        <f>IFERROR(__xludf.DUMMYFUNCTION("if(isblank(A88),,REGEXMATCH(B88,""^((N ?\+ ?(U ?I|I ?U))|((I ?U|U ?I) ?\+ ?N)) *$""))"),FALSE)</f>
        <v>0</v>
      </c>
      <c r="Y88" s="37" t="b">
        <f>IFERROR(__xludf.DUMMYFUNCTION("if(isblank(A88),,REGEXMATCH(B88,""^((I ?\+ ?(U ?D|D ?U))|((D ?U|U ?D) ?\+ ?I)) *$""))"),FALSE)</f>
        <v>0</v>
      </c>
      <c r="Z88" s="37" t="b">
        <f>IFERROR(__xludf.DUMMYFUNCTION("if(isblank(A88),,REGEXMATCH(B88,""^((D ?\+ ?(U ?D|D ?U))|((D ?U|U ?D) ?\+ ?D)) *$""))"),FALSE)</f>
        <v>0</v>
      </c>
      <c r="AA88" s="37" t="b">
        <f>IFERROR(__xludf.DUMMYFUNCTION("if(isblank(A88),,REGEXMATCH(B88,""^((U ?\+ ?(U ?D|D ?U))|((D ?U|U ?D) ?\+ ?U)) *$""))"),FALSE)</f>
        <v>0</v>
      </c>
      <c r="AB88" s="37" t="b">
        <f>IFERROR(__xludf.DUMMYFUNCTION("if(isblank(A88),,REGEXMATCH(B88,""^((D ?I|I ?D) ?\+ ?(D ?I|I ?D)) *$""))"),FALSE)</f>
        <v>0</v>
      </c>
      <c r="AC88" s="37" t="b">
        <f>IFERROR(__xludf.DUMMYFUNCTION("if(isblank(A88),,REGEXMATCH(B88,""^((D ?I|I ?D) ?\+ ?(U ?I|I ?U))|((U ?I|I ?U) ?\+ ?(D ?I|I ?D)) *$""))"),FALSE)</f>
        <v>0</v>
      </c>
      <c r="AD88" s="37" t="b">
        <f>IFERROR(__xludf.DUMMYFUNCTION("if(isblank(A88),,REGEXMATCH(B88,""^I *vs\. I *$""))"),FALSE)</f>
        <v>0</v>
      </c>
      <c r="AE88" s="37" t="b">
        <f>IFERROR(__xludf.DUMMYFUNCTION("if(isblank(A88),,REGEXMATCH(B88,""(^I *vs\. D *$)|(^D *vs\. I *$)""))"),FALSE)</f>
        <v>0</v>
      </c>
      <c r="AF88" s="37" t="b">
        <f>IFERROR(__xludf.DUMMYFUNCTION("if(isblank(A88),,REGEXMATCH(B88,""(^I *vs\. U *$)|(^U *vs\. I *$)""))"),FALSE)</f>
        <v>0</v>
      </c>
      <c r="AG88" s="37" t="b">
        <f>IFERROR(__xludf.DUMMYFUNCTION("if(isblank(A88),,REGEXMATCH(B88,""^D *vs\. D *$""))"),FALSE)</f>
        <v>0</v>
      </c>
      <c r="AH88" s="37" t="b">
        <f>IFERROR(__xludf.DUMMYFUNCTION("if(isblank(A88),,REGEXMATCH(B88,""(^U *vs\. D *$)|(^D *vs\. U *$)""))"),FALSE)</f>
        <v>0</v>
      </c>
      <c r="AI88" s="37" t="b">
        <f>IFERROR(__xludf.DUMMYFUNCTION("if(isblank(A88),,REGEXMATCH(B88,""^U *vs\. U *$""))"),FALSE)</f>
        <v>0</v>
      </c>
      <c r="AJ88" s="37" t="b">
        <f>IFERROR(__xludf.DUMMYFUNCTION("if(isblank(A88),,REGEXMATCH(B88,""^((I ?vs\. ?(D ?I|I ?D))|((D ?I|I ?D) ?vs\. ?I)) *$""))"),FALSE)</f>
        <v>0</v>
      </c>
      <c r="AK88" s="37" t="b">
        <f>IFERROR(__xludf.DUMMYFUNCTION("if(isblank(A88),,REGEXMATCH(B88,""^((D ?vs\. ?(D ?I|I ?D))|((D ?I|I ?D) ?vs\. ?D)) *$""))"),FALSE)</f>
        <v>0</v>
      </c>
      <c r="AL88" s="37" t="b">
        <f>IFERROR(__xludf.DUMMYFUNCTION("if(isblank(A88),,REGEXMATCH(B88,""^((U ?vs\. ?(D ?I|I ?D))|((D ?I|I ?D) ?vs\. ?U)) *$""))"),FALSE)</f>
        <v>0</v>
      </c>
      <c r="AM88" s="37" t="b">
        <f>IFERROR(__xludf.DUMMYFUNCTION("if(isblank(A88),,REGEXMATCH(B88,""^((I ?vs\. ?(U ?I|I ?U))|((U ?I|I ?U) ?vs\. ?I)) *$""))"),FALSE)</f>
        <v>0</v>
      </c>
      <c r="AN88" s="37" t="b">
        <f>IFERROR(__xludf.DUMMYFUNCTION("if(isblank(A88),,REGEXMATCH(B88,""^((D ?vs\. ?(U ?I|I ?U))|((U ?I|I ?U) ?vs\. ?D)) *$""))"),FALSE)</f>
        <v>0</v>
      </c>
      <c r="AO88" s="37" t="b">
        <f>IFERROR(__xludf.DUMMYFUNCTION("if(isblank(A88),,REGEXMATCH(B88,""^((U ?vs\. ?(U ?I|I ?U))|((U ?I|I ?U) ?vs\. ?U)) *$""))"),FALSE)</f>
        <v>0</v>
      </c>
      <c r="AP88" s="37" t="b">
        <f>IFERROR(__xludf.DUMMYFUNCTION("if(isblank(A88),,REGEXMATCH(B88,""^((I ?vs\. ?(U ?D|D ?U))|((D ?U|U ?D) ?vs\. ?I)) *$""))"),FALSE)</f>
        <v>0</v>
      </c>
      <c r="AQ88" s="37" t="b">
        <f>IFERROR(__xludf.DUMMYFUNCTION("if(isblank(A88),,REGEXMATCH(B88,""^((D ?vs\. ?(U ?D|D ?U))|((D ?U|U ?D) ?vs\. ?D)) *$""))"),FALSE)</f>
        <v>0</v>
      </c>
      <c r="AR88" s="37" t="b">
        <f>IFERROR(__xludf.DUMMYFUNCTION("if(isblank(A88),,REGEXMATCH(B88,""^((U ?vs\. ?(U ?D|D ?U))|((D ?U|U ?D) ?vs\. ?U)) *$""))"),FALSE)</f>
        <v>0</v>
      </c>
      <c r="AS88" s="37" t="b">
        <f>IFERROR(__xludf.DUMMYFUNCTION("if(isblank(A88),,REGEXMATCH(B88,""^((D ?I|I ?D) ?vs\. ?(D ?I|I ?D)) *$""))"),FALSE)</f>
        <v>0</v>
      </c>
      <c r="AT88" s="37" t="b">
        <f>IFERROR(__xludf.DUMMYFUNCTION("if(isblank(A88),,REGEXMATCH(B88,""^((D ?I|I ?D) ?vs\. ?(U ?I|I ?U))|((U ?I|I ?U) ?vs\. ?(D ?I|I ?D)) *$""))"),FALSE)</f>
        <v>0</v>
      </c>
      <c r="AU88" s="37" t="b">
        <f>IFERROR(__xludf.DUMMYFUNCTION("if(isblank(A88),,REGEXMATCH(B88,""^((D ?I|I ?D) ?vs\. ?(U ?D|D ?U))|((U ?D|D ?U) ?vs\. ?(D ?I|I ?D)) *$""))"),FALSE)</f>
        <v>0</v>
      </c>
      <c r="AV88" s="37" t="b">
        <f>IFERROR(__xludf.DUMMYFUNCTION("if(isblank(A88),,REGEXMATCH(B88,""^((U ?I|I ?U) ?vs\. ?(U ?I|I ?U)) *$""))"),FALSE)</f>
        <v>0</v>
      </c>
    </row>
    <row r="89" ht="26.25" customHeight="1">
      <c r="A89" s="79" t="str">
        <f>Paper_Textual_Conflict!M89</f>
        <v>D I + I (import)
Origin(D I vs. I)</v>
      </c>
      <c r="B89" s="37" t="str">
        <f>IFERROR(__xludf.DUMMYFUNCTION("if(isblank(A89),,regexextract(REGEXEXTRACT(A89,""^.*""),""^[^(]*""))"),"D I + I ")</f>
        <v>D I + I </v>
      </c>
      <c r="C89" s="37" t="b">
        <f>IFERROR(__xludf.DUMMYFUNCTION("if(isblank(A89),,REGEXMATCH(B89,"".*\+.*"") )"),TRUE)</f>
        <v>1</v>
      </c>
      <c r="D89" s="37" t="b">
        <f>IFERROR(__xludf.DUMMYFUNCTION("if(isblank(A89),,REGEXMATCH(B89,"".*vs.*"") )"),FALSE)</f>
        <v>0</v>
      </c>
      <c r="E89" s="37" t="b">
        <f>Paper_Textual_Conflict!H89</f>
        <v>0</v>
      </c>
      <c r="F89" s="37" t="str">
        <f>Paper_Textual_Conflict!Q89</f>
        <v>Java</v>
      </c>
      <c r="G89" s="33">
        <v>89.0</v>
      </c>
      <c r="H89" s="37" t="b">
        <f>IFERROR(__xludf.DUMMYFUNCTION("if(isblank(A89),,REGEXMATCH(B89,""^I *\+ I *$""))"),FALSE)</f>
        <v>0</v>
      </c>
      <c r="I89" s="37" t="b">
        <f>IFERROR(__xludf.DUMMYFUNCTION("if(isblank(A89),,REGEXMATCH(B89,""(^I *\+ D *$)|(^D *\+ I *$)""))"),FALSE)</f>
        <v>0</v>
      </c>
      <c r="J89" s="37" t="b">
        <f>IFERROR(__xludf.DUMMYFUNCTION("if(isblank(A89),,REGEXMATCH(B89,""(^I *\+ U *$)|(^U *\+ I *$)""))"),FALSE)</f>
        <v>0</v>
      </c>
      <c r="K89" s="37" t="b">
        <f>IFERROR(__xludf.DUMMYFUNCTION("if(isblank(A89),,REGEXMATCH(B89,""(^I *\+ N *$)|(^N *\+ I *$)"") )"),FALSE)</f>
        <v>0</v>
      </c>
      <c r="L89" s="37" t="b">
        <f>IFERROR(__xludf.DUMMYFUNCTION("if(isblank(A89),,REGEXMATCH(B89,""^D *\+ D *$""))"),FALSE)</f>
        <v>0</v>
      </c>
      <c r="M89" s="37" t="b">
        <f>IFERROR(__xludf.DUMMYFUNCTION("if(isblank(A89),,REGEXMATCH(B89,""(^U *\+ D *$)|(^D *\+ U *$)""))"),FALSE)</f>
        <v>0</v>
      </c>
      <c r="N89" s="37" t="b">
        <f>IFERROR(__xludf.DUMMYFUNCTION("if(isblank(A89),,REGEXMATCH(B89,""(^N *\+ D *$)|(^D *\+ N *$)""))"),FALSE)</f>
        <v>0</v>
      </c>
      <c r="O89" s="37" t="b">
        <f>IFERROR(__xludf.DUMMYFUNCTION("if(isblank(A89),,REGEXMATCH(B89,""^U *\+ U *$""))"),FALSE)</f>
        <v>0</v>
      </c>
      <c r="P89" s="37" t="b">
        <f>IFERROR(__xludf.DUMMYFUNCTION("if(isblank(A89),,REGEXMATCH(B89,""(^U *\+ N *$)|(^N *\+ U *$)""))"),FALSE)</f>
        <v>0</v>
      </c>
      <c r="Q89" s="37" t="b">
        <f>IFERROR(__xludf.DUMMYFUNCTION("if(isblank(A89),,REGEXMATCH(B89,""^((I ?\+ ?(D ?I|I ?D))|((D ?I|I ?D) ?\+ ?I)) *$""))"),TRUE)</f>
        <v>1</v>
      </c>
      <c r="R89" s="37" t="b">
        <f>IFERROR(__xludf.DUMMYFUNCTION("if(isblank(A89),,REGEXMATCH(B89,""^((D ?\+ ?(D ?I|I ?D))|((D ?I|I ?D) ?\+ ?D)) *$""))"),FALSE)</f>
        <v>0</v>
      </c>
      <c r="S89" s="37" t="b">
        <f>IFERROR(__xludf.DUMMYFUNCTION("if(isblank(A89),,REGEXMATCH(B89,""^((U ?\+ ?(D ?I|I ?D))|((D ?I|I ?D) ?\+ ?U)) *$""))"),FALSE)</f>
        <v>0</v>
      </c>
      <c r="T89" s="37" t="b">
        <f>IFERROR(__xludf.DUMMYFUNCTION("if(isblank(A89),,REGEXMATCH(B89,""^((N ?\+ ?(D ?I|I ?D))|((D ?I|I ?D) ?\+ ?N)) *$""))"),FALSE)</f>
        <v>0</v>
      </c>
      <c r="U89" s="37" t="b">
        <f>IFERROR(__xludf.DUMMYFUNCTION("if(isblank(A89),,REGEXMATCH(B89,""^((I ?\+ ?(U ?I|I ?U))|((I ?U|U ?I) ?\+ ?I)) *$""))"),FALSE)</f>
        <v>0</v>
      </c>
      <c r="V89" s="37" t="b">
        <f>IFERROR(__xludf.DUMMYFUNCTION("if(isblank(A89),,REGEXMATCH(B89,""^((D ?\+ ?(U ?I|I ?U))|((I ?U|U ?I) ?\+ ?D)) *$""))"),FALSE)</f>
        <v>0</v>
      </c>
      <c r="W89" s="37" t="b">
        <f>IFERROR(__xludf.DUMMYFUNCTION("if(isblank(A89),,REGEXMATCH(B89,""^((U ?\+ ?(U ?I|I ?U))|((I ?U|U ?I) ?\+ ?U)) *$""))"),FALSE)</f>
        <v>0</v>
      </c>
      <c r="X89" s="37" t="b">
        <f>IFERROR(__xludf.DUMMYFUNCTION("if(isblank(A89),,REGEXMATCH(B89,""^((N ?\+ ?(U ?I|I ?U))|((I ?U|U ?I) ?\+ ?N)) *$""))"),FALSE)</f>
        <v>0</v>
      </c>
      <c r="Y89" s="37" t="b">
        <f>IFERROR(__xludf.DUMMYFUNCTION("if(isblank(A89),,REGEXMATCH(B89,""^((I ?\+ ?(U ?D|D ?U))|((D ?U|U ?D) ?\+ ?I)) *$""))"),FALSE)</f>
        <v>0</v>
      </c>
      <c r="Z89" s="37" t="b">
        <f>IFERROR(__xludf.DUMMYFUNCTION("if(isblank(A89),,REGEXMATCH(B89,""^((D ?\+ ?(U ?D|D ?U))|((D ?U|U ?D) ?\+ ?D)) *$""))"),FALSE)</f>
        <v>0</v>
      </c>
      <c r="AA89" s="37" t="b">
        <f>IFERROR(__xludf.DUMMYFUNCTION("if(isblank(A89),,REGEXMATCH(B89,""^((U ?\+ ?(U ?D|D ?U))|((D ?U|U ?D) ?\+ ?U)) *$""))"),FALSE)</f>
        <v>0</v>
      </c>
      <c r="AB89" s="37" t="b">
        <f>IFERROR(__xludf.DUMMYFUNCTION("if(isblank(A89),,REGEXMATCH(B89,""^((D ?I|I ?D) ?\+ ?(D ?I|I ?D)) *$""))"),FALSE)</f>
        <v>0</v>
      </c>
      <c r="AC89" s="37" t="b">
        <f>IFERROR(__xludf.DUMMYFUNCTION("if(isblank(A89),,REGEXMATCH(B89,""^((D ?I|I ?D) ?\+ ?(U ?I|I ?U))|((U ?I|I ?U) ?\+ ?(D ?I|I ?D)) *$""))"),FALSE)</f>
        <v>0</v>
      </c>
      <c r="AD89" s="37" t="b">
        <f>IFERROR(__xludf.DUMMYFUNCTION("if(isblank(A89),,REGEXMATCH(B89,""^I *vs\. I *$""))"),FALSE)</f>
        <v>0</v>
      </c>
      <c r="AE89" s="37" t="b">
        <f>IFERROR(__xludf.DUMMYFUNCTION("if(isblank(A89),,REGEXMATCH(B89,""(^I *vs\. D *$)|(^D *vs\. I *$)""))"),FALSE)</f>
        <v>0</v>
      </c>
      <c r="AF89" s="37" t="b">
        <f>IFERROR(__xludf.DUMMYFUNCTION("if(isblank(A89),,REGEXMATCH(B89,""(^I *vs\. U *$)|(^U *vs\. I *$)""))"),FALSE)</f>
        <v>0</v>
      </c>
      <c r="AG89" s="37" t="b">
        <f>IFERROR(__xludf.DUMMYFUNCTION("if(isblank(A89),,REGEXMATCH(B89,""^D *vs\. D *$""))"),FALSE)</f>
        <v>0</v>
      </c>
      <c r="AH89" s="37" t="b">
        <f>IFERROR(__xludf.DUMMYFUNCTION("if(isblank(A89),,REGEXMATCH(B89,""(^U *vs\. D *$)|(^D *vs\. U *$)""))"),FALSE)</f>
        <v>0</v>
      </c>
      <c r="AI89" s="37" t="b">
        <f>IFERROR(__xludf.DUMMYFUNCTION("if(isblank(A89),,REGEXMATCH(B89,""^U *vs\. U *$""))"),FALSE)</f>
        <v>0</v>
      </c>
      <c r="AJ89" s="37" t="b">
        <f>IFERROR(__xludf.DUMMYFUNCTION("if(isblank(A89),,REGEXMATCH(B89,""^((I ?vs\. ?(D ?I|I ?D))|((D ?I|I ?D) ?vs\. ?I)) *$""))"),FALSE)</f>
        <v>0</v>
      </c>
      <c r="AK89" s="37" t="b">
        <f>IFERROR(__xludf.DUMMYFUNCTION("if(isblank(A89),,REGEXMATCH(B89,""^((D ?vs\. ?(D ?I|I ?D))|((D ?I|I ?D) ?vs\. ?D)) *$""))"),FALSE)</f>
        <v>0</v>
      </c>
      <c r="AL89" s="37" t="b">
        <f>IFERROR(__xludf.DUMMYFUNCTION("if(isblank(A89),,REGEXMATCH(B89,""^((U ?vs\. ?(D ?I|I ?D))|((D ?I|I ?D) ?vs\. ?U)) *$""))"),FALSE)</f>
        <v>0</v>
      </c>
      <c r="AM89" s="37" t="b">
        <f>IFERROR(__xludf.DUMMYFUNCTION("if(isblank(A89),,REGEXMATCH(B89,""^((I ?vs\. ?(U ?I|I ?U))|((U ?I|I ?U) ?vs\. ?I)) *$""))"),FALSE)</f>
        <v>0</v>
      </c>
      <c r="AN89" s="37" t="b">
        <f>IFERROR(__xludf.DUMMYFUNCTION("if(isblank(A89),,REGEXMATCH(B89,""^((D ?vs\. ?(U ?I|I ?U))|((U ?I|I ?U) ?vs\. ?D)) *$""))"),FALSE)</f>
        <v>0</v>
      </c>
      <c r="AO89" s="37" t="b">
        <f>IFERROR(__xludf.DUMMYFUNCTION("if(isblank(A89),,REGEXMATCH(B89,""^((U ?vs\. ?(U ?I|I ?U))|((U ?I|I ?U) ?vs\. ?U)) *$""))"),FALSE)</f>
        <v>0</v>
      </c>
      <c r="AP89" s="37" t="b">
        <f>IFERROR(__xludf.DUMMYFUNCTION("if(isblank(A89),,REGEXMATCH(B89,""^((I ?vs\. ?(U ?D|D ?U))|((D ?U|U ?D) ?vs\. ?I)) *$""))"),FALSE)</f>
        <v>0</v>
      </c>
      <c r="AQ89" s="37" t="b">
        <f>IFERROR(__xludf.DUMMYFUNCTION("if(isblank(A89),,REGEXMATCH(B89,""^((D ?vs\. ?(U ?D|D ?U))|((D ?U|U ?D) ?vs\. ?D)) *$""))"),FALSE)</f>
        <v>0</v>
      </c>
      <c r="AR89" s="37" t="b">
        <f>IFERROR(__xludf.DUMMYFUNCTION("if(isblank(A89),,REGEXMATCH(B89,""^((U ?vs\. ?(U ?D|D ?U))|((D ?U|U ?D) ?vs\. ?U)) *$""))"),FALSE)</f>
        <v>0</v>
      </c>
      <c r="AS89" s="37" t="b">
        <f>IFERROR(__xludf.DUMMYFUNCTION("if(isblank(A89),,REGEXMATCH(B89,""^((D ?I|I ?D) ?vs\. ?(D ?I|I ?D)) *$""))"),FALSE)</f>
        <v>0</v>
      </c>
      <c r="AT89" s="37" t="b">
        <f>IFERROR(__xludf.DUMMYFUNCTION("if(isblank(A89),,REGEXMATCH(B89,""^((D ?I|I ?D) ?vs\. ?(U ?I|I ?U))|((U ?I|I ?U) ?vs\. ?(D ?I|I ?D)) *$""))"),FALSE)</f>
        <v>0</v>
      </c>
      <c r="AU89" s="37" t="b">
        <f>IFERROR(__xludf.DUMMYFUNCTION("if(isblank(A89),,REGEXMATCH(B89,""^((D ?I|I ?D) ?vs\. ?(U ?D|D ?U))|((U ?D|D ?U) ?vs\. ?(D ?I|I ?D)) *$""))"),FALSE)</f>
        <v>0</v>
      </c>
      <c r="AV89" s="37" t="b">
        <f>IFERROR(__xludf.DUMMYFUNCTION("if(isblank(A89),,REGEXMATCH(B89,""^((U ?I|I ?U) ?vs\. ?(U ?I|I ?U)) *$""))"),FALSE)</f>
        <v>0</v>
      </c>
    </row>
    <row r="90" ht="26.25" customHeight="1">
      <c r="A90" s="79" t="str">
        <f>Paper_Textual_Conflict!M90</f>
        <v>U vs. D I</v>
      </c>
      <c r="B90" s="37" t="str">
        <f>IFERROR(__xludf.DUMMYFUNCTION("if(isblank(A90),,regexextract(REGEXEXTRACT(A90,""^.*""),""^[^(]*""))"),"U vs. D I")</f>
        <v>U vs. D I</v>
      </c>
      <c r="C90" s="37" t="b">
        <f>IFERROR(__xludf.DUMMYFUNCTION("if(isblank(A90),,REGEXMATCH(B90,"".*\+.*"") )"),FALSE)</f>
        <v>0</v>
      </c>
      <c r="D90" s="37" t="b">
        <f>IFERROR(__xludf.DUMMYFUNCTION("if(isblank(A90),,REGEXMATCH(B90,"".*vs.*"") )"),TRUE)</f>
        <v>1</v>
      </c>
      <c r="E90" s="37" t="b">
        <f>Paper_Textual_Conflict!H90</f>
        <v>1</v>
      </c>
      <c r="F90" s="37" t="str">
        <f>Paper_Textual_Conflict!Q90</f>
        <v>Non-Java</v>
      </c>
      <c r="G90" s="33">
        <v>90.0</v>
      </c>
      <c r="H90" s="37" t="b">
        <f>IFERROR(__xludf.DUMMYFUNCTION("if(isblank(A90),,REGEXMATCH(B90,""^I *\+ I *$""))"),FALSE)</f>
        <v>0</v>
      </c>
      <c r="I90" s="37" t="b">
        <f>IFERROR(__xludf.DUMMYFUNCTION("if(isblank(A90),,REGEXMATCH(B90,""(^I *\+ D *$)|(^D *\+ I *$)""))"),FALSE)</f>
        <v>0</v>
      </c>
      <c r="J90" s="37" t="b">
        <f>IFERROR(__xludf.DUMMYFUNCTION("if(isblank(A90),,REGEXMATCH(B90,""(^I *\+ U *$)|(^U *\+ I *$)""))"),FALSE)</f>
        <v>0</v>
      </c>
      <c r="K90" s="37" t="b">
        <f>IFERROR(__xludf.DUMMYFUNCTION("if(isblank(A90),,REGEXMATCH(B90,""(^I *\+ N *$)|(^N *\+ I *$)"") )"),FALSE)</f>
        <v>0</v>
      </c>
      <c r="L90" s="37" t="b">
        <f>IFERROR(__xludf.DUMMYFUNCTION("if(isblank(A90),,REGEXMATCH(B90,""^D *\+ D *$""))"),FALSE)</f>
        <v>0</v>
      </c>
      <c r="M90" s="37" t="b">
        <f>IFERROR(__xludf.DUMMYFUNCTION("if(isblank(A90),,REGEXMATCH(B90,""(^U *\+ D *$)|(^D *\+ U *$)""))"),FALSE)</f>
        <v>0</v>
      </c>
      <c r="N90" s="37" t="b">
        <f>IFERROR(__xludf.DUMMYFUNCTION("if(isblank(A90),,REGEXMATCH(B90,""(^N *\+ D *$)|(^D *\+ N *$)""))"),FALSE)</f>
        <v>0</v>
      </c>
      <c r="O90" s="37" t="b">
        <f>IFERROR(__xludf.DUMMYFUNCTION("if(isblank(A90),,REGEXMATCH(B90,""^U *\+ U *$""))"),FALSE)</f>
        <v>0</v>
      </c>
      <c r="P90" s="37" t="b">
        <f>IFERROR(__xludf.DUMMYFUNCTION("if(isblank(A90),,REGEXMATCH(B90,""(^U *\+ N *$)|(^N *\+ U *$)""))"),FALSE)</f>
        <v>0</v>
      </c>
      <c r="Q90" s="37" t="b">
        <f>IFERROR(__xludf.DUMMYFUNCTION("if(isblank(A90),,REGEXMATCH(B90,""^((I ?\+ ?(D ?I|I ?D))|((D ?I|I ?D) ?\+ ?I)) *$""))"),FALSE)</f>
        <v>0</v>
      </c>
      <c r="R90" s="37" t="b">
        <f>IFERROR(__xludf.DUMMYFUNCTION("if(isblank(A90),,REGEXMATCH(B90,""^((D ?\+ ?(D ?I|I ?D))|((D ?I|I ?D) ?\+ ?D)) *$""))"),FALSE)</f>
        <v>0</v>
      </c>
      <c r="S90" s="37" t="b">
        <f>IFERROR(__xludf.DUMMYFUNCTION("if(isblank(A90),,REGEXMATCH(B90,""^((U ?\+ ?(D ?I|I ?D))|((D ?I|I ?D) ?\+ ?U)) *$""))"),FALSE)</f>
        <v>0</v>
      </c>
      <c r="T90" s="37" t="b">
        <f>IFERROR(__xludf.DUMMYFUNCTION("if(isblank(A90),,REGEXMATCH(B90,""^((N ?\+ ?(D ?I|I ?D))|((D ?I|I ?D) ?\+ ?N)) *$""))"),FALSE)</f>
        <v>0</v>
      </c>
      <c r="U90" s="37" t="b">
        <f>IFERROR(__xludf.DUMMYFUNCTION("if(isblank(A90),,REGEXMATCH(B90,""^((I ?\+ ?(U ?I|I ?U))|((I ?U|U ?I) ?\+ ?I)) *$""))"),FALSE)</f>
        <v>0</v>
      </c>
      <c r="V90" s="37" t="b">
        <f>IFERROR(__xludf.DUMMYFUNCTION("if(isblank(A90),,REGEXMATCH(B90,""^((D ?\+ ?(U ?I|I ?U))|((I ?U|U ?I) ?\+ ?D)) *$""))"),FALSE)</f>
        <v>0</v>
      </c>
      <c r="W90" s="37" t="b">
        <f>IFERROR(__xludf.DUMMYFUNCTION("if(isblank(A90),,REGEXMATCH(B90,""^((U ?\+ ?(U ?I|I ?U))|((I ?U|U ?I) ?\+ ?U)) *$""))"),FALSE)</f>
        <v>0</v>
      </c>
      <c r="X90" s="37" t="b">
        <f>IFERROR(__xludf.DUMMYFUNCTION("if(isblank(A90),,REGEXMATCH(B90,""^((N ?\+ ?(U ?I|I ?U))|((I ?U|U ?I) ?\+ ?N)) *$""))"),FALSE)</f>
        <v>0</v>
      </c>
      <c r="Y90" s="37" t="b">
        <f>IFERROR(__xludf.DUMMYFUNCTION("if(isblank(A90),,REGEXMATCH(B90,""^((I ?\+ ?(U ?D|D ?U))|((D ?U|U ?D) ?\+ ?I)) *$""))"),FALSE)</f>
        <v>0</v>
      </c>
      <c r="Z90" s="37" t="b">
        <f>IFERROR(__xludf.DUMMYFUNCTION("if(isblank(A90),,REGEXMATCH(B90,""^((D ?\+ ?(U ?D|D ?U))|((D ?U|U ?D) ?\+ ?D)) *$""))"),FALSE)</f>
        <v>0</v>
      </c>
      <c r="AA90" s="37" t="b">
        <f>IFERROR(__xludf.DUMMYFUNCTION("if(isblank(A90),,REGEXMATCH(B90,""^((U ?\+ ?(U ?D|D ?U))|((D ?U|U ?D) ?\+ ?U)) *$""))"),FALSE)</f>
        <v>0</v>
      </c>
      <c r="AB90" s="37" t="b">
        <f>IFERROR(__xludf.DUMMYFUNCTION("if(isblank(A90),,REGEXMATCH(B90,""^((D ?I|I ?D) ?\+ ?(D ?I|I ?D)) *$""))"),FALSE)</f>
        <v>0</v>
      </c>
      <c r="AC90" s="37" t="b">
        <f>IFERROR(__xludf.DUMMYFUNCTION("if(isblank(A90),,REGEXMATCH(B90,""^((D ?I|I ?D) ?\+ ?(U ?I|I ?U))|((U ?I|I ?U) ?\+ ?(D ?I|I ?D)) *$""))"),FALSE)</f>
        <v>0</v>
      </c>
      <c r="AD90" s="37" t="b">
        <f>IFERROR(__xludf.DUMMYFUNCTION("if(isblank(A90),,REGEXMATCH(B90,""^I *vs\. I *$""))"),FALSE)</f>
        <v>0</v>
      </c>
      <c r="AE90" s="37" t="b">
        <f>IFERROR(__xludf.DUMMYFUNCTION("if(isblank(A90),,REGEXMATCH(B90,""(^I *vs\. D *$)|(^D *vs\. I *$)""))"),FALSE)</f>
        <v>0</v>
      </c>
      <c r="AF90" s="37" t="b">
        <f>IFERROR(__xludf.DUMMYFUNCTION("if(isblank(A90),,REGEXMATCH(B90,""(^I *vs\. U *$)|(^U *vs\. I *$)""))"),FALSE)</f>
        <v>0</v>
      </c>
      <c r="AG90" s="37" t="b">
        <f>IFERROR(__xludf.DUMMYFUNCTION("if(isblank(A90),,REGEXMATCH(B90,""^D *vs\. D *$""))"),FALSE)</f>
        <v>0</v>
      </c>
      <c r="AH90" s="37" t="b">
        <f>IFERROR(__xludf.DUMMYFUNCTION("if(isblank(A90),,REGEXMATCH(B90,""(^U *vs\. D *$)|(^D *vs\. U *$)""))"),FALSE)</f>
        <v>0</v>
      </c>
      <c r="AI90" s="37" t="b">
        <f>IFERROR(__xludf.DUMMYFUNCTION("if(isblank(A90),,REGEXMATCH(B90,""^U *vs\. U *$""))"),FALSE)</f>
        <v>0</v>
      </c>
      <c r="AJ90" s="37" t="b">
        <f>IFERROR(__xludf.DUMMYFUNCTION("if(isblank(A90),,REGEXMATCH(B90,""^((I ?vs\. ?(D ?I|I ?D))|((D ?I|I ?D) ?vs\. ?I)) *$""))"),FALSE)</f>
        <v>0</v>
      </c>
      <c r="AK90" s="37" t="b">
        <f>IFERROR(__xludf.DUMMYFUNCTION("if(isblank(A90),,REGEXMATCH(B90,""^((D ?vs\. ?(D ?I|I ?D))|((D ?I|I ?D) ?vs\. ?D)) *$""))"),FALSE)</f>
        <v>0</v>
      </c>
      <c r="AL90" s="37" t="b">
        <f>IFERROR(__xludf.DUMMYFUNCTION("if(isblank(A90),,REGEXMATCH(B90,""^((U ?vs\. ?(D ?I|I ?D))|((D ?I|I ?D) ?vs\. ?U)) *$""))"),TRUE)</f>
        <v>1</v>
      </c>
      <c r="AM90" s="37" t="b">
        <f>IFERROR(__xludf.DUMMYFUNCTION("if(isblank(A90),,REGEXMATCH(B90,""^((I ?vs\. ?(U ?I|I ?U))|((U ?I|I ?U) ?vs\. ?I)) *$""))"),FALSE)</f>
        <v>0</v>
      </c>
      <c r="AN90" s="37" t="b">
        <f>IFERROR(__xludf.DUMMYFUNCTION("if(isblank(A90),,REGEXMATCH(B90,""^((D ?vs\. ?(U ?I|I ?U))|((U ?I|I ?U) ?vs\. ?D)) *$""))"),FALSE)</f>
        <v>0</v>
      </c>
      <c r="AO90" s="37" t="b">
        <f>IFERROR(__xludf.DUMMYFUNCTION("if(isblank(A90),,REGEXMATCH(B90,""^((U ?vs\. ?(U ?I|I ?U))|((U ?I|I ?U) ?vs\. ?U)) *$""))"),FALSE)</f>
        <v>0</v>
      </c>
      <c r="AP90" s="37" t="b">
        <f>IFERROR(__xludf.DUMMYFUNCTION("if(isblank(A90),,REGEXMATCH(B90,""^((I ?vs\. ?(U ?D|D ?U))|((D ?U|U ?D) ?vs\. ?I)) *$""))"),FALSE)</f>
        <v>0</v>
      </c>
      <c r="AQ90" s="37" t="b">
        <f>IFERROR(__xludf.DUMMYFUNCTION("if(isblank(A90),,REGEXMATCH(B90,""^((D ?vs\. ?(U ?D|D ?U))|((D ?U|U ?D) ?vs\. ?D)) *$""))"),FALSE)</f>
        <v>0</v>
      </c>
      <c r="AR90" s="37" t="b">
        <f>IFERROR(__xludf.DUMMYFUNCTION("if(isblank(A90),,REGEXMATCH(B90,""^((U ?vs\. ?(U ?D|D ?U))|((D ?U|U ?D) ?vs\. ?U)) *$""))"),FALSE)</f>
        <v>0</v>
      </c>
      <c r="AS90" s="37" t="b">
        <f>IFERROR(__xludf.DUMMYFUNCTION("if(isblank(A90),,REGEXMATCH(B90,""^((D ?I|I ?D) ?vs\. ?(D ?I|I ?D)) *$""))"),FALSE)</f>
        <v>0</v>
      </c>
      <c r="AT90" s="37" t="b">
        <f>IFERROR(__xludf.DUMMYFUNCTION("if(isblank(A90),,REGEXMATCH(B90,""^((D ?I|I ?D) ?vs\. ?(U ?I|I ?U))|((U ?I|I ?U) ?vs\. ?(D ?I|I ?D)) *$""))"),FALSE)</f>
        <v>0</v>
      </c>
      <c r="AU90" s="37" t="b">
        <f>IFERROR(__xludf.DUMMYFUNCTION("if(isblank(A90),,REGEXMATCH(B90,""^((D ?I|I ?D) ?vs\. ?(U ?D|D ?U))|((U ?D|D ?U) ?vs\. ?(D ?I|I ?D)) *$""))"),FALSE)</f>
        <v>0</v>
      </c>
      <c r="AV90" s="37" t="b">
        <f>IFERROR(__xludf.DUMMYFUNCTION("if(isblank(A90),,REGEXMATCH(B90,""^((U ?I|I ?U) ?vs\. ?(U ?I|I ?U)) *$""))"),FALSE)</f>
        <v>0</v>
      </c>
    </row>
    <row r="91" ht="26.25" customHeight="1">
      <c r="A91" s="79" t="str">
        <f>Paper_Textual_Conflict!M91</f>
        <v>U vs. U (version no.) L &gt; R version</v>
      </c>
      <c r="B91" s="37" t="str">
        <f>IFERROR(__xludf.DUMMYFUNCTION("if(isblank(A91),,regexextract(REGEXEXTRACT(A91,""^.*""),""^[^(]*""))"),"U vs. U ")</f>
        <v>U vs. U </v>
      </c>
      <c r="C91" s="37" t="b">
        <f>IFERROR(__xludf.DUMMYFUNCTION("if(isblank(A91),,REGEXMATCH(B91,"".*\+.*"") )"),FALSE)</f>
        <v>0</v>
      </c>
      <c r="D91" s="37" t="b">
        <f>IFERROR(__xludf.DUMMYFUNCTION("if(isblank(A91),,REGEXMATCH(B91,"".*vs.*"") )"),TRUE)</f>
        <v>1</v>
      </c>
      <c r="E91" s="37" t="b">
        <f>Paper_Textual_Conflict!H91</f>
        <v>1</v>
      </c>
      <c r="F91" s="37" t="str">
        <f>Paper_Textual_Conflict!Q91</f>
        <v>Non-Java</v>
      </c>
      <c r="G91" s="33">
        <v>91.0</v>
      </c>
      <c r="H91" s="37" t="b">
        <f>IFERROR(__xludf.DUMMYFUNCTION("if(isblank(A91),,REGEXMATCH(B91,""^I *\+ I *$""))"),FALSE)</f>
        <v>0</v>
      </c>
      <c r="I91" s="37" t="b">
        <f>IFERROR(__xludf.DUMMYFUNCTION("if(isblank(A91),,REGEXMATCH(B91,""(^I *\+ D *$)|(^D *\+ I *$)""))"),FALSE)</f>
        <v>0</v>
      </c>
      <c r="J91" s="37" t="b">
        <f>IFERROR(__xludf.DUMMYFUNCTION("if(isblank(A91),,REGEXMATCH(B91,""(^I *\+ U *$)|(^U *\+ I *$)""))"),FALSE)</f>
        <v>0</v>
      </c>
      <c r="K91" s="37" t="b">
        <f>IFERROR(__xludf.DUMMYFUNCTION("if(isblank(A91),,REGEXMATCH(B91,""(^I *\+ N *$)|(^N *\+ I *$)"") )"),FALSE)</f>
        <v>0</v>
      </c>
      <c r="L91" s="37" t="b">
        <f>IFERROR(__xludf.DUMMYFUNCTION("if(isblank(A91),,REGEXMATCH(B91,""^D *\+ D *$""))"),FALSE)</f>
        <v>0</v>
      </c>
      <c r="M91" s="37" t="b">
        <f>IFERROR(__xludf.DUMMYFUNCTION("if(isblank(A91),,REGEXMATCH(B91,""(^U *\+ D *$)|(^D *\+ U *$)""))"),FALSE)</f>
        <v>0</v>
      </c>
      <c r="N91" s="37" t="b">
        <f>IFERROR(__xludf.DUMMYFUNCTION("if(isblank(A91),,REGEXMATCH(B91,""(^N *\+ D *$)|(^D *\+ N *$)""))"),FALSE)</f>
        <v>0</v>
      </c>
      <c r="O91" s="37" t="b">
        <f>IFERROR(__xludf.DUMMYFUNCTION("if(isblank(A91),,REGEXMATCH(B91,""^U *\+ U *$""))"),FALSE)</f>
        <v>0</v>
      </c>
      <c r="P91" s="37" t="b">
        <f>IFERROR(__xludf.DUMMYFUNCTION("if(isblank(A91),,REGEXMATCH(B91,""(^U *\+ N *$)|(^N *\+ U *$)""))"),FALSE)</f>
        <v>0</v>
      </c>
      <c r="Q91" s="37" t="b">
        <f>IFERROR(__xludf.DUMMYFUNCTION("if(isblank(A91),,REGEXMATCH(B91,""^((I ?\+ ?(D ?I|I ?D))|((D ?I|I ?D) ?\+ ?I)) *$""))"),FALSE)</f>
        <v>0</v>
      </c>
      <c r="R91" s="37" t="b">
        <f>IFERROR(__xludf.DUMMYFUNCTION("if(isblank(A91),,REGEXMATCH(B91,""^((D ?\+ ?(D ?I|I ?D))|((D ?I|I ?D) ?\+ ?D)) *$""))"),FALSE)</f>
        <v>0</v>
      </c>
      <c r="S91" s="37" t="b">
        <f>IFERROR(__xludf.DUMMYFUNCTION("if(isblank(A91),,REGEXMATCH(B91,""^((U ?\+ ?(D ?I|I ?D))|((D ?I|I ?D) ?\+ ?U)) *$""))"),FALSE)</f>
        <v>0</v>
      </c>
      <c r="T91" s="37" t="b">
        <f>IFERROR(__xludf.DUMMYFUNCTION("if(isblank(A91),,REGEXMATCH(B91,""^((N ?\+ ?(D ?I|I ?D))|((D ?I|I ?D) ?\+ ?N)) *$""))"),FALSE)</f>
        <v>0</v>
      </c>
      <c r="U91" s="37" t="b">
        <f>IFERROR(__xludf.DUMMYFUNCTION("if(isblank(A91),,REGEXMATCH(B91,""^((I ?\+ ?(U ?I|I ?U))|((I ?U|U ?I) ?\+ ?I)) *$""))"),FALSE)</f>
        <v>0</v>
      </c>
      <c r="V91" s="37" t="b">
        <f>IFERROR(__xludf.DUMMYFUNCTION("if(isblank(A91),,REGEXMATCH(B91,""^((D ?\+ ?(U ?I|I ?U))|((I ?U|U ?I) ?\+ ?D)) *$""))"),FALSE)</f>
        <v>0</v>
      </c>
      <c r="W91" s="37" t="b">
        <f>IFERROR(__xludf.DUMMYFUNCTION("if(isblank(A91),,REGEXMATCH(B91,""^((U ?\+ ?(U ?I|I ?U))|((I ?U|U ?I) ?\+ ?U)) *$""))"),FALSE)</f>
        <v>0</v>
      </c>
      <c r="X91" s="37" t="b">
        <f>IFERROR(__xludf.DUMMYFUNCTION("if(isblank(A91),,REGEXMATCH(B91,""^((N ?\+ ?(U ?I|I ?U))|((I ?U|U ?I) ?\+ ?N)) *$""))"),FALSE)</f>
        <v>0</v>
      </c>
      <c r="Y91" s="37" t="b">
        <f>IFERROR(__xludf.DUMMYFUNCTION("if(isblank(A91),,REGEXMATCH(B91,""^((I ?\+ ?(U ?D|D ?U))|((D ?U|U ?D) ?\+ ?I)) *$""))"),FALSE)</f>
        <v>0</v>
      </c>
      <c r="Z91" s="37" t="b">
        <f>IFERROR(__xludf.DUMMYFUNCTION("if(isblank(A91),,REGEXMATCH(B91,""^((D ?\+ ?(U ?D|D ?U))|((D ?U|U ?D) ?\+ ?D)) *$""))"),FALSE)</f>
        <v>0</v>
      </c>
      <c r="AA91" s="37" t="b">
        <f>IFERROR(__xludf.DUMMYFUNCTION("if(isblank(A91),,REGEXMATCH(B91,""^((U ?\+ ?(U ?D|D ?U))|((D ?U|U ?D) ?\+ ?U)) *$""))"),FALSE)</f>
        <v>0</v>
      </c>
      <c r="AB91" s="37" t="b">
        <f>IFERROR(__xludf.DUMMYFUNCTION("if(isblank(A91),,REGEXMATCH(B91,""^((D ?I|I ?D) ?\+ ?(D ?I|I ?D)) *$""))"),FALSE)</f>
        <v>0</v>
      </c>
      <c r="AC91" s="37" t="b">
        <f>IFERROR(__xludf.DUMMYFUNCTION("if(isblank(A91),,REGEXMATCH(B91,""^((D ?I|I ?D) ?\+ ?(U ?I|I ?U))|((U ?I|I ?U) ?\+ ?(D ?I|I ?D)) *$""))"),FALSE)</f>
        <v>0</v>
      </c>
      <c r="AD91" s="37" t="b">
        <f>IFERROR(__xludf.DUMMYFUNCTION("if(isblank(A91),,REGEXMATCH(B91,""^I *vs\. I *$""))"),FALSE)</f>
        <v>0</v>
      </c>
      <c r="AE91" s="37" t="b">
        <f>IFERROR(__xludf.DUMMYFUNCTION("if(isblank(A91),,REGEXMATCH(B91,""(^I *vs\. D *$)|(^D *vs\. I *$)""))"),FALSE)</f>
        <v>0</v>
      </c>
      <c r="AF91" s="37" t="b">
        <f>IFERROR(__xludf.DUMMYFUNCTION("if(isblank(A91),,REGEXMATCH(B91,""(^I *vs\. U *$)|(^U *vs\. I *$)""))"),FALSE)</f>
        <v>0</v>
      </c>
      <c r="AG91" s="37" t="b">
        <f>IFERROR(__xludf.DUMMYFUNCTION("if(isblank(A91),,REGEXMATCH(B91,""^D *vs\. D *$""))"),FALSE)</f>
        <v>0</v>
      </c>
      <c r="AH91" s="37" t="b">
        <f>IFERROR(__xludf.DUMMYFUNCTION("if(isblank(A91),,REGEXMATCH(B91,""(^U *vs\. D *$)|(^D *vs\. U *$)""))"),FALSE)</f>
        <v>0</v>
      </c>
      <c r="AI91" s="37" t="b">
        <f>IFERROR(__xludf.DUMMYFUNCTION("if(isblank(A91),,REGEXMATCH(B91,""^U *vs\. U *$""))"),TRUE)</f>
        <v>1</v>
      </c>
      <c r="AJ91" s="37" t="b">
        <f>IFERROR(__xludf.DUMMYFUNCTION("if(isblank(A91),,REGEXMATCH(B91,""^((I ?vs\. ?(D ?I|I ?D))|((D ?I|I ?D) ?vs\. ?I)) *$""))"),FALSE)</f>
        <v>0</v>
      </c>
      <c r="AK91" s="37" t="b">
        <f>IFERROR(__xludf.DUMMYFUNCTION("if(isblank(A91),,REGEXMATCH(B91,""^((D ?vs\. ?(D ?I|I ?D))|((D ?I|I ?D) ?vs\. ?D)) *$""))"),FALSE)</f>
        <v>0</v>
      </c>
      <c r="AL91" s="37" t="b">
        <f>IFERROR(__xludf.DUMMYFUNCTION("if(isblank(A91),,REGEXMATCH(B91,""^((U ?vs\. ?(D ?I|I ?D))|((D ?I|I ?D) ?vs\. ?U)) *$""))"),FALSE)</f>
        <v>0</v>
      </c>
      <c r="AM91" s="37" t="b">
        <f>IFERROR(__xludf.DUMMYFUNCTION("if(isblank(A91),,REGEXMATCH(B91,""^((I ?vs\. ?(U ?I|I ?U))|((U ?I|I ?U) ?vs\. ?I)) *$""))"),FALSE)</f>
        <v>0</v>
      </c>
      <c r="AN91" s="37" t="b">
        <f>IFERROR(__xludf.DUMMYFUNCTION("if(isblank(A91),,REGEXMATCH(B91,""^((D ?vs\. ?(U ?I|I ?U))|((U ?I|I ?U) ?vs\. ?D)) *$""))"),FALSE)</f>
        <v>0</v>
      </c>
      <c r="AO91" s="37" t="b">
        <f>IFERROR(__xludf.DUMMYFUNCTION("if(isblank(A91),,REGEXMATCH(B91,""^((U ?vs\. ?(U ?I|I ?U))|((U ?I|I ?U) ?vs\. ?U)) *$""))"),FALSE)</f>
        <v>0</v>
      </c>
      <c r="AP91" s="37" t="b">
        <f>IFERROR(__xludf.DUMMYFUNCTION("if(isblank(A91),,REGEXMATCH(B91,""^((I ?vs\. ?(U ?D|D ?U))|((D ?U|U ?D) ?vs\. ?I)) *$""))"),FALSE)</f>
        <v>0</v>
      </c>
      <c r="AQ91" s="37" t="b">
        <f>IFERROR(__xludf.DUMMYFUNCTION("if(isblank(A91),,REGEXMATCH(B91,""^((D ?vs\. ?(U ?D|D ?U))|((D ?U|U ?D) ?vs\. ?D)) *$""))"),FALSE)</f>
        <v>0</v>
      </c>
      <c r="AR91" s="37" t="b">
        <f>IFERROR(__xludf.DUMMYFUNCTION("if(isblank(A91),,REGEXMATCH(B91,""^((U ?vs\. ?(U ?D|D ?U))|((D ?U|U ?D) ?vs\. ?U)) *$""))"),FALSE)</f>
        <v>0</v>
      </c>
      <c r="AS91" s="37" t="b">
        <f>IFERROR(__xludf.DUMMYFUNCTION("if(isblank(A91),,REGEXMATCH(B91,""^((D ?I|I ?D) ?vs\. ?(D ?I|I ?D)) *$""))"),FALSE)</f>
        <v>0</v>
      </c>
      <c r="AT91" s="37" t="b">
        <f>IFERROR(__xludf.DUMMYFUNCTION("if(isblank(A91),,REGEXMATCH(B91,""^((D ?I|I ?D) ?vs\. ?(U ?I|I ?U))|((U ?I|I ?U) ?vs\. ?(D ?I|I ?D)) *$""))"),FALSE)</f>
        <v>0</v>
      </c>
      <c r="AU91" s="37" t="b">
        <f>IFERROR(__xludf.DUMMYFUNCTION("if(isblank(A91),,REGEXMATCH(B91,""^((D ?I|I ?D) ?vs\. ?(U ?D|D ?U))|((U ?D|D ?U) ?vs\. ?(D ?I|I ?D)) *$""))"),FALSE)</f>
        <v>0</v>
      </c>
      <c r="AV91" s="37" t="b">
        <f>IFERROR(__xludf.DUMMYFUNCTION("if(isblank(A91),,REGEXMATCH(B91,""^((U ?I|I ?U) ?vs\. ?(U ?I|I ?U)) *$""))"),FALSE)</f>
        <v>0</v>
      </c>
    </row>
    <row r="92" ht="26.25" customHeight="1">
      <c r="A92" s="79" t="str">
        <f>Paper_Textual_Conflict!M92</f>
        <v>U + U I (expression)</v>
      </c>
      <c r="B92" s="37" t="str">
        <f>IFERROR(__xludf.DUMMYFUNCTION("if(isblank(A92),,regexextract(REGEXEXTRACT(A92,""^.*""),""^[^(]*""))"),"U + U I ")</f>
        <v>U + U I </v>
      </c>
      <c r="C92" s="37" t="b">
        <f>IFERROR(__xludf.DUMMYFUNCTION("if(isblank(A92),,REGEXMATCH(B92,"".*\+.*"") )"),TRUE)</f>
        <v>1</v>
      </c>
      <c r="D92" s="37" t="b">
        <f>IFERROR(__xludf.DUMMYFUNCTION("if(isblank(A92),,REGEXMATCH(B92,"".*vs.*"") )"),FALSE)</f>
        <v>0</v>
      </c>
      <c r="E92" s="37" t="b">
        <f>Paper_Textual_Conflict!H92</f>
        <v>0</v>
      </c>
      <c r="F92" s="37" t="str">
        <f>Paper_Textual_Conflict!Q92</f>
        <v>Non-Java</v>
      </c>
      <c r="G92" s="33">
        <v>92.0</v>
      </c>
      <c r="H92" s="37" t="b">
        <f>IFERROR(__xludf.DUMMYFUNCTION("if(isblank(A92),,REGEXMATCH(B92,""^I *\+ I *$""))"),FALSE)</f>
        <v>0</v>
      </c>
      <c r="I92" s="37" t="b">
        <f>IFERROR(__xludf.DUMMYFUNCTION("if(isblank(A92),,REGEXMATCH(B92,""(^I *\+ D *$)|(^D *\+ I *$)""))"),FALSE)</f>
        <v>0</v>
      </c>
      <c r="J92" s="37" t="b">
        <f>IFERROR(__xludf.DUMMYFUNCTION("if(isblank(A92),,REGEXMATCH(B92,""(^I *\+ U *$)|(^U *\+ I *$)""))"),FALSE)</f>
        <v>0</v>
      </c>
      <c r="K92" s="37" t="b">
        <f>IFERROR(__xludf.DUMMYFUNCTION("if(isblank(A92),,REGEXMATCH(B92,""(^I *\+ N *$)|(^N *\+ I *$)"") )"),FALSE)</f>
        <v>0</v>
      </c>
      <c r="L92" s="37" t="b">
        <f>IFERROR(__xludf.DUMMYFUNCTION("if(isblank(A92),,REGEXMATCH(B92,""^D *\+ D *$""))"),FALSE)</f>
        <v>0</v>
      </c>
      <c r="M92" s="37" t="b">
        <f>IFERROR(__xludf.DUMMYFUNCTION("if(isblank(A92),,REGEXMATCH(B92,""(^U *\+ D *$)|(^D *\+ U *$)""))"),FALSE)</f>
        <v>0</v>
      </c>
      <c r="N92" s="37" t="b">
        <f>IFERROR(__xludf.DUMMYFUNCTION("if(isblank(A92),,REGEXMATCH(B92,""(^N *\+ D *$)|(^D *\+ N *$)""))"),FALSE)</f>
        <v>0</v>
      </c>
      <c r="O92" s="37" t="b">
        <f>IFERROR(__xludf.DUMMYFUNCTION("if(isblank(A92),,REGEXMATCH(B92,""^U *\+ U *$""))"),FALSE)</f>
        <v>0</v>
      </c>
      <c r="P92" s="37" t="b">
        <f>IFERROR(__xludf.DUMMYFUNCTION("if(isblank(A92),,REGEXMATCH(B92,""(^U *\+ N *$)|(^N *\+ U *$)""))"),FALSE)</f>
        <v>0</v>
      </c>
      <c r="Q92" s="37" t="b">
        <f>IFERROR(__xludf.DUMMYFUNCTION("if(isblank(A92),,REGEXMATCH(B92,""^((I ?\+ ?(D ?I|I ?D))|((D ?I|I ?D) ?\+ ?I)) *$""))"),FALSE)</f>
        <v>0</v>
      </c>
      <c r="R92" s="37" t="b">
        <f>IFERROR(__xludf.DUMMYFUNCTION("if(isblank(A92),,REGEXMATCH(B92,""^((D ?\+ ?(D ?I|I ?D))|((D ?I|I ?D) ?\+ ?D)) *$""))"),FALSE)</f>
        <v>0</v>
      </c>
      <c r="S92" s="37" t="b">
        <f>IFERROR(__xludf.DUMMYFUNCTION("if(isblank(A92),,REGEXMATCH(B92,""^((U ?\+ ?(D ?I|I ?D))|((D ?I|I ?D) ?\+ ?U)) *$""))"),FALSE)</f>
        <v>0</v>
      </c>
      <c r="T92" s="37" t="b">
        <f>IFERROR(__xludf.DUMMYFUNCTION("if(isblank(A92),,REGEXMATCH(B92,""^((N ?\+ ?(D ?I|I ?D))|((D ?I|I ?D) ?\+ ?N)) *$""))"),FALSE)</f>
        <v>0</v>
      </c>
      <c r="U92" s="37" t="b">
        <f>IFERROR(__xludf.DUMMYFUNCTION("if(isblank(A92),,REGEXMATCH(B92,""^((I ?\+ ?(U ?I|I ?U))|((I ?U|U ?I) ?\+ ?I)) *$""))"),FALSE)</f>
        <v>0</v>
      </c>
      <c r="V92" s="37" t="b">
        <f>IFERROR(__xludf.DUMMYFUNCTION("if(isblank(A92),,REGEXMATCH(B92,""^((D ?\+ ?(U ?I|I ?U))|((I ?U|U ?I) ?\+ ?D)) *$""))"),FALSE)</f>
        <v>0</v>
      </c>
      <c r="W92" s="37" t="b">
        <f>IFERROR(__xludf.DUMMYFUNCTION("if(isblank(A92),,REGEXMATCH(B92,""^((U ?\+ ?(U ?I|I ?U))|((I ?U|U ?I) ?\+ ?U)) *$""))"),TRUE)</f>
        <v>1</v>
      </c>
      <c r="X92" s="37" t="b">
        <f>IFERROR(__xludf.DUMMYFUNCTION("if(isblank(A92),,REGEXMATCH(B92,""^((N ?\+ ?(U ?I|I ?U))|((I ?U|U ?I) ?\+ ?N)) *$""))"),FALSE)</f>
        <v>0</v>
      </c>
      <c r="Y92" s="37" t="b">
        <f>IFERROR(__xludf.DUMMYFUNCTION("if(isblank(A92),,REGEXMATCH(B92,""^((I ?\+ ?(U ?D|D ?U))|((D ?U|U ?D) ?\+ ?I)) *$""))"),FALSE)</f>
        <v>0</v>
      </c>
      <c r="Z92" s="37" t="b">
        <f>IFERROR(__xludf.DUMMYFUNCTION("if(isblank(A92),,REGEXMATCH(B92,""^((D ?\+ ?(U ?D|D ?U))|((D ?U|U ?D) ?\+ ?D)) *$""))"),FALSE)</f>
        <v>0</v>
      </c>
      <c r="AA92" s="37" t="b">
        <f>IFERROR(__xludf.DUMMYFUNCTION("if(isblank(A92),,REGEXMATCH(B92,""^((U ?\+ ?(U ?D|D ?U))|((D ?U|U ?D) ?\+ ?U)) *$""))"),FALSE)</f>
        <v>0</v>
      </c>
      <c r="AB92" s="37" t="b">
        <f>IFERROR(__xludf.DUMMYFUNCTION("if(isblank(A92),,REGEXMATCH(B92,""^((D ?I|I ?D) ?\+ ?(D ?I|I ?D)) *$""))"),FALSE)</f>
        <v>0</v>
      </c>
      <c r="AC92" s="37" t="b">
        <f>IFERROR(__xludf.DUMMYFUNCTION("if(isblank(A92),,REGEXMATCH(B92,""^((D ?I|I ?D) ?\+ ?(U ?I|I ?U))|((U ?I|I ?U) ?\+ ?(D ?I|I ?D)) *$""))"),FALSE)</f>
        <v>0</v>
      </c>
      <c r="AD92" s="37" t="b">
        <f>IFERROR(__xludf.DUMMYFUNCTION("if(isblank(A92),,REGEXMATCH(B92,""^I *vs\. I *$""))"),FALSE)</f>
        <v>0</v>
      </c>
      <c r="AE92" s="37" t="b">
        <f>IFERROR(__xludf.DUMMYFUNCTION("if(isblank(A92),,REGEXMATCH(B92,""(^I *vs\. D *$)|(^D *vs\. I *$)""))"),FALSE)</f>
        <v>0</v>
      </c>
      <c r="AF92" s="37" t="b">
        <f>IFERROR(__xludf.DUMMYFUNCTION("if(isblank(A92),,REGEXMATCH(B92,""(^I *vs\. U *$)|(^U *vs\. I *$)""))"),FALSE)</f>
        <v>0</v>
      </c>
      <c r="AG92" s="37" t="b">
        <f>IFERROR(__xludf.DUMMYFUNCTION("if(isblank(A92),,REGEXMATCH(B92,""^D *vs\. D *$""))"),FALSE)</f>
        <v>0</v>
      </c>
      <c r="AH92" s="37" t="b">
        <f>IFERROR(__xludf.DUMMYFUNCTION("if(isblank(A92),,REGEXMATCH(B92,""(^U *vs\. D *$)|(^D *vs\. U *$)""))"),FALSE)</f>
        <v>0</v>
      </c>
      <c r="AI92" s="37" t="b">
        <f>IFERROR(__xludf.DUMMYFUNCTION("if(isblank(A92),,REGEXMATCH(B92,""^U *vs\. U *$""))"),FALSE)</f>
        <v>0</v>
      </c>
      <c r="AJ92" s="37" t="b">
        <f>IFERROR(__xludf.DUMMYFUNCTION("if(isblank(A92),,REGEXMATCH(B92,""^((I ?vs\. ?(D ?I|I ?D))|((D ?I|I ?D) ?vs\. ?I)) *$""))"),FALSE)</f>
        <v>0</v>
      </c>
      <c r="AK92" s="37" t="b">
        <f>IFERROR(__xludf.DUMMYFUNCTION("if(isblank(A92),,REGEXMATCH(B92,""^((D ?vs\. ?(D ?I|I ?D))|((D ?I|I ?D) ?vs\. ?D)) *$""))"),FALSE)</f>
        <v>0</v>
      </c>
      <c r="AL92" s="37" t="b">
        <f>IFERROR(__xludf.DUMMYFUNCTION("if(isblank(A92),,REGEXMATCH(B92,""^((U ?vs\. ?(D ?I|I ?D))|((D ?I|I ?D) ?vs\. ?U)) *$""))"),FALSE)</f>
        <v>0</v>
      </c>
      <c r="AM92" s="37" t="b">
        <f>IFERROR(__xludf.DUMMYFUNCTION("if(isblank(A92),,REGEXMATCH(B92,""^((I ?vs\. ?(U ?I|I ?U))|((U ?I|I ?U) ?vs\. ?I)) *$""))"),FALSE)</f>
        <v>0</v>
      </c>
      <c r="AN92" s="37" t="b">
        <f>IFERROR(__xludf.DUMMYFUNCTION("if(isblank(A92),,REGEXMATCH(B92,""^((D ?vs\. ?(U ?I|I ?U))|((U ?I|I ?U) ?vs\. ?D)) *$""))"),FALSE)</f>
        <v>0</v>
      </c>
      <c r="AO92" s="37" t="b">
        <f>IFERROR(__xludf.DUMMYFUNCTION("if(isblank(A92),,REGEXMATCH(B92,""^((U ?vs\. ?(U ?I|I ?U))|((U ?I|I ?U) ?vs\. ?U)) *$""))"),FALSE)</f>
        <v>0</v>
      </c>
      <c r="AP92" s="37" t="b">
        <f>IFERROR(__xludf.DUMMYFUNCTION("if(isblank(A92),,REGEXMATCH(B92,""^((I ?vs\. ?(U ?D|D ?U))|((D ?U|U ?D) ?vs\. ?I)) *$""))"),FALSE)</f>
        <v>0</v>
      </c>
      <c r="AQ92" s="37" t="b">
        <f>IFERROR(__xludf.DUMMYFUNCTION("if(isblank(A92),,REGEXMATCH(B92,""^((D ?vs\. ?(U ?D|D ?U))|((D ?U|U ?D) ?vs\. ?D)) *$""))"),FALSE)</f>
        <v>0</v>
      </c>
      <c r="AR92" s="37" t="b">
        <f>IFERROR(__xludf.DUMMYFUNCTION("if(isblank(A92),,REGEXMATCH(B92,""^((U ?vs\. ?(U ?D|D ?U))|((D ?U|U ?D) ?vs\. ?U)) *$""))"),FALSE)</f>
        <v>0</v>
      </c>
      <c r="AS92" s="37" t="b">
        <f>IFERROR(__xludf.DUMMYFUNCTION("if(isblank(A92),,REGEXMATCH(B92,""^((D ?I|I ?D) ?vs\. ?(D ?I|I ?D)) *$""))"),FALSE)</f>
        <v>0</v>
      </c>
      <c r="AT92" s="37" t="b">
        <f>IFERROR(__xludf.DUMMYFUNCTION("if(isblank(A92),,REGEXMATCH(B92,""^((D ?I|I ?D) ?vs\. ?(U ?I|I ?U))|((U ?I|I ?U) ?vs\. ?(D ?I|I ?D)) *$""))"),FALSE)</f>
        <v>0</v>
      </c>
      <c r="AU92" s="37" t="b">
        <f>IFERROR(__xludf.DUMMYFUNCTION("if(isblank(A92),,REGEXMATCH(B92,""^((D ?I|I ?D) ?vs\. ?(U ?D|D ?U))|((U ?D|D ?U) ?vs\. ?(D ?I|I ?D)) *$""))"),FALSE)</f>
        <v>0</v>
      </c>
      <c r="AV92" s="37" t="b">
        <f>IFERROR(__xludf.DUMMYFUNCTION("if(isblank(A92),,REGEXMATCH(B92,""^((U ?I|I ?U) ?vs\. ?(U ?I|I ?U)) *$""))"),FALSE)</f>
        <v>0</v>
      </c>
    </row>
    <row r="93" ht="26.25" customHeight="1">
      <c r="A93" s="79" t="str">
        <f>Paper_Textual_Conflict!M93</f>
        <v>U vs. U (text)</v>
      </c>
      <c r="B93" s="37" t="str">
        <f>IFERROR(__xludf.DUMMYFUNCTION("if(isblank(A93),,regexextract(REGEXEXTRACT(A93,""^.*""),""^[^(]*""))"),"U vs. U ")</f>
        <v>U vs. U </v>
      </c>
      <c r="C93" s="37" t="b">
        <f>IFERROR(__xludf.DUMMYFUNCTION("if(isblank(A93),,REGEXMATCH(B93,"".*\+.*"") )"),FALSE)</f>
        <v>0</v>
      </c>
      <c r="D93" s="37" t="b">
        <f>IFERROR(__xludf.DUMMYFUNCTION("if(isblank(A93),,REGEXMATCH(B93,"".*vs.*"") )"),TRUE)</f>
        <v>1</v>
      </c>
      <c r="E93" s="37" t="b">
        <f>Paper_Textual_Conflict!H93</f>
        <v>1</v>
      </c>
      <c r="F93" s="37" t="str">
        <f>Paper_Textual_Conflict!Q93</f>
        <v>Non-Java</v>
      </c>
      <c r="G93" s="33">
        <v>93.0</v>
      </c>
      <c r="H93" s="37" t="b">
        <f>IFERROR(__xludf.DUMMYFUNCTION("if(isblank(A93),,REGEXMATCH(B93,""^I *\+ I *$""))"),FALSE)</f>
        <v>0</v>
      </c>
      <c r="I93" s="37" t="b">
        <f>IFERROR(__xludf.DUMMYFUNCTION("if(isblank(A93),,REGEXMATCH(B93,""(^I *\+ D *$)|(^D *\+ I *$)""))"),FALSE)</f>
        <v>0</v>
      </c>
      <c r="J93" s="37" t="b">
        <f>IFERROR(__xludf.DUMMYFUNCTION("if(isblank(A93),,REGEXMATCH(B93,""(^I *\+ U *$)|(^U *\+ I *$)""))"),FALSE)</f>
        <v>0</v>
      </c>
      <c r="K93" s="37" t="b">
        <f>IFERROR(__xludf.DUMMYFUNCTION("if(isblank(A93),,REGEXMATCH(B93,""(^I *\+ N *$)|(^N *\+ I *$)"") )"),FALSE)</f>
        <v>0</v>
      </c>
      <c r="L93" s="37" t="b">
        <f>IFERROR(__xludf.DUMMYFUNCTION("if(isblank(A93),,REGEXMATCH(B93,""^D *\+ D *$""))"),FALSE)</f>
        <v>0</v>
      </c>
      <c r="M93" s="37" t="b">
        <f>IFERROR(__xludf.DUMMYFUNCTION("if(isblank(A93),,REGEXMATCH(B93,""(^U *\+ D *$)|(^D *\+ U *$)""))"),FALSE)</f>
        <v>0</v>
      </c>
      <c r="N93" s="37" t="b">
        <f>IFERROR(__xludf.DUMMYFUNCTION("if(isblank(A93),,REGEXMATCH(B93,""(^N *\+ D *$)|(^D *\+ N *$)""))"),FALSE)</f>
        <v>0</v>
      </c>
      <c r="O93" s="37" t="b">
        <f>IFERROR(__xludf.DUMMYFUNCTION("if(isblank(A93),,REGEXMATCH(B93,""^U *\+ U *$""))"),FALSE)</f>
        <v>0</v>
      </c>
      <c r="P93" s="37" t="b">
        <f>IFERROR(__xludf.DUMMYFUNCTION("if(isblank(A93),,REGEXMATCH(B93,""(^U *\+ N *$)|(^N *\+ U *$)""))"),FALSE)</f>
        <v>0</v>
      </c>
      <c r="Q93" s="37" t="b">
        <f>IFERROR(__xludf.DUMMYFUNCTION("if(isblank(A93),,REGEXMATCH(B93,""^((I ?\+ ?(D ?I|I ?D))|((D ?I|I ?D) ?\+ ?I)) *$""))"),FALSE)</f>
        <v>0</v>
      </c>
      <c r="R93" s="37" t="b">
        <f>IFERROR(__xludf.DUMMYFUNCTION("if(isblank(A93),,REGEXMATCH(B93,""^((D ?\+ ?(D ?I|I ?D))|((D ?I|I ?D) ?\+ ?D)) *$""))"),FALSE)</f>
        <v>0</v>
      </c>
      <c r="S93" s="37" t="b">
        <f>IFERROR(__xludf.DUMMYFUNCTION("if(isblank(A93),,REGEXMATCH(B93,""^((U ?\+ ?(D ?I|I ?D))|((D ?I|I ?D) ?\+ ?U)) *$""))"),FALSE)</f>
        <v>0</v>
      </c>
      <c r="T93" s="37" t="b">
        <f>IFERROR(__xludf.DUMMYFUNCTION("if(isblank(A93),,REGEXMATCH(B93,""^((N ?\+ ?(D ?I|I ?D))|((D ?I|I ?D) ?\+ ?N)) *$""))"),FALSE)</f>
        <v>0</v>
      </c>
      <c r="U93" s="37" t="b">
        <f>IFERROR(__xludf.DUMMYFUNCTION("if(isblank(A93),,REGEXMATCH(B93,""^((I ?\+ ?(U ?I|I ?U))|((I ?U|U ?I) ?\+ ?I)) *$""))"),FALSE)</f>
        <v>0</v>
      </c>
      <c r="V93" s="37" t="b">
        <f>IFERROR(__xludf.DUMMYFUNCTION("if(isblank(A93),,REGEXMATCH(B93,""^((D ?\+ ?(U ?I|I ?U))|((I ?U|U ?I) ?\+ ?D)) *$""))"),FALSE)</f>
        <v>0</v>
      </c>
      <c r="W93" s="37" t="b">
        <f>IFERROR(__xludf.DUMMYFUNCTION("if(isblank(A93),,REGEXMATCH(B93,""^((U ?\+ ?(U ?I|I ?U))|((I ?U|U ?I) ?\+ ?U)) *$""))"),FALSE)</f>
        <v>0</v>
      </c>
      <c r="X93" s="37" t="b">
        <f>IFERROR(__xludf.DUMMYFUNCTION("if(isblank(A93),,REGEXMATCH(B93,""^((N ?\+ ?(U ?I|I ?U))|((I ?U|U ?I) ?\+ ?N)) *$""))"),FALSE)</f>
        <v>0</v>
      </c>
      <c r="Y93" s="37" t="b">
        <f>IFERROR(__xludf.DUMMYFUNCTION("if(isblank(A93),,REGEXMATCH(B93,""^((I ?\+ ?(U ?D|D ?U))|((D ?U|U ?D) ?\+ ?I)) *$""))"),FALSE)</f>
        <v>0</v>
      </c>
      <c r="Z93" s="37" t="b">
        <f>IFERROR(__xludf.DUMMYFUNCTION("if(isblank(A93),,REGEXMATCH(B93,""^((D ?\+ ?(U ?D|D ?U))|((D ?U|U ?D) ?\+ ?D)) *$""))"),FALSE)</f>
        <v>0</v>
      </c>
      <c r="AA93" s="37" t="b">
        <f>IFERROR(__xludf.DUMMYFUNCTION("if(isblank(A93),,REGEXMATCH(B93,""^((U ?\+ ?(U ?D|D ?U))|((D ?U|U ?D) ?\+ ?U)) *$""))"),FALSE)</f>
        <v>0</v>
      </c>
      <c r="AB93" s="37" t="b">
        <f>IFERROR(__xludf.DUMMYFUNCTION("if(isblank(A93),,REGEXMATCH(B93,""^((D ?I|I ?D) ?\+ ?(D ?I|I ?D)) *$""))"),FALSE)</f>
        <v>0</v>
      </c>
      <c r="AC93" s="37" t="b">
        <f>IFERROR(__xludf.DUMMYFUNCTION("if(isblank(A93),,REGEXMATCH(B93,""^((D ?I|I ?D) ?\+ ?(U ?I|I ?U))|((U ?I|I ?U) ?\+ ?(D ?I|I ?D)) *$""))"),FALSE)</f>
        <v>0</v>
      </c>
      <c r="AD93" s="37" t="b">
        <f>IFERROR(__xludf.DUMMYFUNCTION("if(isblank(A93),,REGEXMATCH(B93,""^I *vs\. I *$""))"),FALSE)</f>
        <v>0</v>
      </c>
      <c r="AE93" s="37" t="b">
        <f>IFERROR(__xludf.DUMMYFUNCTION("if(isblank(A93),,REGEXMATCH(B93,""(^I *vs\. D *$)|(^D *vs\. I *$)""))"),FALSE)</f>
        <v>0</v>
      </c>
      <c r="AF93" s="37" t="b">
        <f>IFERROR(__xludf.DUMMYFUNCTION("if(isblank(A93),,REGEXMATCH(B93,""(^I *vs\. U *$)|(^U *vs\. I *$)""))"),FALSE)</f>
        <v>0</v>
      </c>
      <c r="AG93" s="37" t="b">
        <f>IFERROR(__xludf.DUMMYFUNCTION("if(isblank(A93),,REGEXMATCH(B93,""^D *vs\. D *$""))"),FALSE)</f>
        <v>0</v>
      </c>
      <c r="AH93" s="37" t="b">
        <f>IFERROR(__xludf.DUMMYFUNCTION("if(isblank(A93),,REGEXMATCH(B93,""(^U *vs\. D *$)|(^D *vs\. U *$)""))"),FALSE)</f>
        <v>0</v>
      </c>
      <c r="AI93" s="37" t="b">
        <f>IFERROR(__xludf.DUMMYFUNCTION("if(isblank(A93),,REGEXMATCH(B93,""^U *vs\. U *$""))"),TRUE)</f>
        <v>1</v>
      </c>
      <c r="AJ93" s="37" t="b">
        <f>IFERROR(__xludf.DUMMYFUNCTION("if(isblank(A93),,REGEXMATCH(B93,""^((I ?vs\. ?(D ?I|I ?D))|((D ?I|I ?D) ?vs\. ?I)) *$""))"),FALSE)</f>
        <v>0</v>
      </c>
      <c r="AK93" s="37" t="b">
        <f>IFERROR(__xludf.DUMMYFUNCTION("if(isblank(A93),,REGEXMATCH(B93,""^((D ?vs\. ?(D ?I|I ?D))|((D ?I|I ?D) ?vs\. ?D)) *$""))"),FALSE)</f>
        <v>0</v>
      </c>
      <c r="AL93" s="37" t="b">
        <f>IFERROR(__xludf.DUMMYFUNCTION("if(isblank(A93),,REGEXMATCH(B93,""^((U ?vs\. ?(D ?I|I ?D))|((D ?I|I ?D) ?vs\. ?U)) *$""))"),FALSE)</f>
        <v>0</v>
      </c>
      <c r="AM93" s="37" t="b">
        <f>IFERROR(__xludf.DUMMYFUNCTION("if(isblank(A93),,REGEXMATCH(B93,""^((I ?vs\. ?(U ?I|I ?U))|((U ?I|I ?U) ?vs\. ?I)) *$""))"),FALSE)</f>
        <v>0</v>
      </c>
      <c r="AN93" s="37" t="b">
        <f>IFERROR(__xludf.DUMMYFUNCTION("if(isblank(A93),,REGEXMATCH(B93,""^((D ?vs\. ?(U ?I|I ?U))|((U ?I|I ?U) ?vs\. ?D)) *$""))"),FALSE)</f>
        <v>0</v>
      </c>
      <c r="AO93" s="37" t="b">
        <f>IFERROR(__xludf.DUMMYFUNCTION("if(isblank(A93),,REGEXMATCH(B93,""^((U ?vs\. ?(U ?I|I ?U))|((U ?I|I ?U) ?vs\. ?U)) *$""))"),FALSE)</f>
        <v>0</v>
      </c>
      <c r="AP93" s="37" t="b">
        <f>IFERROR(__xludf.DUMMYFUNCTION("if(isblank(A93),,REGEXMATCH(B93,""^((I ?vs\. ?(U ?D|D ?U))|((D ?U|U ?D) ?vs\. ?I)) *$""))"),FALSE)</f>
        <v>0</v>
      </c>
      <c r="AQ93" s="37" t="b">
        <f>IFERROR(__xludf.DUMMYFUNCTION("if(isblank(A93),,REGEXMATCH(B93,""^((D ?vs\. ?(U ?D|D ?U))|((D ?U|U ?D) ?vs\. ?D)) *$""))"),FALSE)</f>
        <v>0</v>
      </c>
      <c r="AR93" s="37" t="b">
        <f>IFERROR(__xludf.DUMMYFUNCTION("if(isblank(A93),,REGEXMATCH(B93,""^((U ?vs\. ?(U ?D|D ?U))|((D ?U|U ?D) ?vs\. ?U)) *$""))"),FALSE)</f>
        <v>0</v>
      </c>
      <c r="AS93" s="37" t="b">
        <f>IFERROR(__xludf.DUMMYFUNCTION("if(isblank(A93),,REGEXMATCH(B93,""^((D ?I|I ?D) ?vs\. ?(D ?I|I ?D)) *$""))"),FALSE)</f>
        <v>0</v>
      </c>
      <c r="AT93" s="37" t="b">
        <f>IFERROR(__xludf.DUMMYFUNCTION("if(isblank(A93),,REGEXMATCH(B93,""^((D ?I|I ?D) ?vs\. ?(U ?I|I ?U))|((U ?I|I ?U) ?vs\. ?(D ?I|I ?D)) *$""))"),FALSE)</f>
        <v>0</v>
      </c>
      <c r="AU93" s="37" t="b">
        <f>IFERROR(__xludf.DUMMYFUNCTION("if(isblank(A93),,REGEXMATCH(B93,""^((D ?I|I ?D) ?vs\. ?(U ?D|D ?U))|((U ?D|D ?U) ?vs\. ?(D ?I|I ?D)) *$""))"),FALSE)</f>
        <v>0</v>
      </c>
      <c r="AV93" s="37" t="b">
        <f>IFERROR(__xludf.DUMMYFUNCTION("if(isblank(A93),,REGEXMATCH(B93,""^((U ?I|I ?U) ?vs\. ?(U ?I|I ?U)) *$""))"),FALSE)</f>
        <v>0</v>
      </c>
    </row>
    <row r="94" ht="26.25" customHeight="1">
      <c r="A94" s="79" t="str">
        <f>Paper_Textual_Conflict!M94</f>
        <v>I vs. I(import)</v>
      </c>
      <c r="B94" s="37" t="str">
        <f>IFERROR(__xludf.DUMMYFUNCTION("if(isblank(A94),,regexextract(REGEXEXTRACT(A94,""^.*""),""^[^(]*""))"),"I vs. I")</f>
        <v>I vs. I</v>
      </c>
      <c r="C94" s="37" t="b">
        <f>IFERROR(__xludf.DUMMYFUNCTION("if(isblank(A94),,REGEXMATCH(B94,"".*\+.*"") )"),FALSE)</f>
        <v>0</v>
      </c>
      <c r="D94" s="37" t="b">
        <f>IFERROR(__xludf.DUMMYFUNCTION("if(isblank(A94),,REGEXMATCH(B94,"".*vs.*"") )"),TRUE)</f>
        <v>1</v>
      </c>
      <c r="E94" s="37" t="b">
        <f>Paper_Textual_Conflict!H94</f>
        <v>1</v>
      </c>
      <c r="F94" s="37" t="str">
        <f>Paper_Textual_Conflict!Q94</f>
        <v>Java</v>
      </c>
      <c r="G94" s="33">
        <v>94.0</v>
      </c>
      <c r="H94" s="37" t="b">
        <f>IFERROR(__xludf.DUMMYFUNCTION("if(isblank(A94),,REGEXMATCH(B94,""^I *\+ I *$""))"),FALSE)</f>
        <v>0</v>
      </c>
      <c r="I94" s="37" t="b">
        <f>IFERROR(__xludf.DUMMYFUNCTION("if(isblank(A94),,REGEXMATCH(B94,""(^I *\+ D *$)|(^D *\+ I *$)""))"),FALSE)</f>
        <v>0</v>
      </c>
      <c r="J94" s="37" t="b">
        <f>IFERROR(__xludf.DUMMYFUNCTION("if(isblank(A94),,REGEXMATCH(B94,""(^I *\+ U *$)|(^U *\+ I *$)""))"),FALSE)</f>
        <v>0</v>
      </c>
      <c r="K94" s="37" t="b">
        <f>IFERROR(__xludf.DUMMYFUNCTION("if(isblank(A94),,REGEXMATCH(B94,""(^I *\+ N *$)|(^N *\+ I *$)"") )"),FALSE)</f>
        <v>0</v>
      </c>
      <c r="L94" s="37" t="b">
        <f>IFERROR(__xludf.DUMMYFUNCTION("if(isblank(A94),,REGEXMATCH(B94,""^D *\+ D *$""))"),FALSE)</f>
        <v>0</v>
      </c>
      <c r="M94" s="37" t="b">
        <f>IFERROR(__xludf.DUMMYFUNCTION("if(isblank(A94),,REGEXMATCH(B94,""(^U *\+ D *$)|(^D *\+ U *$)""))"),FALSE)</f>
        <v>0</v>
      </c>
      <c r="N94" s="37" t="b">
        <f>IFERROR(__xludf.DUMMYFUNCTION("if(isblank(A94),,REGEXMATCH(B94,""(^N *\+ D *$)|(^D *\+ N *$)""))"),FALSE)</f>
        <v>0</v>
      </c>
      <c r="O94" s="37" t="b">
        <f>IFERROR(__xludf.DUMMYFUNCTION("if(isblank(A94),,REGEXMATCH(B94,""^U *\+ U *$""))"),FALSE)</f>
        <v>0</v>
      </c>
      <c r="P94" s="37" t="b">
        <f>IFERROR(__xludf.DUMMYFUNCTION("if(isblank(A94),,REGEXMATCH(B94,""(^U *\+ N *$)|(^N *\+ U *$)""))"),FALSE)</f>
        <v>0</v>
      </c>
      <c r="Q94" s="37" t="b">
        <f>IFERROR(__xludf.DUMMYFUNCTION("if(isblank(A94),,REGEXMATCH(B94,""^((I ?\+ ?(D ?I|I ?D))|((D ?I|I ?D) ?\+ ?I)) *$""))"),FALSE)</f>
        <v>0</v>
      </c>
      <c r="R94" s="37" t="b">
        <f>IFERROR(__xludf.DUMMYFUNCTION("if(isblank(A94),,REGEXMATCH(B94,""^((D ?\+ ?(D ?I|I ?D))|((D ?I|I ?D) ?\+ ?D)) *$""))"),FALSE)</f>
        <v>0</v>
      </c>
      <c r="S94" s="37" t="b">
        <f>IFERROR(__xludf.DUMMYFUNCTION("if(isblank(A94),,REGEXMATCH(B94,""^((U ?\+ ?(D ?I|I ?D))|((D ?I|I ?D) ?\+ ?U)) *$""))"),FALSE)</f>
        <v>0</v>
      </c>
      <c r="T94" s="37" t="b">
        <f>IFERROR(__xludf.DUMMYFUNCTION("if(isblank(A94),,REGEXMATCH(B94,""^((N ?\+ ?(D ?I|I ?D))|((D ?I|I ?D) ?\+ ?N)) *$""))"),FALSE)</f>
        <v>0</v>
      </c>
      <c r="U94" s="37" t="b">
        <f>IFERROR(__xludf.DUMMYFUNCTION("if(isblank(A94),,REGEXMATCH(B94,""^((I ?\+ ?(U ?I|I ?U))|((I ?U|U ?I) ?\+ ?I)) *$""))"),FALSE)</f>
        <v>0</v>
      </c>
      <c r="V94" s="37" t="b">
        <f>IFERROR(__xludf.DUMMYFUNCTION("if(isblank(A94),,REGEXMATCH(B94,""^((D ?\+ ?(U ?I|I ?U))|((I ?U|U ?I) ?\+ ?D)) *$""))"),FALSE)</f>
        <v>0</v>
      </c>
      <c r="W94" s="37" t="b">
        <f>IFERROR(__xludf.DUMMYFUNCTION("if(isblank(A94),,REGEXMATCH(B94,""^((U ?\+ ?(U ?I|I ?U))|((I ?U|U ?I) ?\+ ?U)) *$""))"),FALSE)</f>
        <v>0</v>
      </c>
      <c r="X94" s="37" t="b">
        <f>IFERROR(__xludf.DUMMYFUNCTION("if(isblank(A94),,REGEXMATCH(B94,""^((N ?\+ ?(U ?I|I ?U))|((I ?U|U ?I) ?\+ ?N)) *$""))"),FALSE)</f>
        <v>0</v>
      </c>
      <c r="Y94" s="37" t="b">
        <f>IFERROR(__xludf.DUMMYFUNCTION("if(isblank(A94),,REGEXMATCH(B94,""^((I ?\+ ?(U ?D|D ?U))|((D ?U|U ?D) ?\+ ?I)) *$""))"),FALSE)</f>
        <v>0</v>
      </c>
      <c r="Z94" s="37" t="b">
        <f>IFERROR(__xludf.DUMMYFUNCTION("if(isblank(A94),,REGEXMATCH(B94,""^((D ?\+ ?(U ?D|D ?U))|((D ?U|U ?D) ?\+ ?D)) *$""))"),FALSE)</f>
        <v>0</v>
      </c>
      <c r="AA94" s="37" t="b">
        <f>IFERROR(__xludf.DUMMYFUNCTION("if(isblank(A94),,REGEXMATCH(B94,""^((U ?\+ ?(U ?D|D ?U))|((D ?U|U ?D) ?\+ ?U)) *$""))"),FALSE)</f>
        <v>0</v>
      </c>
      <c r="AB94" s="37" t="b">
        <f>IFERROR(__xludf.DUMMYFUNCTION("if(isblank(A94),,REGEXMATCH(B94,""^((D ?I|I ?D) ?\+ ?(D ?I|I ?D)) *$""))"),FALSE)</f>
        <v>0</v>
      </c>
      <c r="AC94" s="37" t="b">
        <f>IFERROR(__xludf.DUMMYFUNCTION("if(isblank(A94),,REGEXMATCH(B94,""^((D ?I|I ?D) ?\+ ?(U ?I|I ?U))|((U ?I|I ?U) ?\+ ?(D ?I|I ?D)) *$""))"),FALSE)</f>
        <v>0</v>
      </c>
      <c r="AD94" s="37" t="b">
        <f>IFERROR(__xludf.DUMMYFUNCTION("if(isblank(A94),,REGEXMATCH(B94,""^I *vs\. I *$""))"),TRUE)</f>
        <v>1</v>
      </c>
      <c r="AE94" s="37" t="b">
        <f>IFERROR(__xludf.DUMMYFUNCTION("if(isblank(A94),,REGEXMATCH(B94,""(^I *vs\. D *$)|(^D *vs\. I *$)""))"),FALSE)</f>
        <v>0</v>
      </c>
      <c r="AF94" s="37" t="b">
        <f>IFERROR(__xludf.DUMMYFUNCTION("if(isblank(A94),,REGEXMATCH(B94,""(^I *vs\. U *$)|(^U *vs\. I *$)""))"),FALSE)</f>
        <v>0</v>
      </c>
      <c r="AG94" s="37" t="b">
        <f>IFERROR(__xludf.DUMMYFUNCTION("if(isblank(A94),,REGEXMATCH(B94,""^D *vs\. D *$""))"),FALSE)</f>
        <v>0</v>
      </c>
      <c r="AH94" s="37" t="b">
        <f>IFERROR(__xludf.DUMMYFUNCTION("if(isblank(A94),,REGEXMATCH(B94,""(^U *vs\. D *$)|(^D *vs\. U *$)""))"),FALSE)</f>
        <v>0</v>
      </c>
      <c r="AI94" s="37" t="b">
        <f>IFERROR(__xludf.DUMMYFUNCTION("if(isblank(A94),,REGEXMATCH(B94,""^U *vs\. U *$""))"),FALSE)</f>
        <v>0</v>
      </c>
      <c r="AJ94" s="37" t="b">
        <f>IFERROR(__xludf.DUMMYFUNCTION("if(isblank(A94),,REGEXMATCH(B94,""^((I ?vs\. ?(D ?I|I ?D))|((D ?I|I ?D) ?vs\. ?I)) *$""))"),FALSE)</f>
        <v>0</v>
      </c>
      <c r="AK94" s="37" t="b">
        <f>IFERROR(__xludf.DUMMYFUNCTION("if(isblank(A94),,REGEXMATCH(B94,""^((D ?vs\. ?(D ?I|I ?D))|((D ?I|I ?D) ?vs\. ?D)) *$""))"),FALSE)</f>
        <v>0</v>
      </c>
      <c r="AL94" s="37" t="b">
        <f>IFERROR(__xludf.DUMMYFUNCTION("if(isblank(A94),,REGEXMATCH(B94,""^((U ?vs\. ?(D ?I|I ?D))|((D ?I|I ?D) ?vs\. ?U)) *$""))"),FALSE)</f>
        <v>0</v>
      </c>
      <c r="AM94" s="37" t="b">
        <f>IFERROR(__xludf.DUMMYFUNCTION("if(isblank(A94),,REGEXMATCH(B94,""^((I ?vs\. ?(U ?I|I ?U))|((U ?I|I ?U) ?vs\. ?I)) *$""))"),FALSE)</f>
        <v>0</v>
      </c>
      <c r="AN94" s="37" t="b">
        <f>IFERROR(__xludf.DUMMYFUNCTION("if(isblank(A94),,REGEXMATCH(B94,""^((D ?vs\. ?(U ?I|I ?U))|((U ?I|I ?U) ?vs\. ?D)) *$""))"),FALSE)</f>
        <v>0</v>
      </c>
      <c r="AO94" s="37" t="b">
        <f>IFERROR(__xludf.DUMMYFUNCTION("if(isblank(A94),,REGEXMATCH(B94,""^((U ?vs\. ?(U ?I|I ?U))|((U ?I|I ?U) ?vs\. ?U)) *$""))"),FALSE)</f>
        <v>0</v>
      </c>
      <c r="AP94" s="37" t="b">
        <f>IFERROR(__xludf.DUMMYFUNCTION("if(isblank(A94),,REGEXMATCH(B94,""^((I ?vs\. ?(U ?D|D ?U))|((D ?U|U ?D) ?vs\. ?I)) *$""))"),FALSE)</f>
        <v>0</v>
      </c>
      <c r="AQ94" s="37" t="b">
        <f>IFERROR(__xludf.DUMMYFUNCTION("if(isblank(A94),,REGEXMATCH(B94,""^((D ?vs\. ?(U ?D|D ?U))|((D ?U|U ?D) ?vs\. ?D)) *$""))"),FALSE)</f>
        <v>0</v>
      </c>
      <c r="AR94" s="37" t="b">
        <f>IFERROR(__xludf.DUMMYFUNCTION("if(isblank(A94),,REGEXMATCH(B94,""^((U ?vs\. ?(U ?D|D ?U))|((D ?U|U ?D) ?vs\. ?U)) *$""))"),FALSE)</f>
        <v>0</v>
      </c>
      <c r="AS94" s="37" t="b">
        <f>IFERROR(__xludf.DUMMYFUNCTION("if(isblank(A94),,REGEXMATCH(B94,""^((D ?I|I ?D) ?vs\. ?(D ?I|I ?D)) *$""))"),FALSE)</f>
        <v>0</v>
      </c>
      <c r="AT94" s="37" t="b">
        <f>IFERROR(__xludf.DUMMYFUNCTION("if(isblank(A94),,REGEXMATCH(B94,""^((D ?I|I ?D) ?vs\. ?(U ?I|I ?U))|((U ?I|I ?U) ?vs\. ?(D ?I|I ?D)) *$""))"),FALSE)</f>
        <v>0</v>
      </c>
      <c r="AU94" s="37" t="b">
        <f>IFERROR(__xludf.DUMMYFUNCTION("if(isblank(A94),,REGEXMATCH(B94,""^((D ?I|I ?D) ?vs\. ?(U ?D|D ?U))|((U ?D|D ?U) ?vs\. ?(D ?I|I ?D)) *$""))"),FALSE)</f>
        <v>0</v>
      </c>
      <c r="AV94" s="37" t="b">
        <f>IFERROR(__xludf.DUMMYFUNCTION("if(isblank(A94),,REGEXMATCH(B94,""^((U ?I|I ?U) ?vs\. ?(U ?I|I ?U)) *$""))"),FALSE)</f>
        <v>0</v>
      </c>
    </row>
    <row r="95" ht="26.25" customHeight="1">
      <c r="A95" s="79" t="str">
        <f>Paper_Textual_Conflict!M95</f>
        <v>D + D U</v>
      </c>
      <c r="B95" s="37" t="str">
        <f>IFERROR(__xludf.DUMMYFUNCTION("if(isblank(A95),,regexextract(REGEXEXTRACT(A95,""^.*""),""^[^(]*""))"),"D + D U")</f>
        <v>D + D U</v>
      </c>
      <c r="C95" s="37" t="b">
        <f>IFERROR(__xludf.DUMMYFUNCTION("if(isblank(A95),,REGEXMATCH(B95,"".*\+.*"") )"),TRUE)</f>
        <v>1</v>
      </c>
      <c r="D95" s="37" t="b">
        <f>IFERROR(__xludf.DUMMYFUNCTION("if(isblank(A95),,REGEXMATCH(B95,"".*vs.*"") )"),FALSE)</f>
        <v>0</v>
      </c>
      <c r="E95" s="37" t="b">
        <f>Paper_Textual_Conflict!H95</f>
        <v>0</v>
      </c>
      <c r="F95" s="37" t="str">
        <f>Paper_Textual_Conflict!Q95</f>
        <v>Non-Java</v>
      </c>
      <c r="G95" s="33">
        <v>95.0</v>
      </c>
      <c r="H95" s="37" t="b">
        <f>IFERROR(__xludf.DUMMYFUNCTION("if(isblank(A95),,REGEXMATCH(B95,""^I *\+ I *$""))"),FALSE)</f>
        <v>0</v>
      </c>
      <c r="I95" s="37" t="b">
        <f>IFERROR(__xludf.DUMMYFUNCTION("if(isblank(A95),,REGEXMATCH(B95,""(^I *\+ D *$)|(^D *\+ I *$)""))"),FALSE)</f>
        <v>0</v>
      </c>
      <c r="J95" s="37" t="b">
        <f>IFERROR(__xludf.DUMMYFUNCTION("if(isblank(A95),,REGEXMATCH(B95,""(^I *\+ U *$)|(^U *\+ I *$)""))"),FALSE)</f>
        <v>0</v>
      </c>
      <c r="K95" s="37" t="b">
        <f>IFERROR(__xludf.DUMMYFUNCTION("if(isblank(A95),,REGEXMATCH(B95,""(^I *\+ N *$)|(^N *\+ I *$)"") )"),FALSE)</f>
        <v>0</v>
      </c>
      <c r="L95" s="37" t="b">
        <f>IFERROR(__xludf.DUMMYFUNCTION("if(isblank(A95),,REGEXMATCH(B95,""^D *\+ D *$""))"),FALSE)</f>
        <v>0</v>
      </c>
      <c r="M95" s="37" t="b">
        <f>IFERROR(__xludf.DUMMYFUNCTION("if(isblank(A95),,REGEXMATCH(B95,""(^U *\+ D *$)|(^D *\+ U *$)""))"),FALSE)</f>
        <v>0</v>
      </c>
      <c r="N95" s="37" t="b">
        <f>IFERROR(__xludf.DUMMYFUNCTION("if(isblank(A95),,REGEXMATCH(B95,""(^N *\+ D *$)|(^D *\+ N *$)""))"),FALSE)</f>
        <v>0</v>
      </c>
      <c r="O95" s="37" t="b">
        <f>IFERROR(__xludf.DUMMYFUNCTION("if(isblank(A95),,REGEXMATCH(B95,""^U *\+ U *$""))"),FALSE)</f>
        <v>0</v>
      </c>
      <c r="P95" s="37" t="b">
        <f>IFERROR(__xludf.DUMMYFUNCTION("if(isblank(A95),,REGEXMATCH(B95,""(^U *\+ N *$)|(^N *\+ U *$)""))"),FALSE)</f>
        <v>0</v>
      </c>
      <c r="Q95" s="37" t="b">
        <f>IFERROR(__xludf.DUMMYFUNCTION("if(isblank(A95),,REGEXMATCH(B95,""^((I ?\+ ?(D ?I|I ?D))|((D ?I|I ?D) ?\+ ?I)) *$""))"),FALSE)</f>
        <v>0</v>
      </c>
      <c r="R95" s="37" t="b">
        <f>IFERROR(__xludf.DUMMYFUNCTION("if(isblank(A95),,REGEXMATCH(B95,""^((D ?\+ ?(D ?I|I ?D))|((D ?I|I ?D) ?\+ ?D)) *$""))"),FALSE)</f>
        <v>0</v>
      </c>
      <c r="S95" s="37" t="b">
        <f>IFERROR(__xludf.DUMMYFUNCTION("if(isblank(A95),,REGEXMATCH(B95,""^((U ?\+ ?(D ?I|I ?D))|((D ?I|I ?D) ?\+ ?U)) *$""))"),FALSE)</f>
        <v>0</v>
      </c>
      <c r="T95" s="37" t="b">
        <f>IFERROR(__xludf.DUMMYFUNCTION("if(isblank(A95),,REGEXMATCH(B95,""^((N ?\+ ?(D ?I|I ?D))|((D ?I|I ?D) ?\+ ?N)) *$""))"),FALSE)</f>
        <v>0</v>
      </c>
      <c r="U95" s="37" t="b">
        <f>IFERROR(__xludf.DUMMYFUNCTION("if(isblank(A95),,REGEXMATCH(B95,""^((I ?\+ ?(U ?I|I ?U))|((I ?U|U ?I) ?\+ ?I)) *$""))"),FALSE)</f>
        <v>0</v>
      </c>
      <c r="V95" s="37" t="b">
        <f>IFERROR(__xludf.DUMMYFUNCTION("if(isblank(A95),,REGEXMATCH(B95,""^((D ?\+ ?(U ?I|I ?U))|((I ?U|U ?I) ?\+ ?D)) *$""))"),FALSE)</f>
        <v>0</v>
      </c>
      <c r="W95" s="37" t="b">
        <f>IFERROR(__xludf.DUMMYFUNCTION("if(isblank(A95),,REGEXMATCH(B95,""^((U ?\+ ?(U ?I|I ?U))|((I ?U|U ?I) ?\+ ?U)) *$""))"),FALSE)</f>
        <v>0</v>
      </c>
      <c r="X95" s="37" t="b">
        <f>IFERROR(__xludf.DUMMYFUNCTION("if(isblank(A95),,REGEXMATCH(B95,""^((N ?\+ ?(U ?I|I ?U))|((I ?U|U ?I) ?\+ ?N)) *$""))"),FALSE)</f>
        <v>0</v>
      </c>
      <c r="Y95" s="37" t="b">
        <f>IFERROR(__xludf.DUMMYFUNCTION("if(isblank(A95),,REGEXMATCH(B95,""^((I ?\+ ?(U ?D|D ?U))|((D ?U|U ?D) ?\+ ?I)) *$""))"),FALSE)</f>
        <v>0</v>
      </c>
      <c r="Z95" s="37" t="b">
        <f>IFERROR(__xludf.DUMMYFUNCTION("if(isblank(A95),,REGEXMATCH(B95,""^((D ?\+ ?(U ?D|D ?U))|((D ?U|U ?D) ?\+ ?D)) *$""))"),TRUE)</f>
        <v>1</v>
      </c>
      <c r="AA95" s="37" t="b">
        <f>IFERROR(__xludf.DUMMYFUNCTION("if(isblank(A95),,REGEXMATCH(B95,""^((U ?\+ ?(U ?D|D ?U))|((D ?U|U ?D) ?\+ ?U)) *$""))"),FALSE)</f>
        <v>0</v>
      </c>
      <c r="AB95" s="37" t="b">
        <f>IFERROR(__xludf.DUMMYFUNCTION("if(isblank(A95),,REGEXMATCH(B95,""^((D ?I|I ?D) ?\+ ?(D ?I|I ?D)) *$""))"),FALSE)</f>
        <v>0</v>
      </c>
      <c r="AC95" s="37" t="b">
        <f>IFERROR(__xludf.DUMMYFUNCTION("if(isblank(A95),,REGEXMATCH(B95,""^((D ?I|I ?D) ?\+ ?(U ?I|I ?U))|((U ?I|I ?U) ?\+ ?(D ?I|I ?D)) *$""))"),FALSE)</f>
        <v>0</v>
      </c>
      <c r="AD95" s="37" t="b">
        <f>IFERROR(__xludf.DUMMYFUNCTION("if(isblank(A95),,REGEXMATCH(B95,""^I *vs\. I *$""))"),FALSE)</f>
        <v>0</v>
      </c>
      <c r="AE95" s="37" t="b">
        <f>IFERROR(__xludf.DUMMYFUNCTION("if(isblank(A95),,REGEXMATCH(B95,""(^I *vs\. D *$)|(^D *vs\. I *$)""))"),FALSE)</f>
        <v>0</v>
      </c>
      <c r="AF95" s="37" t="b">
        <f>IFERROR(__xludf.DUMMYFUNCTION("if(isblank(A95),,REGEXMATCH(B95,""(^I *vs\. U *$)|(^U *vs\. I *$)""))"),FALSE)</f>
        <v>0</v>
      </c>
      <c r="AG95" s="37" t="b">
        <f>IFERROR(__xludf.DUMMYFUNCTION("if(isblank(A95),,REGEXMATCH(B95,""^D *vs\. D *$""))"),FALSE)</f>
        <v>0</v>
      </c>
      <c r="AH95" s="37" t="b">
        <f>IFERROR(__xludf.DUMMYFUNCTION("if(isblank(A95),,REGEXMATCH(B95,""(^U *vs\. D *$)|(^D *vs\. U *$)""))"),FALSE)</f>
        <v>0</v>
      </c>
      <c r="AI95" s="37" t="b">
        <f>IFERROR(__xludf.DUMMYFUNCTION("if(isblank(A95),,REGEXMATCH(B95,""^U *vs\. U *$""))"),FALSE)</f>
        <v>0</v>
      </c>
      <c r="AJ95" s="37" t="b">
        <f>IFERROR(__xludf.DUMMYFUNCTION("if(isblank(A95),,REGEXMATCH(B95,""^((I ?vs\. ?(D ?I|I ?D))|((D ?I|I ?D) ?vs\. ?I)) *$""))"),FALSE)</f>
        <v>0</v>
      </c>
      <c r="AK95" s="37" t="b">
        <f>IFERROR(__xludf.DUMMYFUNCTION("if(isblank(A95),,REGEXMATCH(B95,""^((D ?vs\. ?(D ?I|I ?D))|((D ?I|I ?D) ?vs\. ?D)) *$""))"),FALSE)</f>
        <v>0</v>
      </c>
      <c r="AL95" s="37" t="b">
        <f>IFERROR(__xludf.DUMMYFUNCTION("if(isblank(A95),,REGEXMATCH(B95,""^((U ?vs\. ?(D ?I|I ?D))|((D ?I|I ?D) ?vs\. ?U)) *$""))"),FALSE)</f>
        <v>0</v>
      </c>
      <c r="AM95" s="37" t="b">
        <f>IFERROR(__xludf.DUMMYFUNCTION("if(isblank(A95),,REGEXMATCH(B95,""^((I ?vs\. ?(U ?I|I ?U))|((U ?I|I ?U) ?vs\. ?I)) *$""))"),FALSE)</f>
        <v>0</v>
      </c>
      <c r="AN95" s="37" t="b">
        <f>IFERROR(__xludf.DUMMYFUNCTION("if(isblank(A95),,REGEXMATCH(B95,""^((D ?vs\. ?(U ?I|I ?U))|((U ?I|I ?U) ?vs\. ?D)) *$""))"),FALSE)</f>
        <v>0</v>
      </c>
      <c r="AO95" s="37" t="b">
        <f>IFERROR(__xludf.DUMMYFUNCTION("if(isblank(A95),,REGEXMATCH(B95,""^((U ?vs\. ?(U ?I|I ?U))|((U ?I|I ?U) ?vs\. ?U)) *$""))"),FALSE)</f>
        <v>0</v>
      </c>
      <c r="AP95" s="37" t="b">
        <f>IFERROR(__xludf.DUMMYFUNCTION("if(isblank(A95),,REGEXMATCH(B95,""^((I ?vs\. ?(U ?D|D ?U))|((D ?U|U ?D) ?vs\. ?I)) *$""))"),FALSE)</f>
        <v>0</v>
      </c>
      <c r="AQ95" s="37" t="b">
        <f>IFERROR(__xludf.DUMMYFUNCTION("if(isblank(A95),,REGEXMATCH(B95,""^((D ?vs\. ?(U ?D|D ?U))|((D ?U|U ?D) ?vs\. ?D)) *$""))"),FALSE)</f>
        <v>0</v>
      </c>
      <c r="AR95" s="37" t="b">
        <f>IFERROR(__xludf.DUMMYFUNCTION("if(isblank(A95),,REGEXMATCH(B95,""^((U ?vs\. ?(U ?D|D ?U))|((D ?U|U ?D) ?vs\. ?U)) *$""))"),FALSE)</f>
        <v>0</v>
      </c>
      <c r="AS95" s="37" t="b">
        <f>IFERROR(__xludf.DUMMYFUNCTION("if(isblank(A95),,REGEXMATCH(B95,""^((D ?I|I ?D) ?vs\. ?(D ?I|I ?D)) *$""))"),FALSE)</f>
        <v>0</v>
      </c>
      <c r="AT95" s="37" t="b">
        <f>IFERROR(__xludf.DUMMYFUNCTION("if(isblank(A95),,REGEXMATCH(B95,""^((D ?I|I ?D) ?vs\. ?(U ?I|I ?U))|((U ?I|I ?U) ?vs\. ?(D ?I|I ?D)) *$""))"),FALSE)</f>
        <v>0</v>
      </c>
      <c r="AU95" s="37" t="b">
        <f>IFERROR(__xludf.DUMMYFUNCTION("if(isblank(A95),,REGEXMATCH(B95,""^((D ?I|I ?D) ?vs\. ?(U ?D|D ?U))|((U ?D|D ?U) ?vs\. ?(D ?I|I ?D)) *$""))"),FALSE)</f>
        <v>0</v>
      </c>
      <c r="AV95" s="37" t="b">
        <f>IFERROR(__xludf.DUMMYFUNCTION("if(isblank(A95),,REGEXMATCH(B95,""^((U ?I|I ?U) ?vs\. ?(U ?I|I ?U)) *$""))"),FALSE)</f>
        <v>0</v>
      </c>
    </row>
    <row r="96" ht="26.25" customHeight="1">
      <c r="A96" s="79" t="str">
        <f>Paper_Textual_Conflict!M96</f>
        <v>D vs. U(file)</v>
      </c>
      <c r="B96" s="37" t="str">
        <f>IFERROR(__xludf.DUMMYFUNCTION("if(isblank(A96),,regexextract(REGEXEXTRACT(A96,""^.*""),""^[^(]*""))"),"D vs. U")</f>
        <v>D vs. U</v>
      </c>
      <c r="C96" s="37" t="b">
        <f>IFERROR(__xludf.DUMMYFUNCTION("if(isblank(A96),,REGEXMATCH(B96,"".*\+.*"") )"),FALSE)</f>
        <v>0</v>
      </c>
      <c r="D96" s="37" t="b">
        <f>IFERROR(__xludf.DUMMYFUNCTION("if(isblank(A96),,REGEXMATCH(B96,"".*vs.*"") )"),TRUE)</f>
        <v>1</v>
      </c>
      <c r="E96" s="37" t="b">
        <f>Paper_Textual_Conflict!H96</f>
        <v>1</v>
      </c>
      <c r="F96" s="37" t="str">
        <f>Paper_Textual_Conflict!Q96</f>
        <v>Java</v>
      </c>
      <c r="G96" s="33">
        <v>96.0</v>
      </c>
      <c r="H96" s="37" t="b">
        <f>IFERROR(__xludf.DUMMYFUNCTION("if(isblank(A96),,REGEXMATCH(B96,""^I *\+ I *$""))"),FALSE)</f>
        <v>0</v>
      </c>
      <c r="I96" s="37" t="b">
        <f>IFERROR(__xludf.DUMMYFUNCTION("if(isblank(A96),,REGEXMATCH(B96,""(^I *\+ D *$)|(^D *\+ I *$)""))"),FALSE)</f>
        <v>0</v>
      </c>
      <c r="J96" s="37" t="b">
        <f>IFERROR(__xludf.DUMMYFUNCTION("if(isblank(A96),,REGEXMATCH(B96,""(^I *\+ U *$)|(^U *\+ I *$)""))"),FALSE)</f>
        <v>0</v>
      </c>
      <c r="K96" s="37" t="b">
        <f>IFERROR(__xludf.DUMMYFUNCTION("if(isblank(A96),,REGEXMATCH(B96,""(^I *\+ N *$)|(^N *\+ I *$)"") )"),FALSE)</f>
        <v>0</v>
      </c>
      <c r="L96" s="37" t="b">
        <f>IFERROR(__xludf.DUMMYFUNCTION("if(isblank(A96),,REGEXMATCH(B96,""^D *\+ D *$""))"),FALSE)</f>
        <v>0</v>
      </c>
      <c r="M96" s="37" t="b">
        <f>IFERROR(__xludf.DUMMYFUNCTION("if(isblank(A96),,REGEXMATCH(B96,""(^U *\+ D *$)|(^D *\+ U *$)""))"),FALSE)</f>
        <v>0</v>
      </c>
      <c r="N96" s="37" t="b">
        <f>IFERROR(__xludf.DUMMYFUNCTION("if(isblank(A96),,REGEXMATCH(B96,""(^N *\+ D *$)|(^D *\+ N *$)""))"),FALSE)</f>
        <v>0</v>
      </c>
      <c r="O96" s="37" t="b">
        <f>IFERROR(__xludf.DUMMYFUNCTION("if(isblank(A96),,REGEXMATCH(B96,""^U *\+ U *$""))"),FALSE)</f>
        <v>0</v>
      </c>
      <c r="P96" s="37" t="b">
        <f>IFERROR(__xludf.DUMMYFUNCTION("if(isblank(A96),,REGEXMATCH(B96,""(^U *\+ N *$)|(^N *\+ U *$)""))"),FALSE)</f>
        <v>0</v>
      </c>
      <c r="Q96" s="37" t="b">
        <f>IFERROR(__xludf.DUMMYFUNCTION("if(isblank(A96),,REGEXMATCH(B96,""^((I ?\+ ?(D ?I|I ?D))|((D ?I|I ?D) ?\+ ?I)) *$""))"),FALSE)</f>
        <v>0</v>
      </c>
      <c r="R96" s="37" t="b">
        <f>IFERROR(__xludf.DUMMYFUNCTION("if(isblank(A96),,REGEXMATCH(B96,""^((D ?\+ ?(D ?I|I ?D))|((D ?I|I ?D) ?\+ ?D)) *$""))"),FALSE)</f>
        <v>0</v>
      </c>
      <c r="S96" s="37" t="b">
        <f>IFERROR(__xludf.DUMMYFUNCTION("if(isblank(A96),,REGEXMATCH(B96,""^((U ?\+ ?(D ?I|I ?D))|((D ?I|I ?D) ?\+ ?U)) *$""))"),FALSE)</f>
        <v>0</v>
      </c>
      <c r="T96" s="37" t="b">
        <f>IFERROR(__xludf.DUMMYFUNCTION("if(isblank(A96),,REGEXMATCH(B96,""^((N ?\+ ?(D ?I|I ?D))|((D ?I|I ?D) ?\+ ?N)) *$""))"),FALSE)</f>
        <v>0</v>
      </c>
      <c r="U96" s="37" t="b">
        <f>IFERROR(__xludf.DUMMYFUNCTION("if(isblank(A96),,REGEXMATCH(B96,""^((I ?\+ ?(U ?I|I ?U))|((I ?U|U ?I) ?\+ ?I)) *$""))"),FALSE)</f>
        <v>0</v>
      </c>
      <c r="V96" s="37" t="b">
        <f>IFERROR(__xludf.DUMMYFUNCTION("if(isblank(A96),,REGEXMATCH(B96,""^((D ?\+ ?(U ?I|I ?U))|((I ?U|U ?I) ?\+ ?D)) *$""))"),FALSE)</f>
        <v>0</v>
      </c>
      <c r="W96" s="37" t="b">
        <f>IFERROR(__xludf.DUMMYFUNCTION("if(isblank(A96),,REGEXMATCH(B96,""^((U ?\+ ?(U ?I|I ?U))|((I ?U|U ?I) ?\+ ?U)) *$""))"),FALSE)</f>
        <v>0</v>
      </c>
      <c r="X96" s="37" t="b">
        <f>IFERROR(__xludf.DUMMYFUNCTION("if(isblank(A96),,REGEXMATCH(B96,""^((N ?\+ ?(U ?I|I ?U))|((I ?U|U ?I) ?\+ ?N)) *$""))"),FALSE)</f>
        <v>0</v>
      </c>
      <c r="Y96" s="37" t="b">
        <f>IFERROR(__xludf.DUMMYFUNCTION("if(isblank(A96),,REGEXMATCH(B96,""^((I ?\+ ?(U ?D|D ?U))|((D ?U|U ?D) ?\+ ?I)) *$""))"),FALSE)</f>
        <v>0</v>
      </c>
      <c r="Z96" s="37" t="b">
        <f>IFERROR(__xludf.DUMMYFUNCTION("if(isblank(A96),,REGEXMATCH(B96,""^((D ?\+ ?(U ?D|D ?U))|((D ?U|U ?D) ?\+ ?D)) *$""))"),FALSE)</f>
        <v>0</v>
      </c>
      <c r="AA96" s="37" t="b">
        <f>IFERROR(__xludf.DUMMYFUNCTION("if(isblank(A96),,REGEXMATCH(B96,""^((U ?\+ ?(U ?D|D ?U))|((D ?U|U ?D) ?\+ ?U)) *$""))"),FALSE)</f>
        <v>0</v>
      </c>
      <c r="AB96" s="37" t="b">
        <f>IFERROR(__xludf.DUMMYFUNCTION("if(isblank(A96),,REGEXMATCH(B96,""^((D ?I|I ?D) ?\+ ?(D ?I|I ?D)) *$""))"),FALSE)</f>
        <v>0</v>
      </c>
      <c r="AC96" s="37" t="b">
        <f>IFERROR(__xludf.DUMMYFUNCTION("if(isblank(A96),,REGEXMATCH(B96,""^((D ?I|I ?D) ?\+ ?(U ?I|I ?U))|((U ?I|I ?U) ?\+ ?(D ?I|I ?D)) *$""))"),FALSE)</f>
        <v>0</v>
      </c>
      <c r="AD96" s="37" t="b">
        <f>IFERROR(__xludf.DUMMYFUNCTION("if(isblank(A96),,REGEXMATCH(B96,""^I *vs\. I *$""))"),FALSE)</f>
        <v>0</v>
      </c>
      <c r="AE96" s="37" t="b">
        <f>IFERROR(__xludf.DUMMYFUNCTION("if(isblank(A96),,REGEXMATCH(B96,""(^I *vs\. D *$)|(^D *vs\. I *$)""))"),FALSE)</f>
        <v>0</v>
      </c>
      <c r="AF96" s="37" t="b">
        <f>IFERROR(__xludf.DUMMYFUNCTION("if(isblank(A96),,REGEXMATCH(B96,""(^I *vs\. U *$)|(^U *vs\. I *$)""))"),FALSE)</f>
        <v>0</v>
      </c>
      <c r="AG96" s="37" t="b">
        <f>IFERROR(__xludf.DUMMYFUNCTION("if(isblank(A96),,REGEXMATCH(B96,""^D *vs\. D *$""))"),FALSE)</f>
        <v>0</v>
      </c>
      <c r="AH96" s="37" t="b">
        <f>IFERROR(__xludf.DUMMYFUNCTION("if(isblank(A96),,REGEXMATCH(B96,""(^U *vs\. D *$)|(^D *vs\. U *$)""))"),TRUE)</f>
        <v>1</v>
      </c>
      <c r="AI96" s="37" t="b">
        <f>IFERROR(__xludf.DUMMYFUNCTION("if(isblank(A96),,REGEXMATCH(B96,""^U *vs\. U *$""))"),FALSE)</f>
        <v>0</v>
      </c>
      <c r="AJ96" s="37" t="b">
        <f>IFERROR(__xludf.DUMMYFUNCTION("if(isblank(A96),,REGEXMATCH(B96,""^((I ?vs\. ?(D ?I|I ?D))|((D ?I|I ?D) ?vs\. ?I)) *$""))"),FALSE)</f>
        <v>0</v>
      </c>
      <c r="AK96" s="37" t="b">
        <f>IFERROR(__xludf.DUMMYFUNCTION("if(isblank(A96),,REGEXMATCH(B96,""^((D ?vs\. ?(D ?I|I ?D))|((D ?I|I ?D) ?vs\. ?D)) *$""))"),FALSE)</f>
        <v>0</v>
      </c>
      <c r="AL96" s="37" t="b">
        <f>IFERROR(__xludf.DUMMYFUNCTION("if(isblank(A96),,REGEXMATCH(B96,""^((U ?vs\. ?(D ?I|I ?D))|((D ?I|I ?D) ?vs\. ?U)) *$""))"),FALSE)</f>
        <v>0</v>
      </c>
      <c r="AM96" s="37" t="b">
        <f>IFERROR(__xludf.DUMMYFUNCTION("if(isblank(A96),,REGEXMATCH(B96,""^((I ?vs\. ?(U ?I|I ?U))|((U ?I|I ?U) ?vs\. ?I)) *$""))"),FALSE)</f>
        <v>0</v>
      </c>
      <c r="AN96" s="37" t="b">
        <f>IFERROR(__xludf.DUMMYFUNCTION("if(isblank(A96),,REGEXMATCH(B96,""^((D ?vs\. ?(U ?I|I ?U))|((U ?I|I ?U) ?vs\. ?D)) *$""))"),FALSE)</f>
        <v>0</v>
      </c>
      <c r="AO96" s="37" t="b">
        <f>IFERROR(__xludf.DUMMYFUNCTION("if(isblank(A96),,REGEXMATCH(B96,""^((U ?vs\. ?(U ?I|I ?U))|((U ?I|I ?U) ?vs\. ?U)) *$""))"),FALSE)</f>
        <v>0</v>
      </c>
      <c r="AP96" s="37" t="b">
        <f>IFERROR(__xludf.DUMMYFUNCTION("if(isblank(A96),,REGEXMATCH(B96,""^((I ?vs\. ?(U ?D|D ?U))|((D ?U|U ?D) ?vs\. ?I)) *$""))"),FALSE)</f>
        <v>0</v>
      </c>
      <c r="AQ96" s="37" t="b">
        <f>IFERROR(__xludf.DUMMYFUNCTION("if(isblank(A96),,REGEXMATCH(B96,""^((D ?vs\. ?(U ?D|D ?U))|((D ?U|U ?D) ?vs\. ?D)) *$""))"),FALSE)</f>
        <v>0</v>
      </c>
      <c r="AR96" s="37" t="b">
        <f>IFERROR(__xludf.DUMMYFUNCTION("if(isblank(A96),,REGEXMATCH(B96,""^((U ?vs\. ?(U ?D|D ?U))|((D ?U|U ?D) ?vs\. ?U)) *$""))"),FALSE)</f>
        <v>0</v>
      </c>
      <c r="AS96" s="37" t="b">
        <f>IFERROR(__xludf.DUMMYFUNCTION("if(isblank(A96),,REGEXMATCH(B96,""^((D ?I|I ?D) ?vs\. ?(D ?I|I ?D)) *$""))"),FALSE)</f>
        <v>0</v>
      </c>
      <c r="AT96" s="37" t="b">
        <f>IFERROR(__xludf.DUMMYFUNCTION("if(isblank(A96),,REGEXMATCH(B96,""^((D ?I|I ?D) ?vs\. ?(U ?I|I ?U))|((U ?I|I ?U) ?vs\. ?(D ?I|I ?D)) *$""))"),FALSE)</f>
        <v>0</v>
      </c>
      <c r="AU96" s="37" t="b">
        <f>IFERROR(__xludf.DUMMYFUNCTION("if(isblank(A96),,REGEXMATCH(B96,""^((D ?I|I ?D) ?vs\. ?(U ?D|D ?U))|((U ?D|D ?U) ?vs\. ?(D ?I|I ?D)) *$""))"),FALSE)</f>
        <v>0</v>
      </c>
      <c r="AV96" s="37" t="b">
        <f>IFERROR(__xludf.DUMMYFUNCTION("if(isblank(A96),,REGEXMATCH(B96,""^((U ?I|I ?U) ?vs\. ?(U ?I|I ?U)) *$""))"),FALSE)</f>
        <v>0</v>
      </c>
    </row>
    <row r="97" ht="26.25" customHeight="1">
      <c r="A97" s="79" t="str">
        <f>Paper_Textual_Conflict!M97</f>
        <v>I vs. I(import)
(format difference, different sequence)
Origin(U vs. U )</v>
      </c>
      <c r="B97" s="37" t="str">
        <f>IFERROR(__xludf.DUMMYFUNCTION("if(isblank(A97),,regexextract(REGEXEXTRACT(A97,""^.*""),""^[^(]*""))"),"I vs. I")</f>
        <v>I vs. I</v>
      </c>
      <c r="C97" s="37" t="b">
        <f>IFERROR(__xludf.DUMMYFUNCTION("if(isblank(A97),,REGEXMATCH(B97,"".*\+.*"") )"),FALSE)</f>
        <v>0</v>
      </c>
      <c r="D97" s="37" t="b">
        <f>IFERROR(__xludf.DUMMYFUNCTION("if(isblank(A97),,REGEXMATCH(B97,"".*vs.*"") )"),TRUE)</f>
        <v>1</v>
      </c>
      <c r="E97" s="37" t="b">
        <f>Paper_Textual_Conflict!H97</f>
        <v>1</v>
      </c>
      <c r="F97" s="37" t="str">
        <f>Paper_Textual_Conflict!Q97</f>
        <v>Java</v>
      </c>
      <c r="G97" s="33">
        <v>97.0</v>
      </c>
      <c r="H97" s="37" t="b">
        <f>IFERROR(__xludf.DUMMYFUNCTION("if(isblank(A97),,REGEXMATCH(B97,""^I *\+ I *$""))"),FALSE)</f>
        <v>0</v>
      </c>
      <c r="I97" s="37" t="b">
        <f>IFERROR(__xludf.DUMMYFUNCTION("if(isblank(A97),,REGEXMATCH(B97,""(^I *\+ D *$)|(^D *\+ I *$)""))"),FALSE)</f>
        <v>0</v>
      </c>
      <c r="J97" s="37" t="b">
        <f>IFERROR(__xludf.DUMMYFUNCTION("if(isblank(A97),,REGEXMATCH(B97,""(^I *\+ U *$)|(^U *\+ I *$)""))"),FALSE)</f>
        <v>0</v>
      </c>
      <c r="K97" s="37" t="b">
        <f>IFERROR(__xludf.DUMMYFUNCTION("if(isblank(A97),,REGEXMATCH(B97,""(^I *\+ N *$)|(^N *\+ I *$)"") )"),FALSE)</f>
        <v>0</v>
      </c>
      <c r="L97" s="37" t="b">
        <f>IFERROR(__xludf.DUMMYFUNCTION("if(isblank(A97),,REGEXMATCH(B97,""^D *\+ D *$""))"),FALSE)</f>
        <v>0</v>
      </c>
      <c r="M97" s="37" t="b">
        <f>IFERROR(__xludf.DUMMYFUNCTION("if(isblank(A97),,REGEXMATCH(B97,""(^U *\+ D *$)|(^D *\+ U *$)""))"),FALSE)</f>
        <v>0</v>
      </c>
      <c r="N97" s="37" t="b">
        <f>IFERROR(__xludf.DUMMYFUNCTION("if(isblank(A97),,REGEXMATCH(B97,""(^N *\+ D *$)|(^D *\+ N *$)""))"),FALSE)</f>
        <v>0</v>
      </c>
      <c r="O97" s="37" t="b">
        <f>IFERROR(__xludf.DUMMYFUNCTION("if(isblank(A97),,REGEXMATCH(B97,""^U *\+ U *$""))"),FALSE)</f>
        <v>0</v>
      </c>
      <c r="P97" s="37" t="b">
        <f>IFERROR(__xludf.DUMMYFUNCTION("if(isblank(A97),,REGEXMATCH(B97,""(^U *\+ N *$)|(^N *\+ U *$)""))"),FALSE)</f>
        <v>0</v>
      </c>
      <c r="Q97" s="37" t="b">
        <f>IFERROR(__xludf.DUMMYFUNCTION("if(isblank(A97),,REGEXMATCH(B97,""^((I ?\+ ?(D ?I|I ?D))|((D ?I|I ?D) ?\+ ?I)) *$""))"),FALSE)</f>
        <v>0</v>
      </c>
      <c r="R97" s="37" t="b">
        <f>IFERROR(__xludf.DUMMYFUNCTION("if(isblank(A97),,REGEXMATCH(B97,""^((D ?\+ ?(D ?I|I ?D))|((D ?I|I ?D) ?\+ ?D)) *$""))"),FALSE)</f>
        <v>0</v>
      </c>
      <c r="S97" s="37" t="b">
        <f>IFERROR(__xludf.DUMMYFUNCTION("if(isblank(A97),,REGEXMATCH(B97,""^((U ?\+ ?(D ?I|I ?D))|((D ?I|I ?D) ?\+ ?U)) *$""))"),FALSE)</f>
        <v>0</v>
      </c>
      <c r="T97" s="37" t="b">
        <f>IFERROR(__xludf.DUMMYFUNCTION("if(isblank(A97),,REGEXMATCH(B97,""^((N ?\+ ?(D ?I|I ?D))|((D ?I|I ?D) ?\+ ?N)) *$""))"),FALSE)</f>
        <v>0</v>
      </c>
      <c r="U97" s="37" t="b">
        <f>IFERROR(__xludf.DUMMYFUNCTION("if(isblank(A97),,REGEXMATCH(B97,""^((I ?\+ ?(U ?I|I ?U))|((I ?U|U ?I) ?\+ ?I)) *$""))"),FALSE)</f>
        <v>0</v>
      </c>
      <c r="V97" s="37" t="b">
        <f>IFERROR(__xludf.DUMMYFUNCTION("if(isblank(A97),,REGEXMATCH(B97,""^((D ?\+ ?(U ?I|I ?U))|((I ?U|U ?I) ?\+ ?D)) *$""))"),FALSE)</f>
        <v>0</v>
      </c>
      <c r="W97" s="37" t="b">
        <f>IFERROR(__xludf.DUMMYFUNCTION("if(isblank(A97),,REGEXMATCH(B97,""^((U ?\+ ?(U ?I|I ?U))|((I ?U|U ?I) ?\+ ?U)) *$""))"),FALSE)</f>
        <v>0</v>
      </c>
      <c r="X97" s="37" t="b">
        <f>IFERROR(__xludf.DUMMYFUNCTION("if(isblank(A97),,REGEXMATCH(B97,""^((N ?\+ ?(U ?I|I ?U))|((I ?U|U ?I) ?\+ ?N)) *$""))"),FALSE)</f>
        <v>0</v>
      </c>
      <c r="Y97" s="37" t="b">
        <f>IFERROR(__xludf.DUMMYFUNCTION("if(isblank(A97),,REGEXMATCH(B97,""^((I ?\+ ?(U ?D|D ?U))|((D ?U|U ?D) ?\+ ?I)) *$""))"),FALSE)</f>
        <v>0</v>
      </c>
      <c r="Z97" s="37" t="b">
        <f>IFERROR(__xludf.DUMMYFUNCTION("if(isblank(A97),,REGEXMATCH(B97,""^((D ?\+ ?(U ?D|D ?U))|((D ?U|U ?D) ?\+ ?D)) *$""))"),FALSE)</f>
        <v>0</v>
      </c>
      <c r="AA97" s="37" t="b">
        <f>IFERROR(__xludf.DUMMYFUNCTION("if(isblank(A97),,REGEXMATCH(B97,""^((U ?\+ ?(U ?D|D ?U))|((D ?U|U ?D) ?\+ ?U)) *$""))"),FALSE)</f>
        <v>0</v>
      </c>
      <c r="AB97" s="37" t="b">
        <f>IFERROR(__xludf.DUMMYFUNCTION("if(isblank(A97),,REGEXMATCH(B97,""^((D ?I|I ?D) ?\+ ?(D ?I|I ?D)) *$""))"),FALSE)</f>
        <v>0</v>
      </c>
      <c r="AC97" s="37" t="b">
        <f>IFERROR(__xludf.DUMMYFUNCTION("if(isblank(A97),,REGEXMATCH(B97,""^((D ?I|I ?D) ?\+ ?(U ?I|I ?U))|((U ?I|I ?U) ?\+ ?(D ?I|I ?D)) *$""))"),FALSE)</f>
        <v>0</v>
      </c>
      <c r="AD97" s="37" t="b">
        <f>IFERROR(__xludf.DUMMYFUNCTION("if(isblank(A97),,REGEXMATCH(B97,""^I *vs\. I *$""))"),TRUE)</f>
        <v>1</v>
      </c>
      <c r="AE97" s="37" t="b">
        <f>IFERROR(__xludf.DUMMYFUNCTION("if(isblank(A97),,REGEXMATCH(B97,""(^I *vs\. D *$)|(^D *vs\. I *$)""))"),FALSE)</f>
        <v>0</v>
      </c>
      <c r="AF97" s="37" t="b">
        <f>IFERROR(__xludf.DUMMYFUNCTION("if(isblank(A97),,REGEXMATCH(B97,""(^I *vs\. U *$)|(^U *vs\. I *$)""))"),FALSE)</f>
        <v>0</v>
      </c>
      <c r="AG97" s="37" t="b">
        <f>IFERROR(__xludf.DUMMYFUNCTION("if(isblank(A97),,REGEXMATCH(B97,""^D *vs\. D *$""))"),FALSE)</f>
        <v>0</v>
      </c>
      <c r="AH97" s="37" t="b">
        <f>IFERROR(__xludf.DUMMYFUNCTION("if(isblank(A97),,REGEXMATCH(B97,""(^U *vs\. D *$)|(^D *vs\. U *$)""))"),FALSE)</f>
        <v>0</v>
      </c>
      <c r="AI97" s="37" t="b">
        <f>IFERROR(__xludf.DUMMYFUNCTION("if(isblank(A97),,REGEXMATCH(B97,""^U *vs\. U *$""))"),FALSE)</f>
        <v>0</v>
      </c>
      <c r="AJ97" s="37" t="b">
        <f>IFERROR(__xludf.DUMMYFUNCTION("if(isblank(A97),,REGEXMATCH(B97,""^((I ?vs\. ?(D ?I|I ?D))|((D ?I|I ?D) ?vs\. ?I)) *$""))"),FALSE)</f>
        <v>0</v>
      </c>
      <c r="AK97" s="37" t="b">
        <f>IFERROR(__xludf.DUMMYFUNCTION("if(isblank(A97),,REGEXMATCH(B97,""^((D ?vs\. ?(D ?I|I ?D))|((D ?I|I ?D) ?vs\. ?D)) *$""))"),FALSE)</f>
        <v>0</v>
      </c>
      <c r="AL97" s="37" t="b">
        <f>IFERROR(__xludf.DUMMYFUNCTION("if(isblank(A97),,REGEXMATCH(B97,""^((U ?vs\. ?(D ?I|I ?D))|((D ?I|I ?D) ?vs\. ?U)) *$""))"),FALSE)</f>
        <v>0</v>
      </c>
      <c r="AM97" s="37" t="b">
        <f>IFERROR(__xludf.DUMMYFUNCTION("if(isblank(A97),,REGEXMATCH(B97,""^((I ?vs\. ?(U ?I|I ?U))|((U ?I|I ?U) ?vs\. ?I)) *$""))"),FALSE)</f>
        <v>0</v>
      </c>
      <c r="AN97" s="37" t="b">
        <f>IFERROR(__xludf.DUMMYFUNCTION("if(isblank(A97),,REGEXMATCH(B97,""^((D ?vs\. ?(U ?I|I ?U))|((U ?I|I ?U) ?vs\. ?D)) *$""))"),FALSE)</f>
        <v>0</v>
      </c>
      <c r="AO97" s="37" t="b">
        <f>IFERROR(__xludf.DUMMYFUNCTION("if(isblank(A97),,REGEXMATCH(B97,""^((U ?vs\. ?(U ?I|I ?U))|((U ?I|I ?U) ?vs\. ?U)) *$""))"),FALSE)</f>
        <v>0</v>
      </c>
      <c r="AP97" s="37" t="b">
        <f>IFERROR(__xludf.DUMMYFUNCTION("if(isblank(A97),,REGEXMATCH(B97,""^((I ?vs\. ?(U ?D|D ?U))|((D ?U|U ?D) ?vs\. ?I)) *$""))"),FALSE)</f>
        <v>0</v>
      </c>
      <c r="AQ97" s="37" t="b">
        <f>IFERROR(__xludf.DUMMYFUNCTION("if(isblank(A97),,REGEXMATCH(B97,""^((D ?vs\. ?(U ?D|D ?U))|((D ?U|U ?D) ?vs\. ?D)) *$""))"),FALSE)</f>
        <v>0</v>
      </c>
      <c r="AR97" s="37" t="b">
        <f>IFERROR(__xludf.DUMMYFUNCTION("if(isblank(A97),,REGEXMATCH(B97,""^((U ?vs\. ?(U ?D|D ?U))|((D ?U|U ?D) ?vs\. ?U)) *$""))"),FALSE)</f>
        <v>0</v>
      </c>
      <c r="AS97" s="37" t="b">
        <f>IFERROR(__xludf.DUMMYFUNCTION("if(isblank(A97),,REGEXMATCH(B97,""^((D ?I|I ?D) ?vs\. ?(D ?I|I ?D)) *$""))"),FALSE)</f>
        <v>0</v>
      </c>
      <c r="AT97" s="37" t="b">
        <f>IFERROR(__xludf.DUMMYFUNCTION("if(isblank(A97),,REGEXMATCH(B97,""^((D ?I|I ?D) ?vs\. ?(U ?I|I ?U))|((U ?I|I ?U) ?vs\. ?(D ?I|I ?D)) *$""))"),FALSE)</f>
        <v>0</v>
      </c>
      <c r="AU97" s="37" t="b">
        <f>IFERROR(__xludf.DUMMYFUNCTION("if(isblank(A97),,REGEXMATCH(B97,""^((D ?I|I ?D) ?vs\. ?(U ?D|D ?U))|((U ?D|D ?U) ?vs\. ?(D ?I|I ?D)) *$""))"),FALSE)</f>
        <v>0</v>
      </c>
      <c r="AV97" s="37" t="b">
        <f>IFERROR(__xludf.DUMMYFUNCTION("if(isblank(A97),,REGEXMATCH(B97,""^((U ?I|I ?U) ?vs\. ?(U ?I|I ?U)) *$""))"),FALSE)</f>
        <v>0</v>
      </c>
    </row>
    <row r="98" ht="26.25" customHeight="1">
      <c r="A98" s="79" t="str">
        <f>Paper_Textual_Conflict!M98</f>
        <v>U I vs. U (Java code)</v>
      </c>
      <c r="B98" s="37" t="str">
        <f>IFERROR(__xludf.DUMMYFUNCTION("if(isblank(A98),,regexextract(REGEXEXTRACT(A98,""^.*""),""^[^(]*""))"),"U I vs. U ")</f>
        <v>U I vs. U </v>
      </c>
      <c r="C98" s="37" t="b">
        <f>IFERROR(__xludf.DUMMYFUNCTION("if(isblank(A98),,REGEXMATCH(B98,"".*\+.*"") )"),FALSE)</f>
        <v>0</v>
      </c>
      <c r="D98" s="37" t="b">
        <f>IFERROR(__xludf.DUMMYFUNCTION("if(isblank(A98),,REGEXMATCH(B98,"".*vs.*"") )"),TRUE)</f>
        <v>1</v>
      </c>
      <c r="E98" s="37" t="b">
        <f>Paper_Textual_Conflict!H98</f>
        <v>1</v>
      </c>
      <c r="F98" s="37" t="str">
        <f>Paper_Textual_Conflict!Q98</f>
        <v>Java</v>
      </c>
      <c r="G98" s="33">
        <v>98.0</v>
      </c>
      <c r="H98" s="37" t="b">
        <f>IFERROR(__xludf.DUMMYFUNCTION("if(isblank(A98),,REGEXMATCH(B98,""^I *\+ I *$""))"),FALSE)</f>
        <v>0</v>
      </c>
      <c r="I98" s="37" t="b">
        <f>IFERROR(__xludf.DUMMYFUNCTION("if(isblank(A98),,REGEXMATCH(B98,""(^I *\+ D *$)|(^D *\+ I *$)""))"),FALSE)</f>
        <v>0</v>
      </c>
      <c r="J98" s="37" t="b">
        <f>IFERROR(__xludf.DUMMYFUNCTION("if(isblank(A98),,REGEXMATCH(B98,""(^I *\+ U *$)|(^U *\+ I *$)""))"),FALSE)</f>
        <v>0</v>
      </c>
      <c r="K98" s="37" t="b">
        <f>IFERROR(__xludf.DUMMYFUNCTION("if(isblank(A98),,REGEXMATCH(B98,""(^I *\+ N *$)|(^N *\+ I *$)"") )"),FALSE)</f>
        <v>0</v>
      </c>
      <c r="L98" s="37" t="b">
        <f>IFERROR(__xludf.DUMMYFUNCTION("if(isblank(A98),,REGEXMATCH(B98,""^D *\+ D *$""))"),FALSE)</f>
        <v>0</v>
      </c>
      <c r="M98" s="37" t="b">
        <f>IFERROR(__xludf.DUMMYFUNCTION("if(isblank(A98),,REGEXMATCH(B98,""(^U *\+ D *$)|(^D *\+ U *$)""))"),FALSE)</f>
        <v>0</v>
      </c>
      <c r="N98" s="37" t="b">
        <f>IFERROR(__xludf.DUMMYFUNCTION("if(isblank(A98),,REGEXMATCH(B98,""(^N *\+ D *$)|(^D *\+ N *$)""))"),FALSE)</f>
        <v>0</v>
      </c>
      <c r="O98" s="37" t="b">
        <f>IFERROR(__xludf.DUMMYFUNCTION("if(isblank(A98),,REGEXMATCH(B98,""^U *\+ U *$""))"),FALSE)</f>
        <v>0</v>
      </c>
      <c r="P98" s="37" t="b">
        <f>IFERROR(__xludf.DUMMYFUNCTION("if(isblank(A98),,REGEXMATCH(B98,""(^U *\+ N *$)|(^N *\+ U *$)""))"),FALSE)</f>
        <v>0</v>
      </c>
      <c r="Q98" s="37" t="b">
        <f>IFERROR(__xludf.DUMMYFUNCTION("if(isblank(A98),,REGEXMATCH(B98,""^((I ?\+ ?(D ?I|I ?D))|((D ?I|I ?D) ?\+ ?I)) *$""))"),FALSE)</f>
        <v>0</v>
      </c>
      <c r="R98" s="37" t="b">
        <f>IFERROR(__xludf.DUMMYFUNCTION("if(isblank(A98),,REGEXMATCH(B98,""^((D ?\+ ?(D ?I|I ?D))|((D ?I|I ?D) ?\+ ?D)) *$""))"),FALSE)</f>
        <v>0</v>
      </c>
      <c r="S98" s="37" t="b">
        <f>IFERROR(__xludf.DUMMYFUNCTION("if(isblank(A98),,REGEXMATCH(B98,""^((U ?\+ ?(D ?I|I ?D))|((D ?I|I ?D) ?\+ ?U)) *$""))"),FALSE)</f>
        <v>0</v>
      </c>
      <c r="T98" s="37" t="b">
        <f>IFERROR(__xludf.DUMMYFUNCTION("if(isblank(A98),,REGEXMATCH(B98,""^((N ?\+ ?(D ?I|I ?D))|((D ?I|I ?D) ?\+ ?N)) *$""))"),FALSE)</f>
        <v>0</v>
      </c>
      <c r="U98" s="37" t="b">
        <f>IFERROR(__xludf.DUMMYFUNCTION("if(isblank(A98),,REGEXMATCH(B98,""^((I ?\+ ?(U ?I|I ?U))|((I ?U|U ?I) ?\+ ?I)) *$""))"),FALSE)</f>
        <v>0</v>
      </c>
      <c r="V98" s="37" t="b">
        <f>IFERROR(__xludf.DUMMYFUNCTION("if(isblank(A98),,REGEXMATCH(B98,""^((D ?\+ ?(U ?I|I ?U))|((I ?U|U ?I) ?\+ ?D)) *$""))"),FALSE)</f>
        <v>0</v>
      </c>
      <c r="W98" s="37" t="b">
        <f>IFERROR(__xludf.DUMMYFUNCTION("if(isblank(A98),,REGEXMATCH(B98,""^((U ?\+ ?(U ?I|I ?U))|((I ?U|U ?I) ?\+ ?U)) *$""))"),FALSE)</f>
        <v>0</v>
      </c>
      <c r="X98" s="37" t="b">
        <f>IFERROR(__xludf.DUMMYFUNCTION("if(isblank(A98),,REGEXMATCH(B98,""^((N ?\+ ?(U ?I|I ?U))|((I ?U|U ?I) ?\+ ?N)) *$""))"),FALSE)</f>
        <v>0</v>
      </c>
      <c r="Y98" s="37" t="b">
        <f>IFERROR(__xludf.DUMMYFUNCTION("if(isblank(A98),,REGEXMATCH(B98,""^((I ?\+ ?(U ?D|D ?U))|((D ?U|U ?D) ?\+ ?I)) *$""))"),FALSE)</f>
        <v>0</v>
      </c>
      <c r="Z98" s="37" t="b">
        <f>IFERROR(__xludf.DUMMYFUNCTION("if(isblank(A98),,REGEXMATCH(B98,""^((D ?\+ ?(U ?D|D ?U))|((D ?U|U ?D) ?\+ ?D)) *$""))"),FALSE)</f>
        <v>0</v>
      </c>
      <c r="AA98" s="37" t="b">
        <f>IFERROR(__xludf.DUMMYFUNCTION("if(isblank(A98),,REGEXMATCH(B98,""^((U ?\+ ?(U ?D|D ?U))|((D ?U|U ?D) ?\+ ?U)) *$""))"),FALSE)</f>
        <v>0</v>
      </c>
      <c r="AB98" s="37" t="b">
        <f>IFERROR(__xludf.DUMMYFUNCTION("if(isblank(A98),,REGEXMATCH(B98,""^((D ?I|I ?D) ?\+ ?(D ?I|I ?D)) *$""))"),FALSE)</f>
        <v>0</v>
      </c>
      <c r="AC98" s="37" t="b">
        <f>IFERROR(__xludf.DUMMYFUNCTION("if(isblank(A98),,REGEXMATCH(B98,""^((D ?I|I ?D) ?\+ ?(U ?I|I ?U))|((U ?I|I ?U) ?\+ ?(D ?I|I ?D)) *$""))"),FALSE)</f>
        <v>0</v>
      </c>
      <c r="AD98" s="37" t="b">
        <f>IFERROR(__xludf.DUMMYFUNCTION("if(isblank(A98),,REGEXMATCH(B98,""^I *vs\. I *$""))"),FALSE)</f>
        <v>0</v>
      </c>
      <c r="AE98" s="37" t="b">
        <f>IFERROR(__xludf.DUMMYFUNCTION("if(isblank(A98),,REGEXMATCH(B98,""(^I *vs\. D *$)|(^D *vs\. I *$)""))"),FALSE)</f>
        <v>0</v>
      </c>
      <c r="AF98" s="37" t="b">
        <f>IFERROR(__xludf.DUMMYFUNCTION("if(isblank(A98),,REGEXMATCH(B98,""(^I *vs\. U *$)|(^U *vs\. I *$)""))"),FALSE)</f>
        <v>0</v>
      </c>
      <c r="AG98" s="37" t="b">
        <f>IFERROR(__xludf.DUMMYFUNCTION("if(isblank(A98),,REGEXMATCH(B98,""^D *vs\. D *$""))"),FALSE)</f>
        <v>0</v>
      </c>
      <c r="AH98" s="37" t="b">
        <f>IFERROR(__xludf.DUMMYFUNCTION("if(isblank(A98),,REGEXMATCH(B98,""(^U *vs\. D *$)|(^D *vs\. U *$)""))"),FALSE)</f>
        <v>0</v>
      </c>
      <c r="AI98" s="37" t="b">
        <f>IFERROR(__xludf.DUMMYFUNCTION("if(isblank(A98),,REGEXMATCH(B98,""^U *vs\. U *$""))"),FALSE)</f>
        <v>0</v>
      </c>
      <c r="AJ98" s="37" t="b">
        <f>IFERROR(__xludf.DUMMYFUNCTION("if(isblank(A98),,REGEXMATCH(B98,""^((I ?vs\. ?(D ?I|I ?D))|((D ?I|I ?D) ?vs\. ?I)) *$""))"),FALSE)</f>
        <v>0</v>
      </c>
      <c r="AK98" s="37" t="b">
        <f>IFERROR(__xludf.DUMMYFUNCTION("if(isblank(A98),,REGEXMATCH(B98,""^((D ?vs\. ?(D ?I|I ?D))|((D ?I|I ?D) ?vs\. ?D)) *$""))"),FALSE)</f>
        <v>0</v>
      </c>
      <c r="AL98" s="37" t="b">
        <f>IFERROR(__xludf.DUMMYFUNCTION("if(isblank(A98),,REGEXMATCH(B98,""^((U ?vs\. ?(D ?I|I ?D))|((D ?I|I ?D) ?vs\. ?U)) *$""))"),FALSE)</f>
        <v>0</v>
      </c>
      <c r="AM98" s="37" t="b">
        <f>IFERROR(__xludf.DUMMYFUNCTION("if(isblank(A98),,REGEXMATCH(B98,""^((I ?vs\. ?(U ?I|I ?U))|((U ?I|I ?U) ?vs\. ?I)) *$""))"),FALSE)</f>
        <v>0</v>
      </c>
      <c r="AN98" s="37" t="b">
        <f>IFERROR(__xludf.DUMMYFUNCTION("if(isblank(A98),,REGEXMATCH(B98,""^((D ?vs\. ?(U ?I|I ?U))|((U ?I|I ?U) ?vs\. ?D)) *$""))"),FALSE)</f>
        <v>0</v>
      </c>
      <c r="AO98" s="37" t="b">
        <f>IFERROR(__xludf.DUMMYFUNCTION("if(isblank(A98),,REGEXMATCH(B98,""^((U ?vs\. ?(U ?I|I ?U))|((U ?I|I ?U) ?vs\. ?U)) *$""))"),TRUE)</f>
        <v>1</v>
      </c>
      <c r="AP98" s="37" t="b">
        <f>IFERROR(__xludf.DUMMYFUNCTION("if(isblank(A98),,REGEXMATCH(B98,""^((I ?vs\. ?(U ?D|D ?U))|((D ?U|U ?D) ?vs\. ?I)) *$""))"),FALSE)</f>
        <v>0</v>
      </c>
      <c r="AQ98" s="37" t="b">
        <f>IFERROR(__xludf.DUMMYFUNCTION("if(isblank(A98),,REGEXMATCH(B98,""^((D ?vs\. ?(U ?D|D ?U))|((D ?U|U ?D) ?vs\. ?D)) *$""))"),FALSE)</f>
        <v>0</v>
      </c>
      <c r="AR98" s="37" t="b">
        <f>IFERROR(__xludf.DUMMYFUNCTION("if(isblank(A98),,REGEXMATCH(B98,""^((U ?vs\. ?(U ?D|D ?U))|((D ?U|U ?D) ?vs\. ?U)) *$""))"),FALSE)</f>
        <v>0</v>
      </c>
      <c r="AS98" s="37" t="b">
        <f>IFERROR(__xludf.DUMMYFUNCTION("if(isblank(A98),,REGEXMATCH(B98,""^((D ?I|I ?D) ?vs\. ?(D ?I|I ?D)) *$""))"),FALSE)</f>
        <v>0</v>
      </c>
      <c r="AT98" s="37" t="b">
        <f>IFERROR(__xludf.DUMMYFUNCTION("if(isblank(A98),,REGEXMATCH(B98,""^((D ?I|I ?D) ?vs\. ?(U ?I|I ?U))|((U ?I|I ?U) ?vs\. ?(D ?I|I ?D)) *$""))"),FALSE)</f>
        <v>0</v>
      </c>
      <c r="AU98" s="37" t="b">
        <f>IFERROR(__xludf.DUMMYFUNCTION("if(isblank(A98),,REGEXMATCH(B98,""^((D ?I|I ?D) ?vs\. ?(U ?D|D ?U))|((U ?D|D ?U) ?vs\. ?(D ?I|I ?D)) *$""))"),FALSE)</f>
        <v>0</v>
      </c>
      <c r="AV98" s="37" t="b">
        <f>IFERROR(__xludf.DUMMYFUNCTION("if(isblank(A98),,REGEXMATCH(B98,""^((U ?I|I ?U) ?vs\. ?(U ?I|I ?U)) *$""))"),FALSE)</f>
        <v>0</v>
      </c>
    </row>
    <row r="99" ht="26.25" customHeight="1">
      <c r="A99" s="79" t="str">
        <f>Paper_Textual_Conflict!M99</f>
        <v>U vs. U (Javadoc)</v>
      </c>
      <c r="B99" s="37" t="str">
        <f>IFERROR(__xludf.DUMMYFUNCTION("if(isblank(A99),,regexextract(REGEXEXTRACT(A99,""^.*""),""^[^(]*""))"),"U vs. U ")</f>
        <v>U vs. U </v>
      </c>
      <c r="C99" s="37" t="b">
        <f>IFERROR(__xludf.DUMMYFUNCTION("if(isblank(A99),,REGEXMATCH(B99,"".*\+.*"") )"),FALSE)</f>
        <v>0</v>
      </c>
      <c r="D99" s="37" t="b">
        <f>IFERROR(__xludf.DUMMYFUNCTION("if(isblank(A99),,REGEXMATCH(B99,"".*vs.*"") )"),TRUE)</f>
        <v>1</v>
      </c>
      <c r="E99" s="37" t="b">
        <f>Paper_Textual_Conflict!H99</f>
        <v>1</v>
      </c>
      <c r="F99" s="37" t="str">
        <f>Paper_Textual_Conflict!Q99</f>
        <v>Java</v>
      </c>
      <c r="G99" s="33">
        <v>99.0</v>
      </c>
      <c r="H99" s="37" t="b">
        <f>IFERROR(__xludf.DUMMYFUNCTION("if(isblank(A99),,REGEXMATCH(B99,""^I *\+ I *$""))"),FALSE)</f>
        <v>0</v>
      </c>
      <c r="I99" s="37" t="b">
        <f>IFERROR(__xludf.DUMMYFUNCTION("if(isblank(A99),,REGEXMATCH(B99,""(^I *\+ D *$)|(^D *\+ I *$)""))"),FALSE)</f>
        <v>0</v>
      </c>
      <c r="J99" s="37" t="b">
        <f>IFERROR(__xludf.DUMMYFUNCTION("if(isblank(A99),,REGEXMATCH(B99,""(^I *\+ U *$)|(^U *\+ I *$)""))"),FALSE)</f>
        <v>0</v>
      </c>
      <c r="K99" s="37" t="b">
        <f>IFERROR(__xludf.DUMMYFUNCTION("if(isblank(A99),,REGEXMATCH(B99,""(^I *\+ N *$)|(^N *\+ I *$)"") )"),FALSE)</f>
        <v>0</v>
      </c>
      <c r="L99" s="37" t="b">
        <f>IFERROR(__xludf.DUMMYFUNCTION("if(isblank(A99),,REGEXMATCH(B99,""^D *\+ D *$""))"),FALSE)</f>
        <v>0</v>
      </c>
      <c r="M99" s="37" t="b">
        <f>IFERROR(__xludf.DUMMYFUNCTION("if(isblank(A99),,REGEXMATCH(B99,""(^U *\+ D *$)|(^D *\+ U *$)""))"),FALSE)</f>
        <v>0</v>
      </c>
      <c r="N99" s="37" t="b">
        <f>IFERROR(__xludf.DUMMYFUNCTION("if(isblank(A99),,REGEXMATCH(B99,""(^N *\+ D *$)|(^D *\+ N *$)""))"),FALSE)</f>
        <v>0</v>
      </c>
      <c r="O99" s="37" t="b">
        <f>IFERROR(__xludf.DUMMYFUNCTION("if(isblank(A99),,REGEXMATCH(B99,""^U *\+ U *$""))"),FALSE)</f>
        <v>0</v>
      </c>
      <c r="P99" s="37" t="b">
        <f>IFERROR(__xludf.DUMMYFUNCTION("if(isblank(A99),,REGEXMATCH(B99,""(^U *\+ N *$)|(^N *\+ U *$)""))"),FALSE)</f>
        <v>0</v>
      </c>
      <c r="Q99" s="37" t="b">
        <f>IFERROR(__xludf.DUMMYFUNCTION("if(isblank(A99),,REGEXMATCH(B99,""^((I ?\+ ?(D ?I|I ?D))|((D ?I|I ?D) ?\+ ?I)) *$""))"),FALSE)</f>
        <v>0</v>
      </c>
      <c r="R99" s="37" t="b">
        <f>IFERROR(__xludf.DUMMYFUNCTION("if(isblank(A99),,REGEXMATCH(B99,""^((D ?\+ ?(D ?I|I ?D))|((D ?I|I ?D) ?\+ ?D)) *$""))"),FALSE)</f>
        <v>0</v>
      </c>
      <c r="S99" s="37" t="b">
        <f>IFERROR(__xludf.DUMMYFUNCTION("if(isblank(A99),,REGEXMATCH(B99,""^((U ?\+ ?(D ?I|I ?D))|((D ?I|I ?D) ?\+ ?U)) *$""))"),FALSE)</f>
        <v>0</v>
      </c>
      <c r="T99" s="37" t="b">
        <f>IFERROR(__xludf.DUMMYFUNCTION("if(isblank(A99),,REGEXMATCH(B99,""^((N ?\+ ?(D ?I|I ?D))|((D ?I|I ?D) ?\+ ?N)) *$""))"),FALSE)</f>
        <v>0</v>
      </c>
      <c r="U99" s="37" t="b">
        <f>IFERROR(__xludf.DUMMYFUNCTION("if(isblank(A99),,REGEXMATCH(B99,""^((I ?\+ ?(U ?I|I ?U))|((I ?U|U ?I) ?\+ ?I)) *$""))"),FALSE)</f>
        <v>0</v>
      </c>
      <c r="V99" s="37" t="b">
        <f>IFERROR(__xludf.DUMMYFUNCTION("if(isblank(A99),,REGEXMATCH(B99,""^((D ?\+ ?(U ?I|I ?U))|((I ?U|U ?I) ?\+ ?D)) *$""))"),FALSE)</f>
        <v>0</v>
      </c>
      <c r="W99" s="37" t="b">
        <f>IFERROR(__xludf.DUMMYFUNCTION("if(isblank(A99),,REGEXMATCH(B99,""^((U ?\+ ?(U ?I|I ?U))|((I ?U|U ?I) ?\+ ?U)) *$""))"),FALSE)</f>
        <v>0</v>
      </c>
      <c r="X99" s="37" t="b">
        <f>IFERROR(__xludf.DUMMYFUNCTION("if(isblank(A99),,REGEXMATCH(B99,""^((N ?\+ ?(U ?I|I ?U))|((I ?U|U ?I) ?\+ ?N)) *$""))"),FALSE)</f>
        <v>0</v>
      </c>
      <c r="Y99" s="37" t="b">
        <f>IFERROR(__xludf.DUMMYFUNCTION("if(isblank(A99),,REGEXMATCH(B99,""^((I ?\+ ?(U ?D|D ?U))|((D ?U|U ?D) ?\+ ?I)) *$""))"),FALSE)</f>
        <v>0</v>
      </c>
      <c r="Z99" s="37" t="b">
        <f>IFERROR(__xludf.DUMMYFUNCTION("if(isblank(A99),,REGEXMATCH(B99,""^((D ?\+ ?(U ?D|D ?U))|((D ?U|U ?D) ?\+ ?D)) *$""))"),FALSE)</f>
        <v>0</v>
      </c>
      <c r="AA99" s="37" t="b">
        <f>IFERROR(__xludf.DUMMYFUNCTION("if(isblank(A99),,REGEXMATCH(B99,""^((U ?\+ ?(U ?D|D ?U))|((D ?U|U ?D) ?\+ ?U)) *$""))"),FALSE)</f>
        <v>0</v>
      </c>
      <c r="AB99" s="37" t="b">
        <f>IFERROR(__xludf.DUMMYFUNCTION("if(isblank(A99),,REGEXMATCH(B99,""^((D ?I|I ?D) ?\+ ?(D ?I|I ?D)) *$""))"),FALSE)</f>
        <v>0</v>
      </c>
      <c r="AC99" s="37" t="b">
        <f>IFERROR(__xludf.DUMMYFUNCTION("if(isblank(A99),,REGEXMATCH(B99,""^((D ?I|I ?D) ?\+ ?(U ?I|I ?U))|((U ?I|I ?U) ?\+ ?(D ?I|I ?D)) *$""))"),FALSE)</f>
        <v>0</v>
      </c>
      <c r="AD99" s="37" t="b">
        <f>IFERROR(__xludf.DUMMYFUNCTION("if(isblank(A99),,REGEXMATCH(B99,""^I *vs\. I *$""))"),FALSE)</f>
        <v>0</v>
      </c>
      <c r="AE99" s="37" t="b">
        <f>IFERROR(__xludf.DUMMYFUNCTION("if(isblank(A99),,REGEXMATCH(B99,""(^I *vs\. D *$)|(^D *vs\. I *$)""))"),FALSE)</f>
        <v>0</v>
      </c>
      <c r="AF99" s="37" t="b">
        <f>IFERROR(__xludf.DUMMYFUNCTION("if(isblank(A99),,REGEXMATCH(B99,""(^I *vs\. U *$)|(^U *vs\. I *$)""))"),FALSE)</f>
        <v>0</v>
      </c>
      <c r="AG99" s="37" t="b">
        <f>IFERROR(__xludf.DUMMYFUNCTION("if(isblank(A99),,REGEXMATCH(B99,""^D *vs\. D *$""))"),FALSE)</f>
        <v>0</v>
      </c>
      <c r="AH99" s="37" t="b">
        <f>IFERROR(__xludf.DUMMYFUNCTION("if(isblank(A99),,REGEXMATCH(B99,""(^U *vs\. D *$)|(^D *vs\. U *$)""))"),FALSE)</f>
        <v>0</v>
      </c>
      <c r="AI99" s="37" t="b">
        <f>IFERROR(__xludf.DUMMYFUNCTION("if(isblank(A99),,REGEXMATCH(B99,""^U *vs\. U *$""))"),TRUE)</f>
        <v>1</v>
      </c>
      <c r="AJ99" s="37" t="b">
        <f>IFERROR(__xludf.DUMMYFUNCTION("if(isblank(A99),,REGEXMATCH(B99,""^((I ?vs\. ?(D ?I|I ?D))|((D ?I|I ?D) ?vs\. ?I)) *$""))"),FALSE)</f>
        <v>0</v>
      </c>
      <c r="AK99" s="37" t="b">
        <f>IFERROR(__xludf.DUMMYFUNCTION("if(isblank(A99),,REGEXMATCH(B99,""^((D ?vs\. ?(D ?I|I ?D))|((D ?I|I ?D) ?vs\. ?D)) *$""))"),FALSE)</f>
        <v>0</v>
      </c>
      <c r="AL99" s="37" t="b">
        <f>IFERROR(__xludf.DUMMYFUNCTION("if(isblank(A99),,REGEXMATCH(B99,""^((U ?vs\. ?(D ?I|I ?D))|((D ?I|I ?D) ?vs\. ?U)) *$""))"),FALSE)</f>
        <v>0</v>
      </c>
      <c r="AM99" s="37" t="b">
        <f>IFERROR(__xludf.DUMMYFUNCTION("if(isblank(A99),,REGEXMATCH(B99,""^((I ?vs\. ?(U ?I|I ?U))|((U ?I|I ?U) ?vs\. ?I)) *$""))"),FALSE)</f>
        <v>0</v>
      </c>
      <c r="AN99" s="37" t="b">
        <f>IFERROR(__xludf.DUMMYFUNCTION("if(isblank(A99),,REGEXMATCH(B99,""^((D ?vs\. ?(U ?I|I ?U))|((U ?I|I ?U) ?vs\. ?D)) *$""))"),FALSE)</f>
        <v>0</v>
      </c>
      <c r="AO99" s="37" t="b">
        <f>IFERROR(__xludf.DUMMYFUNCTION("if(isblank(A99),,REGEXMATCH(B99,""^((U ?vs\. ?(U ?I|I ?U))|((U ?I|I ?U) ?vs\. ?U)) *$""))"),FALSE)</f>
        <v>0</v>
      </c>
      <c r="AP99" s="37" t="b">
        <f>IFERROR(__xludf.DUMMYFUNCTION("if(isblank(A99),,REGEXMATCH(B99,""^((I ?vs\. ?(U ?D|D ?U))|((D ?U|U ?D) ?vs\. ?I)) *$""))"),FALSE)</f>
        <v>0</v>
      </c>
      <c r="AQ99" s="37" t="b">
        <f>IFERROR(__xludf.DUMMYFUNCTION("if(isblank(A99),,REGEXMATCH(B99,""^((D ?vs\. ?(U ?D|D ?U))|((D ?U|U ?D) ?vs\. ?D)) *$""))"),FALSE)</f>
        <v>0</v>
      </c>
      <c r="AR99" s="37" t="b">
        <f>IFERROR(__xludf.DUMMYFUNCTION("if(isblank(A99),,REGEXMATCH(B99,""^((U ?vs\. ?(U ?D|D ?U))|((D ?U|U ?D) ?vs\. ?U)) *$""))"),FALSE)</f>
        <v>0</v>
      </c>
      <c r="AS99" s="37" t="b">
        <f>IFERROR(__xludf.DUMMYFUNCTION("if(isblank(A99),,REGEXMATCH(B99,""^((D ?I|I ?D) ?vs\. ?(D ?I|I ?D)) *$""))"),FALSE)</f>
        <v>0</v>
      </c>
      <c r="AT99" s="37" t="b">
        <f>IFERROR(__xludf.DUMMYFUNCTION("if(isblank(A99),,REGEXMATCH(B99,""^((D ?I|I ?D) ?vs\. ?(U ?I|I ?U))|((U ?I|I ?U) ?vs\. ?(D ?I|I ?D)) *$""))"),FALSE)</f>
        <v>0</v>
      </c>
      <c r="AU99" s="37" t="b">
        <f>IFERROR(__xludf.DUMMYFUNCTION("if(isblank(A99),,REGEXMATCH(B99,""^((D ?I|I ?D) ?vs\. ?(U ?D|D ?U))|((U ?D|D ?U) ?vs\. ?(D ?I|I ?D)) *$""))"),FALSE)</f>
        <v>0</v>
      </c>
      <c r="AV99" s="37" t="b">
        <f>IFERROR(__xludf.DUMMYFUNCTION("if(isblank(A99),,REGEXMATCH(B99,""^((U ?I|I ?U) ?vs\. ?(U ?I|I ?U)) *$""))"),FALSE)</f>
        <v>0</v>
      </c>
    </row>
    <row r="100" ht="26.25" customHeight="1">
      <c r="A100" s="79" t="str">
        <f>Paper_Textual_Conflict!M100</f>
        <v>U vs. U (L change one http to https, R change two)</v>
      </c>
      <c r="B100" s="37" t="str">
        <f>IFERROR(__xludf.DUMMYFUNCTION("if(isblank(A100),,regexextract(REGEXEXTRACT(A100,""^.*""),""^[^(]*""))"),"U vs. U ")</f>
        <v>U vs. U </v>
      </c>
      <c r="C100" s="37" t="b">
        <f>IFERROR(__xludf.DUMMYFUNCTION("if(isblank(A100),,REGEXMATCH(B100,"".*\+.*"") )"),FALSE)</f>
        <v>0</v>
      </c>
      <c r="D100" s="37" t="b">
        <f>IFERROR(__xludf.DUMMYFUNCTION("if(isblank(A100),,REGEXMATCH(B100,"".*vs.*"") )"),TRUE)</f>
        <v>1</v>
      </c>
      <c r="E100" s="37" t="b">
        <f>Paper_Textual_Conflict!H100</f>
        <v>1</v>
      </c>
      <c r="F100" s="37" t="str">
        <f>Paper_Textual_Conflict!Q100</f>
        <v>Non-Java</v>
      </c>
      <c r="G100" s="33">
        <v>100.0</v>
      </c>
      <c r="H100" s="37" t="b">
        <f>IFERROR(__xludf.DUMMYFUNCTION("if(isblank(A100),,REGEXMATCH(B100,""^I *\+ I *$""))"),FALSE)</f>
        <v>0</v>
      </c>
      <c r="I100" s="37" t="b">
        <f>IFERROR(__xludf.DUMMYFUNCTION("if(isblank(A100),,REGEXMATCH(B100,""(^I *\+ D *$)|(^D *\+ I *$)""))"),FALSE)</f>
        <v>0</v>
      </c>
      <c r="J100" s="37" t="b">
        <f>IFERROR(__xludf.DUMMYFUNCTION("if(isblank(A100),,REGEXMATCH(B100,""(^I *\+ U *$)|(^U *\+ I *$)""))"),FALSE)</f>
        <v>0</v>
      </c>
      <c r="K100" s="37" t="b">
        <f>IFERROR(__xludf.DUMMYFUNCTION("if(isblank(A100),,REGEXMATCH(B100,""(^I *\+ N *$)|(^N *\+ I *$)"") )"),FALSE)</f>
        <v>0</v>
      </c>
      <c r="L100" s="37" t="b">
        <f>IFERROR(__xludf.DUMMYFUNCTION("if(isblank(A100),,REGEXMATCH(B100,""^D *\+ D *$""))"),FALSE)</f>
        <v>0</v>
      </c>
      <c r="M100" s="37" t="b">
        <f>IFERROR(__xludf.DUMMYFUNCTION("if(isblank(A100),,REGEXMATCH(B100,""(^U *\+ D *$)|(^D *\+ U *$)""))"),FALSE)</f>
        <v>0</v>
      </c>
      <c r="N100" s="37" t="b">
        <f>IFERROR(__xludf.DUMMYFUNCTION("if(isblank(A100),,REGEXMATCH(B100,""(^N *\+ D *$)|(^D *\+ N *$)""))"),FALSE)</f>
        <v>0</v>
      </c>
      <c r="O100" s="37" t="b">
        <f>IFERROR(__xludf.DUMMYFUNCTION("if(isblank(A100),,REGEXMATCH(B100,""^U *\+ U *$""))"),FALSE)</f>
        <v>0</v>
      </c>
      <c r="P100" s="37" t="b">
        <f>IFERROR(__xludf.DUMMYFUNCTION("if(isblank(A100),,REGEXMATCH(B100,""(^U *\+ N *$)|(^N *\+ U *$)""))"),FALSE)</f>
        <v>0</v>
      </c>
      <c r="Q100" s="37" t="b">
        <f>IFERROR(__xludf.DUMMYFUNCTION("if(isblank(A100),,REGEXMATCH(B100,""^((I ?\+ ?(D ?I|I ?D))|((D ?I|I ?D) ?\+ ?I)) *$""))"),FALSE)</f>
        <v>0</v>
      </c>
      <c r="R100" s="37" t="b">
        <f>IFERROR(__xludf.DUMMYFUNCTION("if(isblank(A100),,REGEXMATCH(B100,""^((D ?\+ ?(D ?I|I ?D))|((D ?I|I ?D) ?\+ ?D)) *$""))"),FALSE)</f>
        <v>0</v>
      </c>
      <c r="S100" s="37" t="b">
        <f>IFERROR(__xludf.DUMMYFUNCTION("if(isblank(A100),,REGEXMATCH(B100,""^((U ?\+ ?(D ?I|I ?D))|((D ?I|I ?D) ?\+ ?U)) *$""))"),FALSE)</f>
        <v>0</v>
      </c>
      <c r="T100" s="37" t="b">
        <f>IFERROR(__xludf.DUMMYFUNCTION("if(isblank(A100),,REGEXMATCH(B100,""^((N ?\+ ?(D ?I|I ?D))|((D ?I|I ?D) ?\+ ?N)) *$""))"),FALSE)</f>
        <v>0</v>
      </c>
      <c r="U100" s="37" t="b">
        <f>IFERROR(__xludf.DUMMYFUNCTION("if(isblank(A100),,REGEXMATCH(B100,""^((I ?\+ ?(U ?I|I ?U))|((I ?U|U ?I) ?\+ ?I)) *$""))"),FALSE)</f>
        <v>0</v>
      </c>
      <c r="V100" s="37" t="b">
        <f>IFERROR(__xludf.DUMMYFUNCTION("if(isblank(A100),,REGEXMATCH(B100,""^((D ?\+ ?(U ?I|I ?U))|((I ?U|U ?I) ?\+ ?D)) *$""))"),FALSE)</f>
        <v>0</v>
      </c>
      <c r="W100" s="37" t="b">
        <f>IFERROR(__xludf.DUMMYFUNCTION("if(isblank(A100),,REGEXMATCH(B100,""^((U ?\+ ?(U ?I|I ?U))|((I ?U|U ?I) ?\+ ?U)) *$""))"),FALSE)</f>
        <v>0</v>
      </c>
      <c r="X100" s="37" t="b">
        <f>IFERROR(__xludf.DUMMYFUNCTION("if(isblank(A100),,REGEXMATCH(B100,""^((N ?\+ ?(U ?I|I ?U))|((I ?U|U ?I) ?\+ ?N)) *$""))"),FALSE)</f>
        <v>0</v>
      </c>
      <c r="Y100" s="37" t="b">
        <f>IFERROR(__xludf.DUMMYFUNCTION("if(isblank(A100),,REGEXMATCH(B100,""^((I ?\+ ?(U ?D|D ?U))|((D ?U|U ?D) ?\+ ?I)) *$""))"),FALSE)</f>
        <v>0</v>
      </c>
      <c r="Z100" s="37" t="b">
        <f>IFERROR(__xludf.DUMMYFUNCTION("if(isblank(A100),,REGEXMATCH(B100,""^((D ?\+ ?(U ?D|D ?U))|((D ?U|U ?D) ?\+ ?D)) *$""))"),FALSE)</f>
        <v>0</v>
      </c>
      <c r="AA100" s="37" t="b">
        <f>IFERROR(__xludf.DUMMYFUNCTION("if(isblank(A100),,REGEXMATCH(B100,""^((U ?\+ ?(U ?D|D ?U))|((D ?U|U ?D) ?\+ ?U)) *$""))"),FALSE)</f>
        <v>0</v>
      </c>
      <c r="AB100" s="37" t="b">
        <f>IFERROR(__xludf.DUMMYFUNCTION("if(isblank(A100),,REGEXMATCH(B100,""^((D ?I|I ?D) ?\+ ?(D ?I|I ?D)) *$""))"),FALSE)</f>
        <v>0</v>
      </c>
      <c r="AC100" s="37" t="b">
        <f>IFERROR(__xludf.DUMMYFUNCTION("if(isblank(A100),,REGEXMATCH(B100,""^((D ?I|I ?D) ?\+ ?(U ?I|I ?U))|((U ?I|I ?U) ?\+ ?(D ?I|I ?D)) *$""))"),FALSE)</f>
        <v>0</v>
      </c>
      <c r="AD100" s="37" t="b">
        <f>IFERROR(__xludf.DUMMYFUNCTION("if(isblank(A100),,REGEXMATCH(B100,""^I *vs\. I *$""))"),FALSE)</f>
        <v>0</v>
      </c>
      <c r="AE100" s="37" t="b">
        <f>IFERROR(__xludf.DUMMYFUNCTION("if(isblank(A100),,REGEXMATCH(B100,""(^I *vs\. D *$)|(^D *vs\. I *$)""))"),FALSE)</f>
        <v>0</v>
      </c>
      <c r="AF100" s="37" t="b">
        <f>IFERROR(__xludf.DUMMYFUNCTION("if(isblank(A100),,REGEXMATCH(B100,""(^I *vs\. U *$)|(^U *vs\. I *$)""))"),FALSE)</f>
        <v>0</v>
      </c>
      <c r="AG100" s="37" t="b">
        <f>IFERROR(__xludf.DUMMYFUNCTION("if(isblank(A100),,REGEXMATCH(B100,""^D *vs\. D *$""))"),FALSE)</f>
        <v>0</v>
      </c>
      <c r="AH100" s="37" t="b">
        <f>IFERROR(__xludf.DUMMYFUNCTION("if(isblank(A100),,REGEXMATCH(B100,""(^U *vs\. D *$)|(^D *vs\. U *$)""))"),FALSE)</f>
        <v>0</v>
      </c>
      <c r="AI100" s="37" t="b">
        <f>IFERROR(__xludf.DUMMYFUNCTION("if(isblank(A100),,REGEXMATCH(B100,""^U *vs\. U *$""))"),TRUE)</f>
        <v>1</v>
      </c>
      <c r="AJ100" s="37" t="b">
        <f>IFERROR(__xludf.DUMMYFUNCTION("if(isblank(A100),,REGEXMATCH(B100,""^((I ?vs\. ?(D ?I|I ?D))|((D ?I|I ?D) ?vs\. ?I)) *$""))"),FALSE)</f>
        <v>0</v>
      </c>
      <c r="AK100" s="37" t="b">
        <f>IFERROR(__xludf.DUMMYFUNCTION("if(isblank(A100),,REGEXMATCH(B100,""^((D ?vs\. ?(D ?I|I ?D))|((D ?I|I ?D) ?vs\. ?D)) *$""))"),FALSE)</f>
        <v>0</v>
      </c>
      <c r="AL100" s="37" t="b">
        <f>IFERROR(__xludf.DUMMYFUNCTION("if(isblank(A100),,REGEXMATCH(B100,""^((U ?vs\. ?(D ?I|I ?D))|((D ?I|I ?D) ?vs\. ?U)) *$""))"),FALSE)</f>
        <v>0</v>
      </c>
      <c r="AM100" s="37" t="b">
        <f>IFERROR(__xludf.DUMMYFUNCTION("if(isblank(A100),,REGEXMATCH(B100,""^((I ?vs\. ?(U ?I|I ?U))|((U ?I|I ?U) ?vs\. ?I)) *$""))"),FALSE)</f>
        <v>0</v>
      </c>
      <c r="AN100" s="37" t="b">
        <f>IFERROR(__xludf.DUMMYFUNCTION("if(isblank(A100),,REGEXMATCH(B100,""^((D ?vs\. ?(U ?I|I ?U))|((U ?I|I ?U) ?vs\. ?D)) *$""))"),FALSE)</f>
        <v>0</v>
      </c>
      <c r="AO100" s="37" t="b">
        <f>IFERROR(__xludf.DUMMYFUNCTION("if(isblank(A100),,REGEXMATCH(B100,""^((U ?vs\. ?(U ?I|I ?U))|((U ?I|I ?U) ?vs\. ?U)) *$""))"),FALSE)</f>
        <v>0</v>
      </c>
      <c r="AP100" s="37" t="b">
        <f>IFERROR(__xludf.DUMMYFUNCTION("if(isblank(A100),,REGEXMATCH(B100,""^((I ?vs\. ?(U ?D|D ?U))|((D ?U|U ?D) ?vs\. ?I)) *$""))"),FALSE)</f>
        <v>0</v>
      </c>
      <c r="AQ100" s="37" t="b">
        <f>IFERROR(__xludf.DUMMYFUNCTION("if(isblank(A100),,REGEXMATCH(B100,""^((D ?vs\. ?(U ?D|D ?U))|((D ?U|U ?D) ?vs\. ?D)) *$""))"),FALSE)</f>
        <v>0</v>
      </c>
      <c r="AR100" s="37" t="b">
        <f>IFERROR(__xludf.DUMMYFUNCTION("if(isblank(A100),,REGEXMATCH(B100,""^((U ?vs\. ?(U ?D|D ?U))|((D ?U|U ?D) ?vs\. ?U)) *$""))"),FALSE)</f>
        <v>0</v>
      </c>
      <c r="AS100" s="37" t="b">
        <f>IFERROR(__xludf.DUMMYFUNCTION("if(isblank(A100),,REGEXMATCH(B100,""^((D ?I|I ?D) ?vs\. ?(D ?I|I ?D)) *$""))"),FALSE)</f>
        <v>0</v>
      </c>
      <c r="AT100" s="37" t="b">
        <f>IFERROR(__xludf.DUMMYFUNCTION("if(isblank(A100),,REGEXMATCH(B100,""^((D ?I|I ?D) ?vs\. ?(U ?I|I ?U))|((U ?I|I ?U) ?vs\. ?(D ?I|I ?D)) *$""))"),FALSE)</f>
        <v>0</v>
      </c>
      <c r="AU100" s="37" t="b">
        <f>IFERROR(__xludf.DUMMYFUNCTION("if(isblank(A100),,REGEXMATCH(B100,""^((D ?I|I ?D) ?vs\. ?(U ?D|D ?U))|((U ?D|D ?U) ?vs\. ?(D ?I|I ?D)) *$""))"),FALSE)</f>
        <v>0</v>
      </c>
      <c r="AV100" s="37" t="b">
        <f>IFERROR(__xludf.DUMMYFUNCTION("if(isblank(A100),,REGEXMATCH(B100,""^((U ?I|I ?U) ?vs\. ?(U ?I|I ?U)) *$""))"),FALSE)</f>
        <v>0</v>
      </c>
    </row>
    <row r="101" ht="26.25" customHeight="1">
      <c r="A101" s="79" t="str">
        <f>Paper_Textual_Conflict!M101</f>
        <v>D I vs. U I(R is subset of L)</v>
      </c>
      <c r="B101" s="37" t="str">
        <f>IFERROR(__xludf.DUMMYFUNCTION("if(isblank(A101),,regexextract(REGEXEXTRACT(A101,""^.*""),""^[^(]*""))"),"D I vs. U I")</f>
        <v>D I vs. U I</v>
      </c>
      <c r="C101" s="37" t="b">
        <f>IFERROR(__xludf.DUMMYFUNCTION("if(isblank(A101),,REGEXMATCH(B101,"".*\+.*"") )"),FALSE)</f>
        <v>0</v>
      </c>
      <c r="D101" s="37" t="b">
        <f>IFERROR(__xludf.DUMMYFUNCTION("if(isblank(A101),,REGEXMATCH(B101,"".*vs.*"") )"),TRUE)</f>
        <v>1</v>
      </c>
      <c r="E101" s="37" t="b">
        <f>Paper_Textual_Conflict!H101</f>
        <v>1</v>
      </c>
      <c r="F101" s="37" t="str">
        <f>Paper_Textual_Conflict!Q101</f>
        <v>Java</v>
      </c>
      <c r="G101" s="33">
        <v>101.0</v>
      </c>
      <c r="H101" s="37" t="b">
        <f>IFERROR(__xludf.DUMMYFUNCTION("if(isblank(A101),,REGEXMATCH(B101,""^I *\+ I *$""))"),FALSE)</f>
        <v>0</v>
      </c>
      <c r="I101" s="37" t="b">
        <f>IFERROR(__xludf.DUMMYFUNCTION("if(isblank(A101),,REGEXMATCH(B101,""(^I *\+ D *$)|(^D *\+ I *$)""))"),FALSE)</f>
        <v>0</v>
      </c>
      <c r="J101" s="37" t="b">
        <f>IFERROR(__xludf.DUMMYFUNCTION("if(isblank(A101),,REGEXMATCH(B101,""(^I *\+ U *$)|(^U *\+ I *$)""))"),FALSE)</f>
        <v>0</v>
      </c>
      <c r="K101" s="37" t="b">
        <f>IFERROR(__xludf.DUMMYFUNCTION("if(isblank(A101),,REGEXMATCH(B101,""(^I *\+ N *$)|(^N *\+ I *$)"") )"),FALSE)</f>
        <v>0</v>
      </c>
      <c r="L101" s="37" t="b">
        <f>IFERROR(__xludf.DUMMYFUNCTION("if(isblank(A101),,REGEXMATCH(B101,""^D *\+ D *$""))"),FALSE)</f>
        <v>0</v>
      </c>
      <c r="M101" s="37" t="b">
        <f>IFERROR(__xludf.DUMMYFUNCTION("if(isblank(A101),,REGEXMATCH(B101,""(^U *\+ D *$)|(^D *\+ U *$)""))"),FALSE)</f>
        <v>0</v>
      </c>
      <c r="N101" s="37" t="b">
        <f>IFERROR(__xludf.DUMMYFUNCTION("if(isblank(A101),,REGEXMATCH(B101,""(^N *\+ D *$)|(^D *\+ N *$)""))"),FALSE)</f>
        <v>0</v>
      </c>
      <c r="O101" s="37" t="b">
        <f>IFERROR(__xludf.DUMMYFUNCTION("if(isblank(A101),,REGEXMATCH(B101,""^U *\+ U *$""))"),FALSE)</f>
        <v>0</v>
      </c>
      <c r="P101" s="37" t="b">
        <f>IFERROR(__xludf.DUMMYFUNCTION("if(isblank(A101),,REGEXMATCH(B101,""(^U *\+ N *$)|(^N *\+ U *$)""))"),FALSE)</f>
        <v>0</v>
      </c>
      <c r="Q101" s="37" t="b">
        <f>IFERROR(__xludf.DUMMYFUNCTION("if(isblank(A101),,REGEXMATCH(B101,""^((I ?\+ ?(D ?I|I ?D))|((D ?I|I ?D) ?\+ ?I)) *$""))"),FALSE)</f>
        <v>0</v>
      </c>
      <c r="R101" s="37" t="b">
        <f>IFERROR(__xludf.DUMMYFUNCTION("if(isblank(A101),,REGEXMATCH(B101,""^((D ?\+ ?(D ?I|I ?D))|((D ?I|I ?D) ?\+ ?D)) *$""))"),FALSE)</f>
        <v>0</v>
      </c>
      <c r="S101" s="37" t="b">
        <f>IFERROR(__xludf.DUMMYFUNCTION("if(isblank(A101),,REGEXMATCH(B101,""^((U ?\+ ?(D ?I|I ?D))|((D ?I|I ?D) ?\+ ?U)) *$""))"),FALSE)</f>
        <v>0</v>
      </c>
      <c r="T101" s="37" t="b">
        <f>IFERROR(__xludf.DUMMYFUNCTION("if(isblank(A101),,REGEXMATCH(B101,""^((N ?\+ ?(D ?I|I ?D))|((D ?I|I ?D) ?\+ ?N)) *$""))"),FALSE)</f>
        <v>0</v>
      </c>
      <c r="U101" s="37" t="b">
        <f>IFERROR(__xludf.DUMMYFUNCTION("if(isblank(A101),,REGEXMATCH(B101,""^((I ?\+ ?(U ?I|I ?U))|((I ?U|U ?I) ?\+ ?I)) *$""))"),FALSE)</f>
        <v>0</v>
      </c>
      <c r="V101" s="37" t="b">
        <f>IFERROR(__xludf.DUMMYFUNCTION("if(isblank(A101),,REGEXMATCH(B101,""^((D ?\+ ?(U ?I|I ?U))|((I ?U|U ?I) ?\+ ?D)) *$""))"),FALSE)</f>
        <v>0</v>
      </c>
      <c r="W101" s="37" t="b">
        <f>IFERROR(__xludf.DUMMYFUNCTION("if(isblank(A101),,REGEXMATCH(B101,""^((U ?\+ ?(U ?I|I ?U))|((I ?U|U ?I) ?\+ ?U)) *$""))"),FALSE)</f>
        <v>0</v>
      </c>
      <c r="X101" s="37" t="b">
        <f>IFERROR(__xludf.DUMMYFUNCTION("if(isblank(A101),,REGEXMATCH(B101,""^((N ?\+ ?(U ?I|I ?U))|((I ?U|U ?I) ?\+ ?N)) *$""))"),FALSE)</f>
        <v>0</v>
      </c>
      <c r="Y101" s="37" t="b">
        <f>IFERROR(__xludf.DUMMYFUNCTION("if(isblank(A101),,REGEXMATCH(B101,""^((I ?\+ ?(U ?D|D ?U))|((D ?U|U ?D) ?\+ ?I)) *$""))"),FALSE)</f>
        <v>0</v>
      </c>
      <c r="Z101" s="37" t="b">
        <f>IFERROR(__xludf.DUMMYFUNCTION("if(isblank(A101),,REGEXMATCH(B101,""^((D ?\+ ?(U ?D|D ?U))|((D ?U|U ?D) ?\+ ?D)) *$""))"),FALSE)</f>
        <v>0</v>
      </c>
      <c r="AA101" s="37" t="b">
        <f>IFERROR(__xludf.DUMMYFUNCTION("if(isblank(A101),,REGEXMATCH(B101,""^((U ?\+ ?(U ?D|D ?U))|((D ?U|U ?D) ?\+ ?U)) *$""))"),FALSE)</f>
        <v>0</v>
      </c>
      <c r="AB101" s="37" t="b">
        <f>IFERROR(__xludf.DUMMYFUNCTION("if(isblank(A101),,REGEXMATCH(B101,""^((D ?I|I ?D) ?\+ ?(D ?I|I ?D)) *$""))"),FALSE)</f>
        <v>0</v>
      </c>
      <c r="AC101" s="37" t="b">
        <f>IFERROR(__xludf.DUMMYFUNCTION("if(isblank(A101),,REGEXMATCH(B101,""^((D ?I|I ?D) ?\+ ?(U ?I|I ?U))|((U ?I|I ?U) ?\+ ?(D ?I|I ?D)) *$""))"),FALSE)</f>
        <v>0</v>
      </c>
      <c r="AD101" s="37" t="b">
        <f>IFERROR(__xludf.DUMMYFUNCTION("if(isblank(A101),,REGEXMATCH(B101,""^I *vs\. I *$""))"),FALSE)</f>
        <v>0</v>
      </c>
      <c r="AE101" s="37" t="b">
        <f>IFERROR(__xludf.DUMMYFUNCTION("if(isblank(A101),,REGEXMATCH(B101,""(^I *vs\. D *$)|(^D *vs\. I *$)""))"),FALSE)</f>
        <v>0</v>
      </c>
      <c r="AF101" s="37" t="b">
        <f>IFERROR(__xludf.DUMMYFUNCTION("if(isblank(A101),,REGEXMATCH(B101,""(^I *vs\. U *$)|(^U *vs\. I *$)""))"),FALSE)</f>
        <v>0</v>
      </c>
      <c r="AG101" s="37" t="b">
        <f>IFERROR(__xludf.DUMMYFUNCTION("if(isblank(A101),,REGEXMATCH(B101,""^D *vs\. D *$""))"),FALSE)</f>
        <v>0</v>
      </c>
      <c r="AH101" s="37" t="b">
        <f>IFERROR(__xludf.DUMMYFUNCTION("if(isblank(A101),,REGEXMATCH(B101,""(^U *vs\. D *$)|(^D *vs\. U *$)""))"),FALSE)</f>
        <v>0</v>
      </c>
      <c r="AI101" s="37" t="b">
        <f>IFERROR(__xludf.DUMMYFUNCTION("if(isblank(A101),,REGEXMATCH(B101,""^U *vs\. U *$""))"),FALSE)</f>
        <v>0</v>
      </c>
      <c r="AJ101" s="37" t="b">
        <f>IFERROR(__xludf.DUMMYFUNCTION("if(isblank(A101),,REGEXMATCH(B101,""^((I ?vs\. ?(D ?I|I ?D))|((D ?I|I ?D) ?vs\. ?I)) *$""))"),FALSE)</f>
        <v>0</v>
      </c>
      <c r="AK101" s="37" t="b">
        <f>IFERROR(__xludf.DUMMYFUNCTION("if(isblank(A101),,REGEXMATCH(B101,""^((D ?vs\. ?(D ?I|I ?D))|((D ?I|I ?D) ?vs\. ?D)) *$""))"),FALSE)</f>
        <v>0</v>
      </c>
      <c r="AL101" s="37" t="b">
        <f>IFERROR(__xludf.DUMMYFUNCTION("if(isblank(A101),,REGEXMATCH(B101,""^((U ?vs\. ?(D ?I|I ?D))|((D ?I|I ?D) ?vs\. ?U)) *$""))"),FALSE)</f>
        <v>0</v>
      </c>
      <c r="AM101" s="37" t="b">
        <f>IFERROR(__xludf.DUMMYFUNCTION("if(isblank(A101),,REGEXMATCH(B101,""^((I ?vs\. ?(U ?I|I ?U))|((U ?I|I ?U) ?vs\. ?I)) *$""))"),FALSE)</f>
        <v>0</v>
      </c>
      <c r="AN101" s="37" t="b">
        <f>IFERROR(__xludf.DUMMYFUNCTION("if(isblank(A101),,REGEXMATCH(B101,""^((D ?vs\. ?(U ?I|I ?U))|((U ?I|I ?U) ?vs\. ?D)) *$""))"),FALSE)</f>
        <v>0</v>
      </c>
      <c r="AO101" s="37" t="b">
        <f>IFERROR(__xludf.DUMMYFUNCTION("if(isblank(A101),,REGEXMATCH(B101,""^((U ?vs\. ?(U ?I|I ?U))|((U ?I|I ?U) ?vs\. ?U)) *$""))"),FALSE)</f>
        <v>0</v>
      </c>
      <c r="AP101" s="37" t="b">
        <f>IFERROR(__xludf.DUMMYFUNCTION("if(isblank(A101),,REGEXMATCH(B101,""^((I ?vs\. ?(U ?D|D ?U))|((D ?U|U ?D) ?vs\. ?I)) *$""))"),FALSE)</f>
        <v>0</v>
      </c>
      <c r="AQ101" s="37" t="b">
        <f>IFERROR(__xludf.DUMMYFUNCTION("if(isblank(A101),,REGEXMATCH(B101,""^((D ?vs\. ?(U ?D|D ?U))|((D ?U|U ?D) ?vs\. ?D)) *$""))"),FALSE)</f>
        <v>0</v>
      </c>
      <c r="AR101" s="37" t="b">
        <f>IFERROR(__xludf.DUMMYFUNCTION("if(isblank(A101),,REGEXMATCH(B101,""^((U ?vs\. ?(U ?D|D ?U))|((D ?U|U ?D) ?vs\. ?U)) *$""))"),FALSE)</f>
        <v>0</v>
      </c>
      <c r="AS101" s="37" t="b">
        <f>IFERROR(__xludf.DUMMYFUNCTION("if(isblank(A101),,REGEXMATCH(B101,""^((D ?I|I ?D) ?vs\. ?(D ?I|I ?D)) *$""))"),FALSE)</f>
        <v>0</v>
      </c>
      <c r="AT101" s="37" t="b">
        <f>IFERROR(__xludf.DUMMYFUNCTION("if(isblank(A101),,REGEXMATCH(B101,""^((D ?I|I ?D) ?vs\. ?(U ?I|I ?U))|((U ?I|I ?U) ?vs\. ?(D ?I|I ?D)) *$""))"),TRUE)</f>
        <v>1</v>
      </c>
      <c r="AU101" s="37" t="b">
        <f>IFERROR(__xludf.DUMMYFUNCTION("if(isblank(A101),,REGEXMATCH(B101,""^((D ?I|I ?D) ?vs\. ?(U ?D|D ?U))|((U ?D|D ?U) ?vs\. ?(D ?I|I ?D)) *$""))"),FALSE)</f>
        <v>0</v>
      </c>
      <c r="AV101" s="37" t="b">
        <f>IFERROR(__xludf.DUMMYFUNCTION("if(isblank(A101),,REGEXMATCH(B101,""^((U ?I|I ?U) ?vs\. ?(U ?I|I ?U)) *$""))"),FALSE)</f>
        <v>0</v>
      </c>
    </row>
    <row r="102" ht="26.25" customHeight="1">
      <c r="A102" s="79" t="str">
        <f>Paper_Textual_Conflict!M102</f>
        <v>D vs. U (Java file)</v>
      </c>
      <c r="B102" s="37" t="str">
        <f>IFERROR(__xludf.DUMMYFUNCTION("if(isblank(A102),,regexextract(REGEXEXTRACT(A102,""^.*""),""^[^(]*""))"),"D vs. U ")</f>
        <v>D vs. U </v>
      </c>
      <c r="C102" s="37" t="b">
        <f>IFERROR(__xludf.DUMMYFUNCTION("if(isblank(A102),,REGEXMATCH(B102,"".*\+.*"") )"),FALSE)</f>
        <v>0</v>
      </c>
      <c r="D102" s="37" t="b">
        <f>IFERROR(__xludf.DUMMYFUNCTION("if(isblank(A102),,REGEXMATCH(B102,"".*vs.*"") )"),TRUE)</f>
        <v>1</v>
      </c>
      <c r="E102" s="37" t="b">
        <f>Paper_Textual_Conflict!H102</f>
        <v>1</v>
      </c>
      <c r="F102" s="37" t="str">
        <f>Paper_Textual_Conflict!Q102</f>
        <v>Java</v>
      </c>
      <c r="G102" s="33">
        <v>102.0</v>
      </c>
      <c r="H102" s="37" t="b">
        <f>IFERROR(__xludf.DUMMYFUNCTION("if(isblank(A102),,REGEXMATCH(B102,""^I *\+ I *$""))"),FALSE)</f>
        <v>0</v>
      </c>
      <c r="I102" s="37" t="b">
        <f>IFERROR(__xludf.DUMMYFUNCTION("if(isblank(A102),,REGEXMATCH(B102,""(^I *\+ D *$)|(^D *\+ I *$)""))"),FALSE)</f>
        <v>0</v>
      </c>
      <c r="J102" s="37" t="b">
        <f>IFERROR(__xludf.DUMMYFUNCTION("if(isblank(A102),,REGEXMATCH(B102,""(^I *\+ U *$)|(^U *\+ I *$)""))"),FALSE)</f>
        <v>0</v>
      </c>
      <c r="K102" s="37" t="b">
        <f>IFERROR(__xludf.DUMMYFUNCTION("if(isblank(A102),,REGEXMATCH(B102,""(^I *\+ N *$)|(^N *\+ I *$)"") )"),FALSE)</f>
        <v>0</v>
      </c>
      <c r="L102" s="37" t="b">
        <f>IFERROR(__xludf.DUMMYFUNCTION("if(isblank(A102),,REGEXMATCH(B102,""^D *\+ D *$""))"),FALSE)</f>
        <v>0</v>
      </c>
      <c r="M102" s="37" t="b">
        <f>IFERROR(__xludf.DUMMYFUNCTION("if(isblank(A102),,REGEXMATCH(B102,""(^U *\+ D *$)|(^D *\+ U *$)""))"),FALSE)</f>
        <v>0</v>
      </c>
      <c r="N102" s="37" t="b">
        <f>IFERROR(__xludf.DUMMYFUNCTION("if(isblank(A102),,REGEXMATCH(B102,""(^N *\+ D *$)|(^D *\+ N *$)""))"),FALSE)</f>
        <v>0</v>
      </c>
      <c r="O102" s="37" t="b">
        <f>IFERROR(__xludf.DUMMYFUNCTION("if(isblank(A102),,REGEXMATCH(B102,""^U *\+ U *$""))"),FALSE)</f>
        <v>0</v>
      </c>
      <c r="P102" s="37" t="b">
        <f>IFERROR(__xludf.DUMMYFUNCTION("if(isblank(A102),,REGEXMATCH(B102,""(^U *\+ N *$)|(^N *\+ U *$)""))"),FALSE)</f>
        <v>0</v>
      </c>
      <c r="Q102" s="37" t="b">
        <f>IFERROR(__xludf.DUMMYFUNCTION("if(isblank(A102),,REGEXMATCH(B102,""^((I ?\+ ?(D ?I|I ?D))|((D ?I|I ?D) ?\+ ?I)) *$""))"),FALSE)</f>
        <v>0</v>
      </c>
      <c r="R102" s="37" t="b">
        <f>IFERROR(__xludf.DUMMYFUNCTION("if(isblank(A102),,REGEXMATCH(B102,""^((D ?\+ ?(D ?I|I ?D))|((D ?I|I ?D) ?\+ ?D)) *$""))"),FALSE)</f>
        <v>0</v>
      </c>
      <c r="S102" s="37" t="b">
        <f>IFERROR(__xludf.DUMMYFUNCTION("if(isblank(A102),,REGEXMATCH(B102,""^((U ?\+ ?(D ?I|I ?D))|((D ?I|I ?D) ?\+ ?U)) *$""))"),FALSE)</f>
        <v>0</v>
      </c>
      <c r="T102" s="37" t="b">
        <f>IFERROR(__xludf.DUMMYFUNCTION("if(isblank(A102),,REGEXMATCH(B102,""^((N ?\+ ?(D ?I|I ?D))|((D ?I|I ?D) ?\+ ?N)) *$""))"),FALSE)</f>
        <v>0</v>
      </c>
      <c r="U102" s="37" t="b">
        <f>IFERROR(__xludf.DUMMYFUNCTION("if(isblank(A102),,REGEXMATCH(B102,""^((I ?\+ ?(U ?I|I ?U))|((I ?U|U ?I) ?\+ ?I)) *$""))"),FALSE)</f>
        <v>0</v>
      </c>
      <c r="V102" s="37" t="b">
        <f>IFERROR(__xludf.DUMMYFUNCTION("if(isblank(A102),,REGEXMATCH(B102,""^((D ?\+ ?(U ?I|I ?U))|((I ?U|U ?I) ?\+ ?D)) *$""))"),FALSE)</f>
        <v>0</v>
      </c>
      <c r="W102" s="37" t="b">
        <f>IFERROR(__xludf.DUMMYFUNCTION("if(isblank(A102),,REGEXMATCH(B102,""^((U ?\+ ?(U ?I|I ?U))|((I ?U|U ?I) ?\+ ?U)) *$""))"),FALSE)</f>
        <v>0</v>
      </c>
      <c r="X102" s="37" t="b">
        <f>IFERROR(__xludf.DUMMYFUNCTION("if(isblank(A102),,REGEXMATCH(B102,""^((N ?\+ ?(U ?I|I ?U))|((I ?U|U ?I) ?\+ ?N)) *$""))"),FALSE)</f>
        <v>0</v>
      </c>
      <c r="Y102" s="37" t="b">
        <f>IFERROR(__xludf.DUMMYFUNCTION("if(isblank(A102),,REGEXMATCH(B102,""^((I ?\+ ?(U ?D|D ?U))|((D ?U|U ?D) ?\+ ?I)) *$""))"),FALSE)</f>
        <v>0</v>
      </c>
      <c r="Z102" s="37" t="b">
        <f>IFERROR(__xludf.DUMMYFUNCTION("if(isblank(A102),,REGEXMATCH(B102,""^((D ?\+ ?(U ?D|D ?U))|((D ?U|U ?D) ?\+ ?D)) *$""))"),FALSE)</f>
        <v>0</v>
      </c>
      <c r="AA102" s="37" t="b">
        <f>IFERROR(__xludf.DUMMYFUNCTION("if(isblank(A102),,REGEXMATCH(B102,""^((U ?\+ ?(U ?D|D ?U))|((D ?U|U ?D) ?\+ ?U)) *$""))"),FALSE)</f>
        <v>0</v>
      </c>
      <c r="AB102" s="37" t="b">
        <f>IFERROR(__xludf.DUMMYFUNCTION("if(isblank(A102),,REGEXMATCH(B102,""^((D ?I|I ?D) ?\+ ?(D ?I|I ?D)) *$""))"),FALSE)</f>
        <v>0</v>
      </c>
      <c r="AC102" s="37" t="b">
        <f>IFERROR(__xludf.DUMMYFUNCTION("if(isblank(A102),,REGEXMATCH(B102,""^((D ?I|I ?D) ?\+ ?(U ?I|I ?U))|((U ?I|I ?U) ?\+ ?(D ?I|I ?D)) *$""))"),FALSE)</f>
        <v>0</v>
      </c>
      <c r="AD102" s="37" t="b">
        <f>IFERROR(__xludf.DUMMYFUNCTION("if(isblank(A102),,REGEXMATCH(B102,""^I *vs\. I *$""))"),FALSE)</f>
        <v>0</v>
      </c>
      <c r="AE102" s="37" t="b">
        <f>IFERROR(__xludf.DUMMYFUNCTION("if(isblank(A102),,REGEXMATCH(B102,""(^I *vs\. D *$)|(^D *vs\. I *$)""))"),FALSE)</f>
        <v>0</v>
      </c>
      <c r="AF102" s="37" t="b">
        <f>IFERROR(__xludf.DUMMYFUNCTION("if(isblank(A102),,REGEXMATCH(B102,""(^I *vs\. U *$)|(^U *vs\. I *$)""))"),FALSE)</f>
        <v>0</v>
      </c>
      <c r="AG102" s="37" t="b">
        <f>IFERROR(__xludf.DUMMYFUNCTION("if(isblank(A102),,REGEXMATCH(B102,""^D *vs\. D *$""))"),FALSE)</f>
        <v>0</v>
      </c>
      <c r="AH102" s="37" t="b">
        <f>IFERROR(__xludf.DUMMYFUNCTION("if(isblank(A102),,REGEXMATCH(B102,""(^U *vs\. D *$)|(^D *vs\. U *$)""))"),TRUE)</f>
        <v>1</v>
      </c>
      <c r="AI102" s="37" t="b">
        <f>IFERROR(__xludf.DUMMYFUNCTION("if(isblank(A102),,REGEXMATCH(B102,""^U *vs\. U *$""))"),FALSE)</f>
        <v>0</v>
      </c>
      <c r="AJ102" s="37" t="b">
        <f>IFERROR(__xludf.DUMMYFUNCTION("if(isblank(A102),,REGEXMATCH(B102,""^((I ?vs\. ?(D ?I|I ?D))|((D ?I|I ?D) ?vs\. ?I)) *$""))"),FALSE)</f>
        <v>0</v>
      </c>
      <c r="AK102" s="37" t="b">
        <f>IFERROR(__xludf.DUMMYFUNCTION("if(isblank(A102),,REGEXMATCH(B102,""^((D ?vs\. ?(D ?I|I ?D))|((D ?I|I ?D) ?vs\. ?D)) *$""))"),FALSE)</f>
        <v>0</v>
      </c>
      <c r="AL102" s="37" t="b">
        <f>IFERROR(__xludf.DUMMYFUNCTION("if(isblank(A102),,REGEXMATCH(B102,""^((U ?vs\. ?(D ?I|I ?D))|((D ?I|I ?D) ?vs\. ?U)) *$""))"),FALSE)</f>
        <v>0</v>
      </c>
      <c r="AM102" s="37" t="b">
        <f>IFERROR(__xludf.DUMMYFUNCTION("if(isblank(A102),,REGEXMATCH(B102,""^((I ?vs\. ?(U ?I|I ?U))|((U ?I|I ?U) ?vs\. ?I)) *$""))"),FALSE)</f>
        <v>0</v>
      </c>
      <c r="AN102" s="37" t="b">
        <f>IFERROR(__xludf.DUMMYFUNCTION("if(isblank(A102),,REGEXMATCH(B102,""^((D ?vs\. ?(U ?I|I ?U))|((U ?I|I ?U) ?vs\. ?D)) *$""))"),FALSE)</f>
        <v>0</v>
      </c>
      <c r="AO102" s="37" t="b">
        <f>IFERROR(__xludf.DUMMYFUNCTION("if(isblank(A102),,REGEXMATCH(B102,""^((U ?vs\. ?(U ?I|I ?U))|((U ?I|I ?U) ?vs\. ?U)) *$""))"),FALSE)</f>
        <v>0</v>
      </c>
      <c r="AP102" s="37" t="b">
        <f>IFERROR(__xludf.DUMMYFUNCTION("if(isblank(A102),,REGEXMATCH(B102,""^((I ?vs\. ?(U ?D|D ?U))|((D ?U|U ?D) ?vs\. ?I)) *$""))"),FALSE)</f>
        <v>0</v>
      </c>
      <c r="AQ102" s="37" t="b">
        <f>IFERROR(__xludf.DUMMYFUNCTION("if(isblank(A102),,REGEXMATCH(B102,""^((D ?vs\. ?(U ?D|D ?U))|((D ?U|U ?D) ?vs\. ?D)) *$""))"),FALSE)</f>
        <v>0</v>
      </c>
      <c r="AR102" s="37" t="b">
        <f>IFERROR(__xludf.DUMMYFUNCTION("if(isblank(A102),,REGEXMATCH(B102,""^((U ?vs\. ?(U ?D|D ?U))|((D ?U|U ?D) ?vs\. ?U)) *$""))"),FALSE)</f>
        <v>0</v>
      </c>
      <c r="AS102" s="37" t="b">
        <f>IFERROR(__xludf.DUMMYFUNCTION("if(isblank(A102),,REGEXMATCH(B102,""^((D ?I|I ?D) ?vs\. ?(D ?I|I ?D)) *$""))"),FALSE)</f>
        <v>0</v>
      </c>
      <c r="AT102" s="37" t="b">
        <f>IFERROR(__xludf.DUMMYFUNCTION("if(isblank(A102),,REGEXMATCH(B102,""^((D ?I|I ?D) ?vs\. ?(U ?I|I ?U))|((U ?I|I ?U) ?vs\. ?(D ?I|I ?D)) *$""))"),FALSE)</f>
        <v>0</v>
      </c>
      <c r="AU102" s="37" t="b">
        <f>IFERROR(__xludf.DUMMYFUNCTION("if(isblank(A102),,REGEXMATCH(B102,""^((D ?I|I ?D) ?vs\. ?(U ?D|D ?U))|((U ?D|D ?U) ?vs\. ?(D ?I|I ?D)) *$""))"),FALSE)</f>
        <v>0</v>
      </c>
      <c r="AV102" s="37" t="b">
        <f>IFERROR(__xludf.DUMMYFUNCTION("if(isblank(A102),,REGEXMATCH(B102,""^((U ?I|I ?U) ?vs\. ?(U ?I|I ?U)) *$""))"),FALSE)</f>
        <v>0</v>
      </c>
    </row>
    <row r="103" ht="26.25" customHeight="1">
      <c r="A103" s="79" t="str">
        <f>Paper_Textual_Conflict!M103</f>
        <v>D + I</v>
      </c>
      <c r="B103" s="37" t="str">
        <f>IFERROR(__xludf.DUMMYFUNCTION("if(isblank(A103),,regexextract(REGEXEXTRACT(A103,""^.*""),""^[^(]*""))"),"D + I")</f>
        <v>D + I</v>
      </c>
      <c r="C103" s="37" t="b">
        <f>IFERROR(__xludf.DUMMYFUNCTION("if(isblank(A103),,REGEXMATCH(B103,"".*\+.*"") )"),TRUE)</f>
        <v>1</v>
      </c>
      <c r="D103" s="37" t="b">
        <f>IFERROR(__xludf.DUMMYFUNCTION("if(isblank(A103),,REGEXMATCH(B103,"".*vs.*"") )"),FALSE)</f>
        <v>0</v>
      </c>
      <c r="E103" s="37" t="b">
        <f>Paper_Textual_Conflict!H103</f>
        <v>0</v>
      </c>
      <c r="F103" s="37" t="str">
        <f>Paper_Textual_Conflict!Q103</f>
        <v>Java</v>
      </c>
      <c r="G103" s="33">
        <v>103.0</v>
      </c>
      <c r="H103" s="37" t="b">
        <f>IFERROR(__xludf.DUMMYFUNCTION("if(isblank(A103),,REGEXMATCH(B103,""^I *\+ I *$""))"),FALSE)</f>
        <v>0</v>
      </c>
      <c r="I103" s="37" t="b">
        <f>IFERROR(__xludf.DUMMYFUNCTION("if(isblank(A103),,REGEXMATCH(B103,""(^I *\+ D *$)|(^D *\+ I *$)""))"),TRUE)</f>
        <v>1</v>
      </c>
      <c r="J103" s="37" t="b">
        <f>IFERROR(__xludf.DUMMYFUNCTION("if(isblank(A103),,REGEXMATCH(B103,""(^I *\+ U *$)|(^U *\+ I *$)""))"),FALSE)</f>
        <v>0</v>
      </c>
      <c r="K103" s="37" t="b">
        <f>IFERROR(__xludf.DUMMYFUNCTION("if(isblank(A103),,REGEXMATCH(B103,""(^I *\+ N *$)|(^N *\+ I *$)"") )"),FALSE)</f>
        <v>0</v>
      </c>
      <c r="L103" s="37" t="b">
        <f>IFERROR(__xludf.DUMMYFUNCTION("if(isblank(A103),,REGEXMATCH(B103,""^D *\+ D *$""))"),FALSE)</f>
        <v>0</v>
      </c>
      <c r="M103" s="37" t="b">
        <f>IFERROR(__xludf.DUMMYFUNCTION("if(isblank(A103),,REGEXMATCH(B103,""(^U *\+ D *$)|(^D *\+ U *$)""))"),FALSE)</f>
        <v>0</v>
      </c>
      <c r="N103" s="37" t="b">
        <f>IFERROR(__xludf.DUMMYFUNCTION("if(isblank(A103),,REGEXMATCH(B103,""(^N *\+ D *$)|(^D *\+ N *$)""))"),FALSE)</f>
        <v>0</v>
      </c>
      <c r="O103" s="37" t="b">
        <f>IFERROR(__xludf.DUMMYFUNCTION("if(isblank(A103),,REGEXMATCH(B103,""^U *\+ U *$""))"),FALSE)</f>
        <v>0</v>
      </c>
      <c r="P103" s="37" t="b">
        <f>IFERROR(__xludf.DUMMYFUNCTION("if(isblank(A103),,REGEXMATCH(B103,""(^U *\+ N *$)|(^N *\+ U *$)""))"),FALSE)</f>
        <v>0</v>
      </c>
      <c r="Q103" s="37" t="b">
        <f>IFERROR(__xludf.DUMMYFUNCTION("if(isblank(A103),,REGEXMATCH(B103,""^((I ?\+ ?(D ?I|I ?D))|((D ?I|I ?D) ?\+ ?I)) *$""))"),FALSE)</f>
        <v>0</v>
      </c>
      <c r="R103" s="37" t="b">
        <f>IFERROR(__xludf.DUMMYFUNCTION("if(isblank(A103),,REGEXMATCH(B103,""^((D ?\+ ?(D ?I|I ?D))|((D ?I|I ?D) ?\+ ?D)) *$""))"),FALSE)</f>
        <v>0</v>
      </c>
      <c r="S103" s="37" t="b">
        <f>IFERROR(__xludf.DUMMYFUNCTION("if(isblank(A103),,REGEXMATCH(B103,""^((U ?\+ ?(D ?I|I ?D))|((D ?I|I ?D) ?\+ ?U)) *$""))"),FALSE)</f>
        <v>0</v>
      </c>
      <c r="T103" s="37" t="b">
        <f>IFERROR(__xludf.DUMMYFUNCTION("if(isblank(A103),,REGEXMATCH(B103,""^((N ?\+ ?(D ?I|I ?D))|((D ?I|I ?D) ?\+ ?N)) *$""))"),FALSE)</f>
        <v>0</v>
      </c>
      <c r="U103" s="37" t="b">
        <f>IFERROR(__xludf.DUMMYFUNCTION("if(isblank(A103),,REGEXMATCH(B103,""^((I ?\+ ?(U ?I|I ?U))|((I ?U|U ?I) ?\+ ?I)) *$""))"),FALSE)</f>
        <v>0</v>
      </c>
      <c r="V103" s="37" t="b">
        <f>IFERROR(__xludf.DUMMYFUNCTION("if(isblank(A103),,REGEXMATCH(B103,""^((D ?\+ ?(U ?I|I ?U))|((I ?U|U ?I) ?\+ ?D)) *$""))"),FALSE)</f>
        <v>0</v>
      </c>
      <c r="W103" s="37" t="b">
        <f>IFERROR(__xludf.DUMMYFUNCTION("if(isblank(A103),,REGEXMATCH(B103,""^((U ?\+ ?(U ?I|I ?U))|((I ?U|U ?I) ?\+ ?U)) *$""))"),FALSE)</f>
        <v>0</v>
      </c>
      <c r="X103" s="37" t="b">
        <f>IFERROR(__xludf.DUMMYFUNCTION("if(isblank(A103),,REGEXMATCH(B103,""^((N ?\+ ?(U ?I|I ?U))|((I ?U|U ?I) ?\+ ?N)) *$""))"),FALSE)</f>
        <v>0</v>
      </c>
      <c r="Y103" s="37" t="b">
        <f>IFERROR(__xludf.DUMMYFUNCTION("if(isblank(A103),,REGEXMATCH(B103,""^((I ?\+ ?(U ?D|D ?U))|((D ?U|U ?D) ?\+ ?I)) *$""))"),FALSE)</f>
        <v>0</v>
      </c>
      <c r="Z103" s="37" t="b">
        <f>IFERROR(__xludf.DUMMYFUNCTION("if(isblank(A103),,REGEXMATCH(B103,""^((D ?\+ ?(U ?D|D ?U))|((D ?U|U ?D) ?\+ ?D)) *$""))"),FALSE)</f>
        <v>0</v>
      </c>
      <c r="AA103" s="37" t="b">
        <f>IFERROR(__xludf.DUMMYFUNCTION("if(isblank(A103),,REGEXMATCH(B103,""^((U ?\+ ?(U ?D|D ?U))|((D ?U|U ?D) ?\+ ?U)) *$""))"),FALSE)</f>
        <v>0</v>
      </c>
      <c r="AB103" s="37" t="b">
        <f>IFERROR(__xludf.DUMMYFUNCTION("if(isblank(A103),,REGEXMATCH(B103,""^((D ?I|I ?D) ?\+ ?(D ?I|I ?D)) *$""))"),FALSE)</f>
        <v>0</v>
      </c>
      <c r="AC103" s="37" t="b">
        <f>IFERROR(__xludf.DUMMYFUNCTION("if(isblank(A103),,REGEXMATCH(B103,""^((D ?I|I ?D) ?\+ ?(U ?I|I ?U))|((U ?I|I ?U) ?\+ ?(D ?I|I ?D)) *$""))"),FALSE)</f>
        <v>0</v>
      </c>
      <c r="AD103" s="37" t="b">
        <f>IFERROR(__xludf.DUMMYFUNCTION("if(isblank(A103),,REGEXMATCH(B103,""^I *vs\. I *$""))"),FALSE)</f>
        <v>0</v>
      </c>
      <c r="AE103" s="37" t="b">
        <f>IFERROR(__xludf.DUMMYFUNCTION("if(isblank(A103),,REGEXMATCH(B103,""(^I *vs\. D *$)|(^D *vs\. I *$)""))"),FALSE)</f>
        <v>0</v>
      </c>
      <c r="AF103" s="37" t="b">
        <f>IFERROR(__xludf.DUMMYFUNCTION("if(isblank(A103),,REGEXMATCH(B103,""(^I *vs\. U *$)|(^U *vs\. I *$)""))"),FALSE)</f>
        <v>0</v>
      </c>
      <c r="AG103" s="37" t="b">
        <f>IFERROR(__xludf.DUMMYFUNCTION("if(isblank(A103),,REGEXMATCH(B103,""^D *vs\. D *$""))"),FALSE)</f>
        <v>0</v>
      </c>
      <c r="AH103" s="37" t="b">
        <f>IFERROR(__xludf.DUMMYFUNCTION("if(isblank(A103),,REGEXMATCH(B103,""(^U *vs\. D *$)|(^D *vs\. U *$)""))"),FALSE)</f>
        <v>0</v>
      </c>
      <c r="AI103" s="37" t="b">
        <f>IFERROR(__xludf.DUMMYFUNCTION("if(isblank(A103),,REGEXMATCH(B103,""^U *vs\. U *$""))"),FALSE)</f>
        <v>0</v>
      </c>
      <c r="AJ103" s="37" t="b">
        <f>IFERROR(__xludf.DUMMYFUNCTION("if(isblank(A103),,REGEXMATCH(B103,""^((I ?vs\. ?(D ?I|I ?D))|((D ?I|I ?D) ?vs\. ?I)) *$""))"),FALSE)</f>
        <v>0</v>
      </c>
      <c r="AK103" s="37" t="b">
        <f>IFERROR(__xludf.DUMMYFUNCTION("if(isblank(A103),,REGEXMATCH(B103,""^((D ?vs\. ?(D ?I|I ?D))|((D ?I|I ?D) ?vs\. ?D)) *$""))"),FALSE)</f>
        <v>0</v>
      </c>
      <c r="AL103" s="37" t="b">
        <f>IFERROR(__xludf.DUMMYFUNCTION("if(isblank(A103),,REGEXMATCH(B103,""^((U ?vs\. ?(D ?I|I ?D))|((D ?I|I ?D) ?vs\. ?U)) *$""))"),FALSE)</f>
        <v>0</v>
      </c>
      <c r="AM103" s="37" t="b">
        <f>IFERROR(__xludf.DUMMYFUNCTION("if(isblank(A103),,REGEXMATCH(B103,""^((I ?vs\. ?(U ?I|I ?U))|((U ?I|I ?U) ?vs\. ?I)) *$""))"),FALSE)</f>
        <v>0</v>
      </c>
      <c r="AN103" s="37" t="b">
        <f>IFERROR(__xludf.DUMMYFUNCTION("if(isblank(A103),,REGEXMATCH(B103,""^((D ?vs\. ?(U ?I|I ?U))|((U ?I|I ?U) ?vs\. ?D)) *$""))"),FALSE)</f>
        <v>0</v>
      </c>
      <c r="AO103" s="37" t="b">
        <f>IFERROR(__xludf.DUMMYFUNCTION("if(isblank(A103),,REGEXMATCH(B103,""^((U ?vs\. ?(U ?I|I ?U))|((U ?I|I ?U) ?vs\. ?U)) *$""))"),FALSE)</f>
        <v>0</v>
      </c>
      <c r="AP103" s="37" t="b">
        <f>IFERROR(__xludf.DUMMYFUNCTION("if(isblank(A103),,REGEXMATCH(B103,""^((I ?vs\. ?(U ?D|D ?U))|((D ?U|U ?D) ?vs\. ?I)) *$""))"),FALSE)</f>
        <v>0</v>
      </c>
      <c r="AQ103" s="37" t="b">
        <f>IFERROR(__xludf.DUMMYFUNCTION("if(isblank(A103),,REGEXMATCH(B103,""^((D ?vs\. ?(U ?D|D ?U))|((D ?U|U ?D) ?vs\. ?D)) *$""))"),FALSE)</f>
        <v>0</v>
      </c>
      <c r="AR103" s="37" t="b">
        <f>IFERROR(__xludf.DUMMYFUNCTION("if(isblank(A103),,REGEXMATCH(B103,""^((U ?vs\. ?(U ?D|D ?U))|((D ?U|U ?D) ?vs\. ?U)) *$""))"),FALSE)</f>
        <v>0</v>
      </c>
      <c r="AS103" s="37" t="b">
        <f>IFERROR(__xludf.DUMMYFUNCTION("if(isblank(A103),,REGEXMATCH(B103,""^((D ?I|I ?D) ?vs\. ?(D ?I|I ?D)) *$""))"),FALSE)</f>
        <v>0</v>
      </c>
      <c r="AT103" s="37" t="b">
        <f>IFERROR(__xludf.DUMMYFUNCTION("if(isblank(A103),,REGEXMATCH(B103,""^((D ?I|I ?D) ?vs\. ?(U ?I|I ?U))|((U ?I|I ?U) ?vs\. ?(D ?I|I ?D)) *$""))"),FALSE)</f>
        <v>0</v>
      </c>
      <c r="AU103" s="37" t="b">
        <f>IFERROR(__xludf.DUMMYFUNCTION("if(isblank(A103),,REGEXMATCH(B103,""^((D ?I|I ?D) ?vs\. ?(U ?D|D ?U))|((U ?D|D ?U) ?vs\. ?(D ?I|I ?D)) *$""))"),FALSE)</f>
        <v>0</v>
      </c>
      <c r="AV103" s="37" t="b">
        <f>IFERROR(__xludf.DUMMYFUNCTION("if(isblank(A103),,REGEXMATCH(B103,""^((U ?I|I ?U) ?vs\. ?(U ?I|I ?U)) *$""))"),FALSE)</f>
        <v>0</v>
      </c>
    </row>
    <row r="104" ht="26.25" customHeight="1">
      <c r="A104" s="79" t="str">
        <f>Paper_Textual_Conflict!M104</f>
        <v>D vs. I (Java code)</v>
      </c>
      <c r="B104" s="37" t="str">
        <f>IFERROR(__xludf.DUMMYFUNCTION("if(isblank(A104),,regexextract(REGEXEXTRACT(A104,""^.*""),""^[^(]*""))"),"D vs. I ")</f>
        <v>D vs. I </v>
      </c>
      <c r="C104" s="37" t="b">
        <f>IFERROR(__xludf.DUMMYFUNCTION("if(isblank(A104),,REGEXMATCH(B104,"".*\+.*"") )"),FALSE)</f>
        <v>0</v>
      </c>
      <c r="D104" s="37" t="b">
        <f>IFERROR(__xludf.DUMMYFUNCTION("if(isblank(A104),,REGEXMATCH(B104,"".*vs.*"") )"),TRUE)</f>
        <v>1</v>
      </c>
      <c r="E104" s="37" t="b">
        <f>Paper_Textual_Conflict!H104</f>
        <v>1</v>
      </c>
      <c r="F104" s="37" t="str">
        <f>Paper_Textual_Conflict!Q104</f>
        <v>Java</v>
      </c>
      <c r="G104" s="33">
        <v>104.0</v>
      </c>
      <c r="H104" s="37" t="b">
        <f>IFERROR(__xludf.DUMMYFUNCTION("if(isblank(A104),,REGEXMATCH(B104,""^I *\+ I *$""))"),FALSE)</f>
        <v>0</v>
      </c>
      <c r="I104" s="37" t="b">
        <f>IFERROR(__xludf.DUMMYFUNCTION("if(isblank(A104),,REGEXMATCH(B104,""(^I *\+ D *$)|(^D *\+ I *$)""))"),FALSE)</f>
        <v>0</v>
      </c>
      <c r="J104" s="37" t="b">
        <f>IFERROR(__xludf.DUMMYFUNCTION("if(isblank(A104),,REGEXMATCH(B104,""(^I *\+ U *$)|(^U *\+ I *$)""))"),FALSE)</f>
        <v>0</v>
      </c>
      <c r="K104" s="37" t="b">
        <f>IFERROR(__xludf.DUMMYFUNCTION("if(isblank(A104),,REGEXMATCH(B104,""(^I *\+ N *$)|(^N *\+ I *$)"") )"),FALSE)</f>
        <v>0</v>
      </c>
      <c r="L104" s="37" t="b">
        <f>IFERROR(__xludf.DUMMYFUNCTION("if(isblank(A104),,REGEXMATCH(B104,""^D *\+ D *$""))"),FALSE)</f>
        <v>0</v>
      </c>
      <c r="M104" s="37" t="b">
        <f>IFERROR(__xludf.DUMMYFUNCTION("if(isblank(A104),,REGEXMATCH(B104,""(^U *\+ D *$)|(^D *\+ U *$)""))"),FALSE)</f>
        <v>0</v>
      </c>
      <c r="N104" s="37" t="b">
        <f>IFERROR(__xludf.DUMMYFUNCTION("if(isblank(A104),,REGEXMATCH(B104,""(^N *\+ D *$)|(^D *\+ N *$)""))"),FALSE)</f>
        <v>0</v>
      </c>
      <c r="O104" s="37" t="b">
        <f>IFERROR(__xludf.DUMMYFUNCTION("if(isblank(A104),,REGEXMATCH(B104,""^U *\+ U *$""))"),FALSE)</f>
        <v>0</v>
      </c>
      <c r="P104" s="37" t="b">
        <f>IFERROR(__xludf.DUMMYFUNCTION("if(isblank(A104),,REGEXMATCH(B104,""(^U *\+ N *$)|(^N *\+ U *$)""))"),FALSE)</f>
        <v>0</v>
      </c>
      <c r="Q104" s="37" t="b">
        <f>IFERROR(__xludf.DUMMYFUNCTION("if(isblank(A104),,REGEXMATCH(B104,""^((I ?\+ ?(D ?I|I ?D))|((D ?I|I ?D) ?\+ ?I)) *$""))"),FALSE)</f>
        <v>0</v>
      </c>
      <c r="R104" s="37" t="b">
        <f>IFERROR(__xludf.DUMMYFUNCTION("if(isblank(A104),,REGEXMATCH(B104,""^((D ?\+ ?(D ?I|I ?D))|((D ?I|I ?D) ?\+ ?D)) *$""))"),FALSE)</f>
        <v>0</v>
      </c>
      <c r="S104" s="37" t="b">
        <f>IFERROR(__xludf.DUMMYFUNCTION("if(isblank(A104),,REGEXMATCH(B104,""^((U ?\+ ?(D ?I|I ?D))|((D ?I|I ?D) ?\+ ?U)) *$""))"),FALSE)</f>
        <v>0</v>
      </c>
      <c r="T104" s="37" t="b">
        <f>IFERROR(__xludf.DUMMYFUNCTION("if(isblank(A104),,REGEXMATCH(B104,""^((N ?\+ ?(D ?I|I ?D))|((D ?I|I ?D) ?\+ ?N)) *$""))"),FALSE)</f>
        <v>0</v>
      </c>
      <c r="U104" s="37" t="b">
        <f>IFERROR(__xludf.DUMMYFUNCTION("if(isblank(A104),,REGEXMATCH(B104,""^((I ?\+ ?(U ?I|I ?U))|((I ?U|U ?I) ?\+ ?I)) *$""))"),FALSE)</f>
        <v>0</v>
      </c>
      <c r="V104" s="37" t="b">
        <f>IFERROR(__xludf.DUMMYFUNCTION("if(isblank(A104),,REGEXMATCH(B104,""^((D ?\+ ?(U ?I|I ?U))|((I ?U|U ?I) ?\+ ?D)) *$""))"),FALSE)</f>
        <v>0</v>
      </c>
      <c r="W104" s="37" t="b">
        <f>IFERROR(__xludf.DUMMYFUNCTION("if(isblank(A104),,REGEXMATCH(B104,""^((U ?\+ ?(U ?I|I ?U))|((I ?U|U ?I) ?\+ ?U)) *$""))"),FALSE)</f>
        <v>0</v>
      </c>
      <c r="X104" s="37" t="b">
        <f>IFERROR(__xludf.DUMMYFUNCTION("if(isblank(A104),,REGEXMATCH(B104,""^((N ?\+ ?(U ?I|I ?U))|((I ?U|U ?I) ?\+ ?N)) *$""))"),FALSE)</f>
        <v>0</v>
      </c>
      <c r="Y104" s="37" t="b">
        <f>IFERROR(__xludf.DUMMYFUNCTION("if(isblank(A104),,REGEXMATCH(B104,""^((I ?\+ ?(U ?D|D ?U))|((D ?U|U ?D) ?\+ ?I)) *$""))"),FALSE)</f>
        <v>0</v>
      </c>
      <c r="Z104" s="37" t="b">
        <f>IFERROR(__xludf.DUMMYFUNCTION("if(isblank(A104),,REGEXMATCH(B104,""^((D ?\+ ?(U ?D|D ?U))|((D ?U|U ?D) ?\+ ?D)) *$""))"),FALSE)</f>
        <v>0</v>
      </c>
      <c r="AA104" s="37" t="b">
        <f>IFERROR(__xludf.DUMMYFUNCTION("if(isblank(A104),,REGEXMATCH(B104,""^((U ?\+ ?(U ?D|D ?U))|((D ?U|U ?D) ?\+ ?U)) *$""))"),FALSE)</f>
        <v>0</v>
      </c>
      <c r="AB104" s="37" t="b">
        <f>IFERROR(__xludf.DUMMYFUNCTION("if(isblank(A104),,REGEXMATCH(B104,""^((D ?I|I ?D) ?\+ ?(D ?I|I ?D)) *$""))"),FALSE)</f>
        <v>0</v>
      </c>
      <c r="AC104" s="37" t="b">
        <f>IFERROR(__xludf.DUMMYFUNCTION("if(isblank(A104),,REGEXMATCH(B104,""^((D ?I|I ?D) ?\+ ?(U ?I|I ?U))|((U ?I|I ?U) ?\+ ?(D ?I|I ?D)) *$""))"),FALSE)</f>
        <v>0</v>
      </c>
      <c r="AD104" s="37" t="b">
        <f>IFERROR(__xludf.DUMMYFUNCTION("if(isblank(A104),,REGEXMATCH(B104,""^I *vs\. I *$""))"),FALSE)</f>
        <v>0</v>
      </c>
      <c r="AE104" s="37" t="b">
        <f>IFERROR(__xludf.DUMMYFUNCTION("if(isblank(A104),,REGEXMATCH(B104,""(^I *vs\. D *$)|(^D *vs\. I *$)""))"),TRUE)</f>
        <v>1</v>
      </c>
      <c r="AF104" s="37" t="b">
        <f>IFERROR(__xludf.DUMMYFUNCTION("if(isblank(A104),,REGEXMATCH(B104,""(^I *vs\. U *$)|(^U *vs\. I *$)""))"),FALSE)</f>
        <v>0</v>
      </c>
      <c r="AG104" s="37" t="b">
        <f>IFERROR(__xludf.DUMMYFUNCTION("if(isblank(A104),,REGEXMATCH(B104,""^D *vs\. D *$""))"),FALSE)</f>
        <v>0</v>
      </c>
      <c r="AH104" s="37" t="b">
        <f>IFERROR(__xludf.DUMMYFUNCTION("if(isblank(A104),,REGEXMATCH(B104,""(^U *vs\. D *$)|(^D *vs\. U *$)""))"),FALSE)</f>
        <v>0</v>
      </c>
      <c r="AI104" s="37" t="b">
        <f>IFERROR(__xludf.DUMMYFUNCTION("if(isblank(A104),,REGEXMATCH(B104,""^U *vs\. U *$""))"),FALSE)</f>
        <v>0</v>
      </c>
      <c r="AJ104" s="37" t="b">
        <f>IFERROR(__xludf.DUMMYFUNCTION("if(isblank(A104),,REGEXMATCH(B104,""^((I ?vs\. ?(D ?I|I ?D))|((D ?I|I ?D) ?vs\. ?I)) *$""))"),FALSE)</f>
        <v>0</v>
      </c>
      <c r="AK104" s="37" t="b">
        <f>IFERROR(__xludf.DUMMYFUNCTION("if(isblank(A104),,REGEXMATCH(B104,""^((D ?vs\. ?(D ?I|I ?D))|((D ?I|I ?D) ?vs\. ?D)) *$""))"),FALSE)</f>
        <v>0</v>
      </c>
      <c r="AL104" s="37" t="b">
        <f>IFERROR(__xludf.DUMMYFUNCTION("if(isblank(A104),,REGEXMATCH(B104,""^((U ?vs\. ?(D ?I|I ?D))|((D ?I|I ?D) ?vs\. ?U)) *$""))"),FALSE)</f>
        <v>0</v>
      </c>
      <c r="AM104" s="37" t="b">
        <f>IFERROR(__xludf.DUMMYFUNCTION("if(isblank(A104),,REGEXMATCH(B104,""^((I ?vs\. ?(U ?I|I ?U))|((U ?I|I ?U) ?vs\. ?I)) *$""))"),FALSE)</f>
        <v>0</v>
      </c>
      <c r="AN104" s="37" t="b">
        <f>IFERROR(__xludf.DUMMYFUNCTION("if(isblank(A104),,REGEXMATCH(B104,""^((D ?vs\. ?(U ?I|I ?U))|((U ?I|I ?U) ?vs\. ?D)) *$""))"),FALSE)</f>
        <v>0</v>
      </c>
      <c r="AO104" s="37" t="b">
        <f>IFERROR(__xludf.DUMMYFUNCTION("if(isblank(A104),,REGEXMATCH(B104,""^((U ?vs\. ?(U ?I|I ?U))|((U ?I|I ?U) ?vs\. ?U)) *$""))"),FALSE)</f>
        <v>0</v>
      </c>
      <c r="AP104" s="37" t="b">
        <f>IFERROR(__xludf.DUMMYFUNCTION("if(isblank(A104),,REGEXMATCH(B104,""^((I ?vs\. ?(U ?D|D ?U))|((D ?U|U ?D) ?vs\. ?I)) *$""))"),FALSE)</f>
        <v>0</v>
      </c>
      <c r="AQ104" s="37" t="b">
        <f>IFERROR(__xludf.DUMMYFUNCTION("if(isblank(A104),,REGEXMATCH(B104,""^((D ?vs\. ?(U ?D|D ?U))|((D ?U|U ?D) ?vs\. ?D)) *$""))"),FALSE)</f>
        <v>0</v>
      </c>
      <c r="AR104" s="37" t="b">
        <f>IFERROR(__xludf.DUMMYFUNCTION("if(isblank(A104),,REGEXMATCH(B104,""^((U ?vs\. ?(U ?D|D ?U))|((D ?U|U ?D) ?vs\. ?U)) *$""))"),FALSE)</f>
        <v>0</v>
      </c>
      <c r="AS104" s="37" t="b">
        <f>IFERROR(__xludf.DUMMYFUNCTION("if(isblank(A104),,REGEXMATCH(B104,""^((D ?I|I ?D) ?vs\. ?(D ?I|I ?D)) *$""))"),FALSE)</f>
        <v>0</v>
      </c>
      <c r="AT104" s="37" t="b">
        <f>IFERROR(__xludf.DUMMYFUNCTION("if(isblank(A104),,REGEXMATCH(B104,""^((D ?I|I ?D) ?vs\. ?(U ?I|I ?U))|((U ?I|I ?U) ?vs\. ?(D ?I|I ?D)) *$""))"),FALSE)</f>
        <v>0</v>
      </c>
      <c r="AU104" s="37" t="b">
        <f>IFERROR(__xludf.DUMMYFUNCTION("if(isblank(A104),,REGEXMATCH(B104,""^((D ?I|I ?D) ?vs\. ?(U ?D|D ?U))|((U ?D|D ?U) ?vs\. ?(D ?I|I ?D)) *$""))"),FALSE)</f>
        <v>0</v>
      </c>
      <c r="AV104" s="37" t="b">
        <f>IFERROR(__xludf.DUMMYFUNCTION("if(isblank(A104),,REGEXMATCH(B104,""^((U ?I|I ?U) ?vs\. ?(U ?I|I ?U)) *$""))"),FALSE)</f>
        <v>0</v>
      </c>
    </row>
    <row r="105" ht="26.25" customHeight="1">
      <c r="A105" s="79" t="str">
        <f>Paper_Textual_Conflict!M105</f>
        <v>U vs. U (.mf)</v>
      </c>
      <c r="B105" s="37" t="str">
        <f>IFERROR(__xludf.DUMMYFUNCTION("if(isblank(A105),,regexextract(REGEXEXTRACT(A105,""^.*""),""^[^(]*""))"),"U vs. U ")</f>
        <v>U vs. U </v>
      </c>
      <c r="C105" s="37" t="b">
        <f>IFERROR(__xludf.DUMMYFUNCTION("if(isblank(A105),,REGEXMATCH(B105,"".*\+.*"") )"),FALSE)</f>
        <v>0</v>
      </c>
      <c r="D105" s="37" t="b">
        <f>IFERROR(__xludf.DUMMYFUNCTION("if(isblank(A105),,REGEXMATCH(B105,"".*vs.*"") )"),TRUE)</f>
        <v>1</v>
      </c>
      <c r="E105" s="37" t="b">
        <f>Paper_Textual_Conflict!H105</f>
        <v>1</v>
      </c>
      <c r="F105" s="37" t="str">
        <f>Paper_Textual_Conflict!Q105</f>
        <v>Non-Java</v>
      </c>
      <c r="G105" s="33">
        <v>105.0</v>
      </c>
      <c r="H105" s="37" t="b">
        <f>IFERROR(__xludf.DUMMYFUNCTION("if(isblank(A105),,REGEXMATCH(B105,""^I *\+ I *$""))"),FALSE)</f>
        <v>0</v>
      </c>
      <c r="I105" s="37" t="b">
        <f>IFERROR(__xludf.DUMMYFUNCTION("if(isblank(A105),,REGEXMATCH(B105,""(^I *\+ D *$)|(^D *\+ I *$)""))"),FALSE)</f>
        <v>0</v>
      </c>
      <c r="J105" s="37" t="b">
        <f>IFERROR(__xludf.DUMMYFUNCTION("if(isblank(A105),,REGEXMATCH(B105,""(^I *\+ U *$)|(^U *\+ I *$)""))"),FALSE)</f>
        <v>0</v>
      </c>
      <c r="K105" s="37" t="b">
        <f>IFERROR(__xludf.DUMMYFUNCTION("if(isblank(A105),,REGEXMATCH(B105,""(^I *\+ N *$)|(^N *\+ I *$)"") )"),FALSE)</f>
        <v>0</v>
      </c>
      <c r="L105" s="37" t="b">
        <f>IFERROR(__xludf.DUMMYFUNCTION("if(isblank(A105),,REGEXMATCH(B105,""^D *\+ D *$""))"),FALSE)</f>
        <v>0</v>
      </c>
      <c r="M105" s="37" t="b">
        <f>IFERROR(__xludf.DUMMYFUNCTION("if(isblank(A105),,REGEXMATCH(B105,""(^U *\+ D *$)|(^D *\+ U *$)""))"),FALSE)</f>
        <v>0</v>
      </c>
      <c r="N105" s="37" t="b">
        <f>IFERROR(__xludf.DUMMYFUNCTION("if(isblank(A105),,REGEXMATCH(B105,""(^N *\+ D *$)|(^D *\+ N *$)""))"),FALSE)</f>
        <v>0</v>
      </c>
      <c r="O105" s="37" t="b">
        <f>IFERROR(__xludf.DUMMYFUNCTION("if(isblank(A105),,REGEXMATCH(B105,""^U *\+ U *$""))"),FALSE)</f>
        <v>0</v>
      </c>
      <c r="P105" s="37" t="b">
        <f>IFERROR(__xludf.DUMMYFUNCTION("if(isblank(A105),,REGEXMATCH(B105,""(^U *\+ N *$)|(^N *\+ U *$)""))"),FALSE)</f>
        <v>0</v>
      </c>
      <c r="Q105" s="37" t="b">
        <f>IFERROR(__xludf.DUMMYFUNCTION("if(isblank(A105),,REGEXMATCH(B105,""^((I ?\+ ?(D ?I|I ?D))|((D ?I|I ?D) ?\+ ?I)) *$""))"),FALSE)</f>
        <v>0</v>
      </c>
      <c r="R105" s="37" t="b">
        <f>IFERROR(__xludf.DUMMYFUNCTION("if(isblank(A105),,REGEXMATCH(B105,""^((D ?\+ ?(D ?I|I ?D))|((D ?I|I ?D) ?\+ ?D)) *$""))"),FALSE)</f>
        <v>0</v>
      </c>
      <c r="S105" s="37" t="b">
        <f>IFERROR(__xludf.DUMMYFUNCTION("if(isblank(A105),,REGEXMATCH(B105,""^((U ?\+ ?(D ?I|I ?D))|((D ?I|I ?D) ?\+ ?U)) *$""))"),FALSE)</f>
        <v>0</v>
      </c>
      <c r="T105" s="37" t="b">
        <f>IFERROR(__xludf.DUMMYFUNCTION("if(isblank(A105),,REGEXMATCH(B105,""^((N ?\+ ?(D ?I|I ?D))|((D ?I|I ?D) ?\+ ?N)) *$""))"),FALSE)</f>
        <v>0</v>
      </c>
      <c r="U105" s="37" t="b">
        <f>IFERROR(__xludf.DUMMYFUNCTION("if(isblank(A105),,REGEXMATCH(B105,""^((I ?\+ ?(U ?I|I ?U))|((I ?U|U ?I) ?\+ ?I)) *$""))"),FALSE)</f>
        <v>0</v>
      </c>
      <c r="V105" s="37" t="b">
        <f>IFERROR(__xludf.DUMMYFUNCTION("if(isblank(A105),,REGEXMATCH(B105,""^((D ?\+ ?(U ?I|I ?U))|((I ?U|U ?I) ?\+ ?D)) *$""))"),FALSE)</f>
        <v>0</v>
      </c>
      <c r="W105" s="37" t="b">
        <f>IFERROR(__xludf.DUMMYFUNCTION("if(isblank(A105),,REGEXMATCH(B105,""^((U ?\+ ?(U ?I|I ?U))|((I ?U|U ?I) ?\+ ?U)) *$""))"),FALSE)</f>
        <v>0</v>
      </c>
      <c r="X105" s="37" t="b">
        <f>IFERROR(__xludf.DUMMYFUNCTION("if(isblank(A105),,REGEXMATCH(B105,""^((N ?\+ ?(U ?I|I ?U))|((I ?U|U ?I) ?\+ ?N)) *$""))"),FALSE)</f>
        <v>0</v>
      </c>
      <c r="Y105" s="37" t="b">
        <f>IFERROR(__xludf.DUMMYFUNCTION("if(isblank(A105),,REGEXMATCH(B105,""^((I ?\+ ?(U ?D|D ?U))|((D ?U|U ?D) ?\+ ?I)) *$""))"),FALSE)</f>
        <v>0</v>
      </c>
      <c r="Z105" s="37" t="b">
        <f>IFERROR(__xludf.DUMMYFUNCTION("if(isblank(A105),,REGEXMATCH(B105,""^((D ?\+ ?(U ?D|D ?U))|((D ?U|U ?D) ?\+ ?D)) *$""))"),FALSE)</f>
        <v>0</v>
      </c>
      <c r="AA105" s="37" t="b">
        <f>IFERROR(__xludf.DUMMYFUNCTION("if(isblank(A105),,REGEXMATCH(B105,""^((U ?\+ ?(U ?D|D ?U))|((D ?U|U ?D) ?\+ ?U)) *$""))"),FALSE)</f>
        <v>0</v>
      </c>
      <c r="AB105" s="37" t="b">
        <f>IFERROR(__xludf.DUMMYFUNCTION("if(isblank(A105),,REGEXMATCH(B105,""^((D ?I|I ?D) ?\+ ?(D ?I|I ?D)) *$""))"),FALSE)</f>
        <v>0</v>
      </c>
      <c r="AC105" s="37" t="b">
        <f>IFERROR(__xludf.DUMMYFUNCTION("if(isblank(A105),,REGEXMATCH(B105,""^((D ?I|I ?D) ?\+ ?(U ?I|I ?U))|((U ?I|I ?U) ?\+ ?(D ?I|I ?D)) *$""))"),FALSE)</f>
        <v>0</v>
      </c>
      <c r="AD105" s="37" t="b">
        <f>IFERROR(__xludf.DUMMYFUNCTION("if(isblank(A105),,REGEXMATCH(B105,""^I *vs\. I *$""))"),FALSE)</f>
        <v>0</v>
      </c>
      <c r="AE105" s="37" t="b">
        <f>IFERROR(__xludf.DUMMYFUNCTION("if(isblank(A105),,REGEXMATCH(B105,""(^I *vs\. D *$)|(^D *vs\. I *$)""))"),FALSE)</f>
        <v>0</v>
      </c>
      <c r="AF105" s="37" t="b">
        <f>IFERROR(__xludf.DUMMYFUNCTION("if(isblank(A105),,REGEXMATCH(B105,""(^I *vs\. U *$)|(^U *vs\. I *$)""))"),FALSE)</f>
        <v>0</v>
      </c>
      <c r="AG105" s="37" t="b">
        <f>IFERROR(__xludf.DUMMYFUNCTION("if(isblank(A105),,REGEXMATCH(B105,""^D *vs\. D *$""))"),FALSE)</f>
        <v>0</v>
      </c>
      <c r="AH105" s="37" t="b">
        <f>IFERROR(__xludf.DUMMYFUNCTION("if(isblank(A105),,REGEXMATCH(B105,""(^U *vs\. D *$)|(^D *vs\. U *$)""))"),FALSE)</f>
        <v>0</v>
      </c>
      <c r="AI105" s="37" t="b">
        <f>IFERROR(__xludf.DUMMYFUNCTION("if(isblank(A105),,REGEXMATCH(B105,""^U *vs\. U *$""))"),TRUE)</f>
        <v>1</v>
      </c>
      <c r="AJ105" s="37" t="b">
        <f>IFERROR(__xludf.DUMMYFUNCTION("if(isblank(A105),,REGEXMATCH(B105,""^((I ?vs\. ?(D ?I|I ?D))|((D ?I|I ?D) ?vs\. ?I)) *$""))"),FALSE)</f>
        <v>0</v>
      </c>
      <c r="AK105" s="37" t="b">
        <f>IFERROR(__xludf.DUMMYFUNCTION("if(isblank(A105),,REGEXMATCH(B105,""^((D ?vs\. ?(D ?I|I ?D))|((D ?I|I ?D) ?vs\. ?D)) *$""))"),FALSE)</f>
        <v>0</v>
      </c>
      <c r="AL105" s="37" t="b">
        <f>IFERROR(__xludf.DUMMYFUNCTION("if(isblank(A105),,REGEXMATCH(B105,""^((U ?vs\. ?(D ?I|I ?D))|((D ?I|I ?D) ?vs\. ?U)) *$""))"),FALSE)</f>
        <v>0</v>
      </c>
      <c r="AM105" s="37" t="b">
        <f>IFERROR(__xludf.DUMMYFUNCTION("if(isblank(A105),,REGEXMATCH(B105,""^((I ?vs\. ?(U ?I|I ?U))|((U ?I|I ?U) ?vs\. ?I)) *$""))"),FALSE)</f>
        <v>0</v>
      </c>
      <c r="AN105" s="37" t="b">
        <f>IFERROR(__xludf.DUMMYFUNCTION("if(isblank(A105),,REGEXMATCH(B105,""^((D ?vs\. ?(U ?I|I ?U))|((U ?I|I ?U) ?vs\. ?D)) *$""))"),FALSE)</f>
        <v>0</v>
      </c>
      <c r="AO105" s="37" t="b">
        <f>IFERROR(__xludf.DUMMYFUNCTION("if(isblank(A105),,REGEXMATCH(B105,""^((U ?vs\. ?(U ?I|I ?U))|((U ?I|I ?U) ?vs\. ?U)) *$""))"),FALSE)</f>
        <v>0</v>
      </c>
      <c r="AP105" s="37" t="b">
        <f>IFERROR(__xludf.DUMMYFUNCTION("if(isblank(A105),,REGEXMATCH(B105,""^((I ?vs\. ?(U ?D|D ?U))|((D ?U|U ?D) ?vs\. ?I)) *$""))"),FALSE)</f>
        <v>0</v>
      </c>
      <c r="AQ105" s="37" t="b">
        <f>IFERROR(__xludf.DUMMYFUNCTION("if(isblank(A105),,REGEXMATCH(B105,""^((D ?vs\. ?(U ?D|D ?U))|((D ?U|U ?D) ?vs\. ?D)) *$""))"),FALSE)</f>
        <v>0</v>
      </c>
      <c r="AR105" s="37" t="b">
        <f>IFERROR(__xludf.DUMMYFUNCTION("if(isblank(A105),,REGEXMATCH(B105,""^((U ?vs\. ?(U ?D|D ?U))|((D ?U|U ?D) ?vs\. ?U)) *$""))"),FALSE)</f>
        <v>0</v>
      </c>
      <c r="AS105" s="37" t="b">
        <f>IFERROR(__xludf.DUMMYFUNCTION("if(isblank(A105),,REGEXMATCH(B105,""^((D ?I|I ?D) ?vs\. ?(D ?I|I ?D)) *$""))"),FALSE)</f>
        <v>0</v>
      </c>
      <c r="AT105" s="37" t="b">
        <f>IFERROR(__xludf.DUMMYFUNCTION("if(isblank(A105),,REGEXMATCH(B105,""^((D ?I|I ?D) ?vs\. ?(U ?I|I ?U))|((U ?I|I ?U) ?vs\. ?(D ?I|I ?D)) *$""))"),FALSE)</f>
        <v>0</v>
      </c>
      <c r="AU105" s="37" t="b">
        <f>IFERROR(__xludf.DUMMYFUNCTION("if(isblank(A105),,REGEXMATCH(B105,""^((D ?I|I ?D) ?vs\. ?(U ?D|D ?U))|((U ?D|D ?U) ?vs\. ?(D ?I|I ?D)) *$""))"),FALSE)</f>
        <v>0</v>
      </c>
      <c r="AV105" s="37" t="b">
        <f>IFERROR(__xludf.DUMMYFUNCTION("if(isblank(A105),,REGEXMATCH(B105,""^((U ?I|I ?U) ?vs\. ?(U ?I|I ?U)) *$""))"),FALSE)</f>
        <v>0</v>
      </c>
    </row>
    <row r="106" ht="26.25" customHeight="1">
      <c r="A106" s="79" t="str">
        <f>Paper_Textual_Conflict!M106</f>
        <v>D vs. U (Java code)</v>
      </c>
      <c r="B106" s="37" t="str">
        <f>IFERROR(__xludf.DUMMYFUNCTION("if(isblank(A106),,regexextract(REGEXEXTRACT(A106,""^.*""),""^[^(]*""))"),"D vs. U ")</f>
        <v>D vs. U </v>
      </c>
      <c r="C106" s="37" t="b">
        <f>IFERROR(__xludf.DUMMYFUNCTION("if(isblank(A106),,REGEXMATCH(B106,"".*\+.*"") )"),FALSE)</f>
        <v>0</v>
      </c>
      <c r="D106" s="37" t="b">
        <f>IFERROR(__xludf.DUMMYFUNCTION("if(isblank(A106),,REGEXMATCH(B106,"".*vs.*"") )"),TRUE)</f>
        <v>1</v>
      </c>
      <c r="E106" s="37" t="b">
        <f>Paper_Textual_Conflict!H106</f>
        <v>1</v>
      </c>
      <c r="F106" s="37" t="str">
        <f>Paper_Textual_Conflict!Q106</f>
        <v>Java</v>
      </c>
      <c r="G106" s="33">
        <v>106.0</v>
      </c>
      <c r="H106" s="37" t="b">
        <f>IFERROR(__xludf.DUMMYFUNCTION("if(isblank(A106),,REGEXMATCH(B106,""^I *\+ I *$""))"),FALSE)</f>
        <v>0</v>
      </c>
      <c r="I106" s="37" t="b">
        <f>IFERROR(__xludf.DUMMYFUNCTION("if(isblank(A106),,REGEXMATCH(B106,""(^I *\+ D *$)|(^D *\+ I *$)""))"),FALSE)</f>
        <v>0</v>
      </c>
      <c r="J106" s="37" t="b">
        <f>IFERROR(__xludf.DUMMYFUNCTION("if(isblank(A106),,REGEXMATCH(B106,""(^I *\+ U *$)|(^U *\+ I *$)""))"),FALSE)</f>
        <v>0</v>
      </c>
      <c r="K106" s="37" t="b">
        <f>IFERROR(__xludf.DUMMYFUNCTION("if(isblank(A106),,REGEXMATCH(B106,""(^I *\+ N *$)|(^N *\+ I *$)"") )"),FALSE)</f>
        <v>0</v>
      </c>
      <c r="L106" s="37" t="b">
        <f>IFERROR(__xludf.DUMMYFUNCTION("if(isblank(A106),,REGEXMATCH(B106,""^D *\+ D *$""))"),FALSE)</f>
        <v>0</v>
      </c>
      <c r="M106" s="37" t="b">
        <f>IFERROR(__xludf.DUMMYFUNCTION("if(isblank(A106),,REGEXMATCH(B106,""(^U *\+ D *$)|(^D *\+ U *$)""))"),FALSE)</f>
        <v>0</v>
      </c>
      <c r="N106" s="37" t="b">
        <f>IFERROR(__xludf.DUMMYFUNCTION("if(isblank(A106),,REGEXMATCH(B106,""(^N *\+ D *$)|(^D *\+ N *$)""))"),FALSE)</f>
        <v>0</v>
      </c>
      <c r="O106" s="37" t="b">
        <f>IFERROR(__xludf.DUMMYFUNCTION("if(isblank(A106),,REGEXMATCH(B106,""^U *\+ U *$""))"),FALSE)</f>
        <v>0</v>
      </c>
      <c r="P106" s="37" t="b">
        <f>IFERROR(__xludf.DUMMYFUNCTION("if(isblank(A106),,REGEXMATCH(B106,""(^U *\+ N *$)|(^N *\+ U *$)""))"),FALSE)</f>
        <v>0</v>
      </c>
      <c r="Q106" s="37" t="b">
        <f>IFERROR(__xludf.DUMMYFUNCTION("if(isblank(A106),,REGEXMATCH(B106,""^((I ?\+ ?(D ?I|I ?D))|((D ?I|I ?D) ?\+ ?I)) *$""))"),FALSE)</f>
        <v>0</v>
      </c>
      <c r="R106" s="37" t="b">
        <f>IFERROR(__xludf.DUMMYFUNCTION("if(isblank(A106),,REGEXMATCH(B106,""^((D ?\+ ?(D ?I|I ?D))|((D ?I|I ?D) ?\+ ?D)) *$""))"),FALSE)</f>
        <v>0</v>
      </c>
      <c r="S106" s="37" t="b">
        <f>IFERROR(__xludf.DUMMYFUNCTION("if(isblank(A106),,REGEXMATCH(B106,""^((U ?\+ ?(D ?I|I ?D))|((D ?I|I ?D) ?\+ ?U)) *$""))"),FALSE)</f>
        <v>0</v>
      </c>
      <c r="T106" s="37" t="b">
        <f>IFERROR(__xludf.DUMMYFUNCTION("if(isblank(A106),,REGEXMATCH(B106,""^((N ?\+ ?(D ?I|I ?D))|((D ?I|I ?D) ?\+ ?N)) *$""))"),FALSE)</f>
        <v>0</v>
      </c>
      <c r="U106" s="37" t="b">
        <f>IFERROR(__xludf.DUMMYFUNCTION("if(isblank(A106),,REGEXMATCH(B106,""^((I ?\+ ?(U ?I|I ?U))|((I ?U|U ?I) ?\+ ?I)) *$""))"),FALSE)</f>
        <v>0</v>
      </c>
      <c r="V106" s="37" t="b">
        <f>IFERROR(__xludf.DUMMYFUNCTION("if(isblank(A106),,REGEXMATCH(B106,""^((D ?\+ ?(U ?I|I ?U))|((I ?U|U ?I) ?\+ ?D)) *$""))"),FALSE)</f>
        <v>0</v>
      </c>
      <c r="W106" s="37" t="b">
        <f>IFERROR(__xludf.DUMMYFUNCTION("if(isblank(A106),,REGEXMATCH(B106,""^((U ?\+ ?(U ?I|I ?U))|((I ?U|U ?I) ?\+ ?U)) *$""))"),FALSE)</f>
        <v>0</v>
      </c>
      <c r="X106" s="37" t="b">
        <f>IFERROR(__xludf.DUMMYFUNCTION("if(isblank(A106),,REGEXMATCH(B106,""^((N ?\+ ?(U ?I|I ?U))|((I ?U|U ?I) ?\+ ?N)) *$""))"),FALSE)</f>
        <v>0</v>
      </c>
      <c r="Y106" s="37" t="b">
        <f>IFERROR(__xludf.DUMMYFUNCTION("if(isblank(A106),,REGEXMATCH(B106,""^((I ?\+ ?(U ?D|D ?U))|((D ?U|U ?D) ?\+ ?I)) *$""))"),FALSE)</f>
        <v>0</v>
      </c>
      <c r="Z106" s="37" t="b">
        <f>IFERROR(__xludf.DUMMYFUNCTION("if(isblank(A106),,REGEXMATCH(B106,""^((D ?\+ ?(U ?D|D ?U))|((D ?U|U ?D) ?\+ ?D)) *$""))"),FALSE)</f>
        <v>0</v>
      </c>
      <c r="AA106" s="37" t="b">
        <f>IFERROR(__xludf.DUMMYFUNCTION("if(isblank(A106),,REGEXMATCH(B106,""^((U ?\+ ?(U ?D|D ?U))|((D ?U|U ?D) ?\+ ?U)) *$""))"),FALSE)</f>
        <v>0</v>
      </c>
      <c r="AB106" s="37" t="b">
        <f>IFERROR(__xludf.DUMMYFUNCTION("if(isblank(A106),,REGEXMATCH(B106,""^((D ?I|I ?D) ?\+ ?(D ?I|I ?D)) *$""))"),FALSE)</f>
        <v>0</v>
      </c>
      <c r="AC106" s="37" t="b">
        <f>IFERROR(__xludf.DUMMYFUNCTION("if(isblank(A106),,REGEXMATCH(B106,""^((D ?I|I ?D) ?\+ ?(U ?I|I ?U))|((U ?I|I ?U) ?\+ ?(D ?I|I ?D)) *$""))"),FALSE)</f>
        <v>0</v>
      </c>
      <c r="AD106" s="37" t="b">
        <f>IFERROR(__xludf.DUMMYFUNCTION("if(isblank(A106),,REGEXMATCH(B106,""^I *vs\. I *$""))"),FALSE)</f>
        <v>0</v>
      </c>
      <c r="AE106" s="37" t="b">
        <f>IFERROR(__xludf.DUMMYFUNCTION("if(isblank(A106),,REGEXMATCH(B106,""(^I *vs\. D *$)|(^D *vs\. I *$)""))"),FALSE)</f>
        <v>0</v>
      </c>
      <c r="AF106" s="37" t="b">
        <f>IFERROR(__xludf.DUMMYFUNCTION("if(isblank(A106),,REGEXMATCH(B106,""(^I *vs\. U *$)|(^U *vs\. I *$)""))"),FALSE)</f>
        <v>0</v>
      </c>
      <c r="AG106" s="37" t="b">
        <f>IFERROR(__xludf.DUMMYFUNCTION("if(isblank(A106),,REGEXMATCH(B106,""^D *vs\. D *$""))"),FALSE)</f>
        <v>0</v>
      </c>
      <c r="AH106" s="37" t="b">
        <f>IFERROR(__xludf.DUMMYFUNCTION("if(isblank(A106),,REGEXMATCH(B106,""(^U *vs\. D *$)|(^D *vs\. U *$)""))"),TRUE)</f>
        <v>1</v>
      </c>
      <c r="AI106" s="37" t="b">
        <f>IFERROR(__xludf.DUMMYFUNCTION("if(isblank(A106),,REGEXMATCH(B106,""^U *vs\. U *$""))"),FALSE)</f>
        <v>0</v>
      </c>
      <c r="AJ106" s="37" t="b">
        <f>IFERROR(__xludf.DUMMYFUNCTION("if(isblank(A106),,REGEXMATCH(B106,""^((I ?vs\. ?(D ?I|I ?D))|((D ?I|I ?D) ?vs\. ?I)) *$""))"),FALSE)</f>
        <v>0</v>
      </c>
      <c r="AK106" s="37" t="b">
        <f>IFERROR(__xludf.DUMMYFUNCTION("if(isblank(A106),,REGEXMATCH(B106,""^((D ?vs\. ?(D ?I|I ?D))|((D ?I|I ?D) ?vs\. ?D)) *$""))"),FALSE)</f>
        <v>0</v>
      </c>
      <c r="AL106" s="37" t="b">
        <f>IFERROR(__xludf.DUMMYFUNCTION("if(isblank(A106),,REGEXMATCH(B106,""^((U ?vs\. ?(D ?I|I ?D))|((D ?I|I ?D) ?vs\. ?U)) *$""))"),FALSE)</f>
        <v>0</v>
      </c>
      <c r="AM106" s="37" t="b">
        <f>IFERROR(__xludf.DUMMYFUNCTION("if(isblank(A106),,REGEXMATCH(B106,""^((I ?vs\. ?(U ?I|I ?U))|((U ?I|I ?U) ?vs\. ?I)) *$""))"),FALSE)</f>
        <v>0</v>
      </c>
      <c r="AN106" s="37" t="b">
        <f>IFERROR(__xludf.DUMMYFUNCTION("if(isblank(A106),,REGEXMATCH(B106,""^((D ?vs\. ?(U ?I|I ?U))|((U ?I|I ?U) ?vs\. ?D)) *$""))"),FALSE)</f>
        <v>0</v>
      </c>
      <c r="AO106" s="37" t="b">
        <f>IFERROR(__xludf.DUMMYFUNCTION("if(isblank(A106),,REGEXMATCH(B106,""^((U ?vs\. ?(U ?I|I ?U))|((U ?I|I ?U) ?vs\. ?U)) *$""))"),FALSE)</f>
        <v>0</v>
      </c>
      <c r="AP106" s="37" t="b">
        <f>IFERROR(__xludf.DUMMYFUNCTION("if(isblank(A106),,REGEXMATCH(B106,""^((I ?vs\. ?(U ?D|D ?U))|((D ?U|U ?D) ?vs\. ?I)) *$""))"),FALSE)</f>
        <v>0</v>
      </c>
      <c r="AQ106" s="37" t="b">
        <f>IFERROR(__xludf.DUMMYFUNCTION("if(isblank(A106),,REGEXMATCH(B106,""^((D ?vs\. ?(U ?D|D ?U))|((D ?U|U ?D) ?vs\. ?D)) *$""))"),FALSE)</f>
        <v>0</v>
      </c>
      <c r="AR106" s="37" t="b">
        <f>IFERROR(__xludf.DUMMYFUNCTION("if(isblank(A106),,REGEXMATCH(B106,""^((U ?vs\. ?(U ?D|D ?U))|((D ?U|U ?D) ?vs\. ?U)) *$""))"),FALSE)</f>
        <v>0</v>
      </c>
      <c r="AS106" s="37" t="b">
        <f>IFERROR(__xludf.DUMMYFUNCTION("if(isblank(A106),,REGEXMATCH(B106,""^((D ?I|I ?D) ?vs\. ?(D ?I|I ?D)) *$""))"),FALSE)</f>
        <v>0</v>
      </c>
      <c r="AT106" s="37" t="b">
        <f>IFERROR(__xludf.DUMMYFUNCTION("if(isblank(A106),,REGEXMATCH(B106,""^((D ?I|I ?D) ?vs\. ?(U ?I|I ?U))|((U ?I|I ?U) ?vs\. ?(D ?I|I ?D)) *$""))"),FALSE)</f>
        <v>0</v>
      </c>
      <c r="AU106" s="37" t="b">
        <f>IFERROR(__xludf.DUMMYFUNCTION("if(isblank(A106),,REGEXMATCH(B106,""^((D ?I|I ?D) ?vs\. ?(U ?D|D ?U))|((U ?D|D ?U) ?vs\. ?(D ?I|I ?D)) *$""))"),FALSE)</f>
        <v>0</v>
      </c>
      <c r="AV106" s="37" t="b">
        <f>IFERROR(__xludf.DUMMYFUNCTION("if(isblank(A106),,REGEXMATCH(B106,""^((U ?I|I ?U) ?vs\. ?(U ?I|I ?U)) *$""))"),FALSE)</f>
        <v>0</v>
      </c>
    </row>
    <row r="107" ht="26.25" customHeight="1">
      <c r="A107" s="79" t="str">
        <f>Paper_Textual_Conflict!M107</f>
        <v>D I vs. D I(import)
Origin(U vs. D I)</v>
      </c>
      <c r="B107" s="37" t="str">
        <f>IFERROR(__xludf.DUMMYFUNCTION("if(isblank(A107),,regexextract(REGEXEXTRACT(A107,""^.*""),""^[^(]*""))"),"D I vs. D I")</f>
        <v>D I vs. D I</v>
      </c>
      <c r="C107" s="37" t="b">
        <f>IFERROR(__xludf.DUMMYFUNCTION("if(isblank(A107),,REGEXMATCH(B107,"".*\+.*"") )"),FALSE)</f>
        <v>0</v>
      </c>
      <c r="D107" s="37" t="b">
        <f>IFERROR(__xludf.DUMMYFUNCTION("if(isblank(A107),,REGEXMATCH(B107,"".*vs.*"") )"),TRUE)</f>
        <v>1</v>
      </c>
      <c r="E107" s="37" t="b">
        <f>Paper_Textual_Conflict!H107</f>
        <v>1</v>
      </c>
      <c r="F107" s="37" t="str">
        <f>Paper_Textual_Conflict!Q107</f>
        <v>Java</v>
      </c>
      <c r="G107" s="33">
        <v>107.0</v>
      </c>
      <c r="H107" s="37" t="b">
        <f>IFERROR(__xludf.DUMMYFUNCTION("if(isblank(A107),,REGEXMATCH(B107,""^I *\+ I *$""))"),FALSE)</f>
        <v>0</v>
      </c>
      <c r="I107" s="37" t="b">
        <f>IFERROR(__xludf.DUMMYFUNCTION("if(isblank(A107),,REGEXMATCH(B107,""(^I *\+ D *$)|(^D *\+ I *$)""))"),FALSE)</f>
        <v>0</v>
      </c>
      <c r="J107" s="37" t="b">
        <f>IFERROR(__xludf.DUMMYFUNCTION("if(isblank(A107),,REGEXMATCH(B107,""(^I *\+ U *$)|(^U *\+ I *$)""))"),FALSE)</f>
        <v>0</v>
      </c>
      <c r="K107" s="37" t="b">
        <f>IFERROR(__xludf.DUMMYFUNCTION("if(isblank(A107),,REGEXMATCH(B107,""(^I *\+ N *$)|(^N *\+ I *$)"") )"),FALSE)</f>
        <v>0</v>
      </c>
      <c r="L107" s="37" t="b">
        <f>IFERROR(__xludf.DUMMYFUNCTION("if(isblank(A107),,REGEXMATCH(B107,""^D *\+ D *$""))"),FALSE)</f>
        <v>0</v>
      </c>
      <c r="M107" s="37" t="b">
        <f>IFERROR(__xludf.DUMMYFUNCTION("if(isblank(A107),,REGEXMATCH(B107,""(^U *\+ D *$)|(^D *\+ U *$)""))"),FALSE)</f>
        <v>0</v>
      </c>
      <c r="N107" s="37" t="b">
        <f>IFERROR(__xludf.DUMMYFUNCTION("if(isblank(A107),,REGEXMATCH(B107,""(^N *\+ D *$)|(^D *\+ N *$)""))"),FALSE)</f>
        <v>0</v>
      </c>
      <c r="O107" s="37" t="b">
        <f>IFERROR(__xludf.DUMMYFUNCTION("if(isblank(A107),,REGEXMATCH(B107,""^U *\+ U *$""))"),FALSE)</f>
        <v>0</v>
      </c>
      <c r="P107" s="37" t="b">
        <f>IFERROR(__xludf.DUMMYFUNCTION("if(isblank(A107),,REGEXMATCH(B107,""(^U *\+ N *$)|(^N *\+ U *$)""))"),FALSE)</f>
        <v>0</v>
      </c>
      <c r="Q107" s="37" t="b">
        <f>IFERROR(__xludf.DUMMYFUNCTION("if(isblank(A107),,REGEXMATCH(B107,""^((I ?\+ ?(D ?I|I ?D))|((D ?I|I ?D) ?\+ ?I)) *$""))"),FALSE)</f>
        <v>0</v>
      </c>
      <c r="R107" s="37" t="b">
        <f>IFERROR(__xludf.DUMMYFUNCTION("if(isblank(A107),,REGEXMATCH(B107,""^((D ?\+ ?(D ?I|I ?D))|((D ?I|I ?D) ?\+ ?D)) *$""))"),FALSE)</f>
        <v>0</v>
      </c>
      <c r="S107" s="37" t="b">
        <f>IFERROR(__xludf.DUMMYFUNCTION("if(isblank(A107),,REGEXMATCH(B107,""^((U ?\+ ?(D ?I|I ?D))|((D ?I|I ?D) ?\+ ?U)) *$""))"),FALSE)</f>
        <v>0</v>
      </c>
      <c r="T107" s="37" t="b">
        <f>IFERROR(__xludf.DUMMYFUNCTION("if(isblank(A107),,REGEXMATCH(B107,""^((N ?\+ ?(D ?I|I ?D))|((D ?I|I ?D) ?\+ ?N)) *$""))"),FALSE)</f>
        <v>0</v>
      </c>
      <c r="U107" s="37" t="b">
        <f>IFERROR(__xludf.DUMMYFUNCTION("if(isblank(A107),,REGEXMATCH(B107,""^((I ?\+ ?(U ?I|I ?U))|((I ?U|U ?I) ?\+ ?I)) *$""))"),FALSE)</f>
        <v>0</v>
      </c>
      <c r="V107" s="37" t="b">
        <f>IFERROR(__xludf.DUMMYFUNCTION("if(isblank(A107),,REGEXMATCH(B107,""^((D ?\+ ?(U ?I|I ?U))|((I ?U|U ?I) ?\+ ?D)) *$""))"),FALSE)</f>
        <v>0</v>
      </c>
      <c r="W107" s="37" t="b">
        <f>IFERROR(__xludf.DUMMYFUNCTION("if(isblank(A107),,REGEXMATCH(B107,""^((U ?\+ ?(U ?I|I ?U))|((I ?U|U ?I) ?\+ ?U)) *$""))"),FALSE)</f>
        <v>0</v>
      </c>
      <c r="X107" s="37" t="b">
        <f>IFERROR(__xludf.DUMMYFUNCTION("if(isblank(A107),,REGEXMATCH(B107,""^((N ?\+ ?(U ?I|I ?U))|((I ?U|U ?I) ?\+ ?N)) *$""))"),FALSE)</f>
        <v>0</v>
      </c>
      <c r="Y107" s="37" t="b">
        <f>IFERROR(__xludf.DUMMYFUNCTION("if(isblank(A107),,REGEXMATCH(B107,""^((I ?\+ ?(U ?D|D ?U))|((D ?U|U ?D) ?\+ ?I)) *$""))"),FALSE)</f>
        <v>0</v>
      </c>
      <c r="Z107" s="37" t="b">
        <f>IFERROR(__xludf.DUMMYFUNCTION("if(isblank(A107),,REGEXMATCH(B107,""^((D ?\+ ?(U ?D|D ?U))|((D ?U|U ?D) ?\+ ?D)) *$""))"),FALSE)</f>
        <v>0</v>
      </c>
      <c r="AA107" s="37" t="b">
        <f>IFERROR(__xludf.DUMMYFUNCTION("if(isblank(A107),,REGEXMATCH(B107,""^((U ?\+ ?(U ?D|D ?U))|((D ?U|U ?D) ?\+ ?U)) *$""))"),FALSE)</f>
        <v>0</v>
      </c>
      <c r="AB107" s="37" t="b">
        <f>IFERROR(__xludf.DUMMYFUNCTION("if(isblank(A107),,REGEXMATCH(B107,""^((D ?I|I ?D) ?\+ ?(D ?I|I ?D)) *$""))"),FALSE)</f>
        <v>0</v>
      </c>
      <c r="AC107" s="37" t="b">
        <f>IFERROR(__xludf.DUMMYFUNCTION("if(isblank(A107),,REGEXMATCH(B107,""^((D ?I|I ?D) ?\+ ?(U ?I|I ?U))|((U ?I|I ?U) ?\+ ?(D ?I|I ?D)) *$""))"),FALSE)</f>
        <v>0</v>
      </c>
      <c r="AD107" s="37" t="b">
        <f>IFERROR(__xludf.DUMMYFUNCTION("if(isblank(A107),,REGEXMATCH(B107,""^I *vs\. I *$""))"),FALSE)</f>
        <v>0</v>
      </c>
      <c r="AE107" s="37" t="b">
        <f>IFERROR(__xludf.DUMMYFUNCTION("if(isblank(A107),,REGEXMATCH(B107,""(^I *vs\. D *$)|(^D *vs\. I *$)""))"),FALSE)</f>
        <v>0</v>
      </c>
      <c r="AF107" s="37" t="b">
        <f>IFERROR(__xludf.DUMMYFUNCTION("if(isblank(A107),,REGEXMATCH(B107,""(^I *vs\. U *$)|(^U *vs\. I *$)""))"),FALSE)</f>
        <v>0</v>
      </c>
      <c r="AG107" s="37" t="b">
        <f>IFERROR(__xludf.DUMMYFUNCTION("if(isblank(A107),,REGEXMATCH(B107,""^D *vs\. D *$""))"),FALSE)</f>
        <v>0</v>
      </c>
      <c r="AH107" s="37" t="b">
        <f>IFERROR(__xludf.DUMMYFUNCTION("if(isblank(A107),,REGEXMATCH(B107,""(^U *vs\. D *$)|(^D *vs\. U *$)""))"),FALSE)</f>
        <v>0</v>
      </c>
      <c r="AI107" s="37" t="b">
        <f>IFERROR(__xludf.DUMMYFUNCTION("if(isblank(A107),,REGEXMATCH(B107,""^U *vs\. U *$""))"),FALSE)</f>
        <v>0</v>
      </c>
      <c r="AJ107" s="37" t="b">
        <f>IFERROR(__xludf.DUMMYFUNCTION("if(isblank(A107),,REGEXMATCH(B107,""^((I ?vs\. ?(D ?I|I ?D))|((D ?I|I ?D) ?vs\. ?I)) *$""))"),FALSE)</f>
        <v>0</v>
      </c>
      <c r="AK107" s="37" t="b">
        <f>IFERROR(__xludf.DUMMYFUNCTION("if(isblank(A107),,REGEXMATCH(B107,""^((D ?vs\. ?(D ?I|I ?D))|((D ?I|I ?D) ?vs\. ?D)) *$""))"),FALSE)</f>
        <v>0</v>
      </c>
      <c r="AL107" s="37" t="b">
        <f>IFERROR(__xludf.DUMMYFUNCTION("if(isblank(A107),,REGEXMATCH(B107,""^((U ?vs\. ?(D ?I|I ?D))|((D ?I|I ?D) ?vs\. ?U)) *$""))"),FALSE)</f>
        <v>0</v>
      </c>
      <c r="AM107" s="37" t="b">
        <f>IFERROR(__xludf.DUMMYFUNCTION("if(isblank(A107),,REGEXMATCH(B107,""^((I ?vs\. ?(U ?I|I ?U))|((U ?I|I ?U) ?vs\. ?I)) *$""))"),FALSE)</f>
        <v>0</v>
      </c>
      <c r="AN107" s="37" t="b">
        <f>IFERROR(__xludf.DUMMYFUNCTION("if(isblank(A107),,REGEXMATCH(B107,""^((D ?vs\. ?(U ?I|I ?U))|((U ?I|I ?U) ?vs\. ?D)) *$""))"),FALSE)</f>
        <v>0</v>
      </c>
      <c r="AO107" s="37" t="b">
        <f>IFERROR(__xludf.DUMMYFUNCTION("if(isblank(A107),,REGEXMATCH(B107,""^((U ?vs\. ?(U ?I|I ?U))|((U ?I|I ?U) ?vs\. ?U)) *$""))"),FALSE)</f>
        <v>0</v>
      </c>
      <c r="AP107" s="37" t="b">
        <f>IFERROR(__xludf.DUMMYFUNCTION("if(isblank(A107),,REGEXMATCH(B107,""^((I ?vs\. ?(U ?D|D ?U))|((D ?U|U ?D) ?vs\. ?I)) *$""))"),FALSE)</f>
        <v>0</v>
      </c>
      <c r="AQ107" s="37" t="b">
        <f>IFERROR(__xludf.DUMMYFUNCTION("if(isblank(A107),,REGEXMATCH(B107,""^((D ?vs\. ?(U ?D|D ?U))|((D ?U|U ?D) ?vs\. ?D)) *$""))"),FALSE)</f>
        <v>0</v>
      </c>
      <c r="AR107" s="37" t="b">
        <f>IFERROR(__xludf.DUMMYFUNCTION("if(isblank(A107),,REGEXMATCH(B107,""^((U ?vs\. ?(U ?D|D ?U))|((D ?U|U ?D) ?vs\. ?U)) *$""))"),FALSE)</f>
        <v>0</v>
      </c>
      <c r="AS107" s="37" t="b">
        <f>IFERROR(__xludf.DUMMYFUNCTION("if(isblank(A107),,REGEXMATCH(B107,""^((D ?I|I ?D) ?vs\. ?(D ?I|I ?D)) *$""))"),TRUE)</f>
        <v>1</v>
      </c>
      <c r="AT107" s="37" t="b">
        <f>IFERROR(__xludf.DUMMYFUNCTION("if(isblank(A107),,REGEXMATCH(B107,""^((D ?I|I ?D) ?vs\. ?(U ?I|I ?U))|((U ?I|I ?U) ?vs\. ?(D ?I|I ?D)) *$""))"),FALSE)</f>
        <v>0</v>
      </c>
      <c r="AU107" s="37" t="b">
        <f>IFERROR(__xludf.DUMMYFUNCTION("if(isblank(A107),,REGEXMATCH(B107,""^((D ?I|I ?D) ?vs\. ?(U ?D|D ?U))|((U ?D|D ?U) ?vs\. ?(D ?I|I ?D)) *$""))"),FALSE)</f>
        <v>0</v>
      </c>
      <c r="AV107" s="37" t="b">
        <f>IFERROR(__xludf.DUMMYFUNCTION("if(isblank(A107),,REGEXMATCH(B107,""^((U ?I|I ?U) ?vs\. ?(U ?I|I ?U)) *$""))"),FALSE)</f>
        <v>0</v>
      </c>
    </row>
    <row r="108" ht="26.25" customHeight="1">
      <c r="A108" s="79" t="str">
        <f>Paper_Textual_Conflict!M108</f>
        <v>U vs. U (Java code)</v>
      </c>
      <c r="B108" s="37" t="str">
        <f>IFERROR(__xludf.DUMMYFUNCTION("if(isblank(A108),,regexextract(REGEXEXTRACT(A108,""^.*""),""^[^(]*""))"),"U vs. U ")</f>
        <v>U vs. U </v>
      </c>
      <c r="C108" s="37" t="b">
        <f>IFERROR(__xludf.DUMMYFUNCTION("if(isblank(A108),,REGEXMATCH(B108,"".*\+.*"") )"),FALSE)</f>
        <v>0</v>
      </c>
      <c r="D108" s="37" t="b">
        <f>IFERROR(__xludf.DUMMYFUNCTION("if(isblank(A108),,REGEXMATCH(B108,"".*vs.*"") )"),TRUE)</f>
        <v>1</v>
      </c>
      <c r="E108" s="37" t="b">
        <f>Paper_Textual_Conflict!H108</f>
        <v>1</v>
      </c>
      <c r="F108" s="37" t="str">
        <f>Paper_Textual_Conflict!Q108</f>
        <v>Java</v>
      </c>
      <c r="G108" s="33">
        <v>108.0</v>
      </c>
      <c r="H108" s="37" t="b">
        <f>IFERROR(__xludf.DUMMYFUNCTION("if(isblank(A108),,REGEXMATCH(B108,""^I *\+ I *$""))"),FALSE)</f>
        <v>0</v>
      </c>
      <c r="I108" s="37" t="b">
        <f>IFERROR(__xludf.DUMMYFUNCTION("if(isblank(A108),,REGEXMATCH(B108,""(^I *\+ D *$)|(^D *\+ I *$)""))"),FALSE)</f>
        <v>0</v>
      </c>
      <c r="J108" s="37" t="b">
        <f>IFERROR(__xludf.DUMMYFUNCTION("if(isblank(A108),,REGEXMATCH(B108,""(^I *\+ U *$)|(^U *\+ I *$)""))"),FALSE)</f>
        <v>0</v>
      </c>
      <c r="K108" s="37" t="b">
        <f>IFERROR(__xludf.DUMMYFUNCTION("if(isblank(A108),,REGEXMATCH(B108,""(^I *\+ N *$)|(^N *\+ I *$)"") )"),FALSE)</f>
        <v>0</v>
      </c>
      <c r="L108" s="37" t="b">
        <f>IFERROR(__xludf.DUMMYFUNCTION("if(isblank(A108),,REGEXMATCH(B108,""^D *\+ D *$""))"),FALSE)</f>
        <v>0</v>
      </c>
      <c r="M108" s="37" t="b">
        <f>IFERROR(__xludf.DUMMYFUNCTION("if(isblank(A108),,REGEXMATCH(B108,""(^U *\+ D *$)|(^D *\+ U *$)""))"),FALSE)</f>
        <v>0</v>
      </c>
      <c r="N108" s="37" t="b">
        <f>IFERROR(__xludf.DUMMYFUNCTION("if(isblank(A108),,REGEXMATCH(B108,""(^N *\+ D *$)|(^D *\+ N *$)""))"),FALSE)</f>
        <v>0</v>
      </c>
      <c r="O108" s="37" t="b">
        <f>IFERROR(__xludf.DUMMYFUNCTION("if(isblank(A108),,REGEXMATCH(B108,""^U *\+ U *$""))"),FALSE)</f>
        <v>0</v>
      </c>
      <c r="P108" s="37" t="b">
        <f>IFERROR(__xludf.DUMMYFUNCTION("if(isblank(A108),,REGEXMATCH(B108,""(^U *\+ N *$)|(^N *\+ U *$)""))"),FALSE)</f>
        <v>0</v>
      </c>
      <c r="Q108" s="37" t="b">
        <f>IFERROR(__xludf.DUMMYFUNCTION("if(isblank(A108),,REGEXMATCH(B108,""^((I ?\+ ?(D ?I|I ?D))|((D ?I|I ?D) ?\+ ?I)) *$""))"),FALSE)</f>
        <v>0</v>
      </c>
      <c r="R108" s="37" t="b">
        <f>IFERROR(__xludf.DUMMYFUNCTION("if(isblank(A108),,REGEXMATCH(B108,""^((D ?\+ ?(D ?I|I ?D))|((D ?I|I ?D) ?\+ ?D)) *$""))"),FALSE)</f>
        <v>0</v>
      </c>
      <c r="S108" s="37" t="b">
        <f>IFERROR(__xludf.DUMMYFUNCTION("if(isblank(A108),,REGEXMATCH(B108,""^((U ?\+ ?(D ?I|I ?D))|((D ?I|I ?D) ?\+ ?U)) *$""))"),FALSE)</f>
        <v>0</v>
      </c>
      <c r="T108" s="37" t="b">
        <f>IFERROR(__xludf.DUMMYFUNCTION("if(isblank(A108),,REGEXMATCH(B108,""^((N ?\+ ?(D ?I|I ?D))|((D ?I|I ?D) ?\+ ?N)) *$""))"),FALSE)</f>
        <v>0</v>
      </c>
      <c r="U108" s="37" t="b">
        <f>IFERROR(__xludf.DUMMYFUNCTION("if(isblank(A108),,REGEXMATCH(B108,""^((I ?\+ ?(U ?I|I ?U))|((I ?U|U ?I) ?\+ ?I)) *$""))"),FALSE)</f>
        <v>0</v>
      </c>
      <c r="V108" s="37" t="b">
        <f>IFERROR(__xludf.DUMMYFUNCTION("if(isblank(A108),,REGEXMATCH(B108,""^((D ?\+ ?(U ?I|I ?U))|((I ?U|U ?I) ?\+ ?D)) *$""))"),FALSE)</f>
        <v>0</v>
      </c>
      <c r="W108" s="37" t="b">
        <f>IFERROR(__xludf.DUMMYFUNCTION("if(isblank(A108),,REGEXMATCH(B108,""^((U ?\+ ?(U ?I|I ?U))|((I ?U|U ?I) ?\+ ?U)) *$""))"),FALSE)</f>
        <v>0</v>
      </c>
      <c r="X108" s="37" t="b">
        <f>IFERROR(__xludf.DUMMYFUNCTION("if(isblank(A108),,REGEXMATCH(B108,""^((N ?\+ ?(U ?I|I ?U))|((I ?U|U ?I) ?\+ ?N)) *$""))"),FALSE)</f>
        <v>0</v>
      </c>
      <c r="Y108" s="37" t="b">
        <f>IFERROR(__xludf.DUMMYFUNCTION("if(isblank(A108),,REGEXMATCH(B108,""^((I ?\+ ?(U ?D|D ?U))|((D ?U|U ?D) ?\+ ?I)) *$""))"),FALSE)</f>
        <v>0</v>
      </c>
      <c r="Z108" s="37" t="b">
        <f>IFERROR(__xludf.DUMMYFUNCTION("if(isblank(A108),,REGEXMATCH(B108,""^((D ?\+ ?(U ?D|D ?U))|((D ?U|U ?D) ?\+ ?D)) *$""))"),FALSE)</f>
        <v>0</v>
      </c>
      <c r="AA108" s="37" t="b">
        <f>IFERROR(__xludf.DUMMYFUNCTION("if(isblank(A108),,REGEXMATCH(B108,""^((U ?\+ ?(U ?D|D ?U))|((D ?U|U ?D) ?\+ ?U)) *$""))"),FALSE)</f>
        <v>0</v>
      </c>
      <c r="AB108" s="37" t="b">
        <f>IFERROR(__xludf.DUMMYFUNCTION("if(isblank(A108),,REGEXMATCH(B108,""^((D ?I|I ?D) ?\+ ?(D ?I|I ?D)) *$""))"),FALSE)</f>
        <v>0</v>
      </c>
      <c r="AC108" s="37" t="b">
        <f>IFERROR(__xludf.DUMMYFUNCTION("if(isblank(A108),,REGEXMATCH(B108,""^((D ?I|I ?D) ?\+ ?(U ?I|I ?U))|((U ?I|I ?U) ?\+ ?(D ?I|I ?D)) *$""))"),FALSE)</f>
        <v>0</v>
      </c>
      <c r="AD108" s="37" t="b">
        <f>IFERROR(__xludf.DUMMYFUNCTION("if(isblank(A108),,REGEXMATCH(B108,""^I *vs\. I *$""))"),FALSE)</f>
        <v>0</v>
      </c>
      <c r="AE108" s="37" t="b">
        <f>IFERROR(__xludf.DUMMYFUNCTION("if(isblank(A108),,REGEXMATCH(B108,""(^I *vs\. D *$)|(^D *vs\. I *$)""))"),FALSE)</f>
        <v>0</v>
      </c>
      <c r="AF108" s="37" t="b">
        <f>IFERROR(__xludf.DUMMYFUNCTION("if(isblank(A108),,REGEXMATCH(B108,""(^I *vs\. U *$)|(^U *vs\. I *$)""))"),FALSE)</f>
        <v>0</v>
      </c>
      <c r="AG108" s="37" t="b">
        <f>IFERROR(__xludf.DUMMYFUNCTION("if(isblank(A108),,REGEXMATCH(B108,""^D *vs\. D *$""))"),FALSE)</f>
        <v>0</v>
      </c>
      <c r="AH108" s="37" t="b">
        <f>IFERROR(__xludf.DUMMYFUNCTION("if(isblank(A108),,REGEXMATCH(B108,""(^U *vs\. D *$)|(^D *vs\. U *$)""))"),FALSE)</f>
        <v>0</v>
      </c>
      <c r="AI108" s="37" t="b">
        <f>IFERROR(__xludf.DUMMYFUNCTION("if(isblank(A108),,REGEXMATCH(B108,""^U *vs\. U *$""))"),TRUE)</f>
        <v>1</v>
      </c>
      <c r="AJ108" s="37" t="b">
        <f>IFERROR(__xludf.DUMMYFUNCTION("if(isblank(A108),,REGEXMATCH(B108,""^((I ?vs\. ?(D ?I|I ?D))|((D ?I|I ?D) ?vs\. ?I)) *$""))"),FALSE)</f>
        <v>0</v>
      </c>
      <c r="AK108" s="37" t="b">
        <f>IFERROR(__xludf.DUMMYFUNCTION("if(isblank(A108),,REGEXMATCH(B108,""^((D ?vs\. ?(D ?I|I ?D))|((D ?I|I ?D) ?vs\. ?D)) *$""))"),FALSE)</f>
        <v>0</v>
      </c>
      <c r="AL108" s="37" t="b">
        <f>IFERROR(__xludf.DUMMYFUNCTION("if(isblank(A108),,REGEXMATCH(B108,""^((U ?vs\. ?(D ?I|I ?D))|((D ?I|I ?D) ?vs\. ?U)) *$""))"),FALSE)</f>
        <v>0</v>
      </c>
      <c r="AM108" s="37" t="b">
        <f>IFERROR(__xludf.DUMMYFUNCTION("if(isblank(A108),,REGEXMATCH(B108,""^((I ?vs\. ?(U ?I|I ?U))|((U ?I|I ?U) ?vs\. ?I)) *$""))"),FALSE)</f>
        <v>0</v>
      </c>
      <c r="AN108" s="37" t="b">
        <f>IFERROR(__xludf.DUMMYFUNCTION("if(isblank(A108),,REGEXMATCH(B108,""^((D ?vs\. ?(U ?I|I ?U))|((U ?I|I ?U) ?vs\. ?D)) *$""))"),FALSE)</f>
        <v>0</v>
      </c>
      <c r="AO108" s="37" t="b">
        <f>IFERROR(__xludf.DUMMYFUNCTION("if(isblank(A108),,REGEXMATCH(B108,""^((U ?vs\. ?(U ?I|I ?U))|((U ?I|I ?U) ?vs\. ?U)) *$""))"),FALSE)</f>
        <v>0</v>
      </c>
      <c r="AP108" s="37" t="b">
        <f>IFERROR(__xludf.DUMMYFUNCTION("if(isblank(A108),,REGEXMATCH(B108,""^((I ?vs\. ?(U ?D|D ?U))|((D ?U|U ?D) ?vs\. ?I)) *$""))"),FALSE)</f>
        <v>0</v>
      </c>
      <c r="AQ108" s="37" t="b">
        <f>IFERROR(__xludf.DUMMYFUNCTION("if(isblank(A108),,REGEXMATCH(B108,""^((D ?vs\. ?(U ?D|D ?U))|((D ?U|U ?D) ?vs\. ?D)) *$""))"),FALSE)</f>
        <v>0</v>
      </c>
      <c r="AR108" s="37" t="b">
        <f>IFERROR(__xludf.DUMMYFUNCTION("if(isblank(A108),,REGEXMATCH(B108,""^((U ?vs\. ?(U ?D|D ?U))|((D ?U|U ?D) ?vs\. ?U)) *$""))"),FALSE)</f>
        <v>0</v>
      </c>
      <c r="AS108" s="37" t="b">
        <f>IFERROR(__xludf.DUMMYFUNCTION("if(isblank(A108),,REGEXMATCH(B108,""^((D ?I|I ?D) ?vs\. ?(D ?I|I ?D)) *$""))"),FALSE)</f>
        <v>0</v>
      </c>
      <c r="AT108" s="37" t="b">
        <f>IFERROR(__xludf.DUMMYFUNCTION("if(isblank(A108),,REGEXMATCH(B108,""^((D ?I|I ?D) ?vs\. ?(U ?I|I ?U))|((U ?I|I ?U) ?vs\. ?(D ?I|I ?D)) *$""))"),FALSE)</f>
        <v>0</v>
      </c>
      <c r="AU108" s="37" t="b">
        <f>IFERROR(__xludf.DUMMYFUNCTION("if(isblank(A108),,REGEXMATCH(B108,""^((D ?I|I ?D) ?vs\. ?(U ?D|D ?U))|((U ?D|D ?U) ?vs\. ?(D ?I|I ?D)) *$""))"),FALSE)</f>
        <v>0</v>
      </c>
      <c r="AV108" s="37" t="b">
        <f>IFERROR(__xludf.DUMMYFUNCTION("if(isblank(A108),,REGEXMATCH(B108,""^((U ?I|I ?U) ?vs\. ?(U ?I|I ?U)) *$""))"),FALSE)</f>
        <v>0</v>
      </c>
    </row>
    <row r="109" ht="26.25" customHeight="1">
      <c r="A109" s="79" t="str">
        <f>Paper_Textual_Conflict!M109</f>
        <v>U vs. U (.groovy)</v>
      </c>
      <c r="B109" s="37" t="str">
        <f>IFERROR(__xludf.DUMMYFUNCTION("if(isblank(A109),,regexextract(REGEXEXTRACT(A109,""^.*""),""^[^(]*""))"),"U vs. U ")</f>
        <v>U vs. U </v>
      </c>
      <c r="C109" s="37" t="b">
        <f>IFERROR(__xludf.DUMMYFUNCTION("if(isblank(A109),,REGEXMATCH(B109,"".*\+.*"") )"),FALSE)</f>
        <v>0</v>
      </c>
      <c r="D109" s="37" t="b">
        <f>IFERROR(__xludf.DUMMYFUNCTION("if(isblank(A109),,REGEXMATCH(B109,"".*vs.*"") )"),TRUE)</f>
        <v>1</v>
      </c>
      <c r="E109" s="37" t="b">
        <f>Paper_Textual_Conflict!H109</f>
        <v>1</v>
      </c>
      <c r="F109" s="37" t="str">
        <f>Paper_Textual_Conflict!Q109</f>
        <v>Non-Java</v>
      </c>
      <c r="G109" s="33">
        <v>109.0</v>
      </c>
      <c r="H109" s="37" t="b">
        <f>IFERROR(__xludf.DUMMYFUNCTION("if(isblank(A109),,REGEXMATCH(B109,""^I *\+ I *$""))"),FALSE)</f>
        <v>0</v>
      </c>
      <c r="I109" s="37" t="b">
        <f>IFERROR(__xludf.DUMMYFUNCTION("if(isblank(A109),,REGEXMATCH(B109,""(^I *\+ D *$)|(^D *\+ I *$)""))"),FALSE)</f>
        <v>0</v>
      </c>
      <c r="J109" s="37" t="b">
        <f>IFERROR(__xludf.DUMMYFUNCTION("if(isblank(A109),,REGEXMATCH(B109,""(^I *\+ U *$)|(^U *\+ I *$)""))"),FALSE)</f>
        <v>0</v>
      </c>
      <c r="K109" s="37" t="b">
        <f>IFERROR(__xludf.DUMMYFUNCTION("if(isblank(A109),,REGEXMATCH(B109,""(^I *\+ N *$)|(^N *\+ I *$)"") )"),FALSE)</f>
        <v>0</v>
      </c>
      <c r="L109" s="37" t="b">
        <f>IFERROR(__xludf.DUMMYFUNCTION("if(isblank(A109),,REGEXMATCH(B109,""^D *\+ D *$""))"),FALSE)</f>
        <v>0</v>
      </c>
      <c r="M109" s="37" t="b">
        <f>IFERROR(__xludf.DUMMYFUNCTION("if(isblank(A109),,REGEXMATCH(B109,""(^U *\+ D *$)|(^D *\+ U *$)""))"),FALSE)</f>
        <v>0</v>
      </c>
      <c r="N109" s="37" t="b">
        <f>IFERROR(__xludf.DUMMYFUNCTION("if(isblank(A109),,REGEXMATCH(B109,""(^N *\+ D *$)|(^D *\+ N *$)""))"),FALSE)</f>
        <v>0</v>
      </c>
      <c r="O109" s="37" t="b">
        <f>IFERROR(__xludf.DUMMYFUNCTION("if(isblank(A109),,REGEXMATCH(B109,""^U *\+ U *$""))"),FALSE)</f>
        <v>0</v>
      </c>
      <c r="P109" s="37" t="b">
        <f>IFERROR(__xludf.DUMMYFUNCTION("if(isblank(A109),,REGEXMATCH(B109,""(^U *\+ N *$)|(^N *\+ U *$)""))"),FALSE)</f>
        <v>0</v>
      </c>
      <c r="Q109" s="37" t="b">
        <f>IFERROR(__xludf.DUMMYFUNCTION("if(isblank(A109),,REGEXMATCH(B109,""^((I ?\+ ?(D ?I|I ?D))|((D ?I|I ?D) ?\+ ?I)) *$""))"),FALSE)</f>
        <v>0</v>
      </c>
      <c r="R109" s="37" t="b">
        <f>IFERROR(__xludf.DUMMYFUNCTION("if(isblank(A109),,REGEXMATCH(B109,""^((D ?\+ ?(D ?I|I ?D))|((D ?I|I ?D) ?\+ ?D)) *$""))"),FALSE)</f>
        <v>0</v>
      </c>
      <c r="S109" s="37" t="b">
        <f>IFERROR(__xludf.DUMMYFUNCTION("if(isblank(A109),,REGEXMATCH(B109,""^((U ?\+ ?(D ?I|I ?D))|((D ?I|I ?D) ?\+ ?U)) *$""))"),FALSE)</f>
        <v>0</v>
      </c>
      <c r="T109" s="37" t="b">
        <f>IFERROR(__xludf.DUMMYFUNCTION("if(isblank(A109),,REGEXMATCH(B109,""^((N ?\+ ?(D ?I|I ?D))|((D ?I|I ?D) ?\+ ?N)) *$""))"),FALSE)</f>
        <v>0</v>
      </c>
      <c r="U109" s="37" t="b">
        <f>IFERROR(__xludf.DUMMYFUNCTION("if(isblank(A109),,REGEXMATCH(B109,""^((I ?\+ ?(U ?I|I ?U))|((I ?U|U ?I) ?\+ ?I)) *$""))"),FALSE)</f>
        <v>0</v>
      </c>
      <c r="V109" s="37" t="b">
        <f>IFERROR(__xludf.DUMMYFUNCTION("if(isblank(A109),,REGEXMATCH(B109,""^((D ?\+ ?(U ?I|I ?U))|((I ?U|U ?I) ?\+ ?D)) *$""))"),FALSE)</f>
        <v>0</v>
      </c>
      <c r="W109" s="37" t="b">
        <f>IFERROR(__xludf.DUMMYFUNCTION("if(isblank(A109),,REGEXMATCH(B109,""^((U ?\+ ?(U ?I|I ?U))|((I ?U|U ?I) ?\+ ?U)) *$""))"),FALSE)</f>
        <v>0</v>
      </c>
      <c r="X109" s="37" t="b">
        <f>IFERROR(__xludf.DUMMYFUNCTION("if(isblank(A109),,REGEXMATCH(B109,""^((N ?\+ ?(U ?I|I ?U))|((I ?U|U ?I) ?\+ ?N)) *$""))"),FALSE)</f>
        <v>0</v>
      </c>
      <c r="Y109" s="37" t="b">
        <f>IFERROR(__xludf.DUMMYFUNCTION("if(isblank(A109),,REGEXMATCH(B109,""^((I ?\+ ?(U ?D|D ?U))|((D ?U|U ?D) ?\+ ?I)) *$""))"),FALSE)</f>
        <v>0</v>
      </c>
      <c r="Z109" s="37" t="b">
        <f>IFERROR(__xludf.DUMMYFUNCTION("if(isblank(A109),,REGEXMATCH(B109,""^((D ?\+ ?(U ?D|D ?U))|((D ?U|U ?D) ?\+ ?D)) *$""))"),FALSE)</f>
        <v>0</v>
      </c>
      <c r="AA109" s="37" t="b">
        <f>IFERROR(__xludf.DUMMYFUNCTION("if(isblank(A109),,REGEXMATCH(B109,""^((U ?\+ ?(U ?D|D ?U))|((D ?U|U ?D) ?\+ ?U)) *$""))"),FALSE)</f>
        <v>0</v>
      </c>
      <c r="AB109" s="37" t="b">
        <f>IFERROR(__xludf.DUMMYFUNCTION("if(isblank(A109),,REGEXMATCH(B109,""^((D ?I|I ?D) ?\+ ?(D ?I|I ?D)) *$""))"),FALSE)</f>
        <v>0</v>
      </c>
      <c r="AC109" s="37" t="b">
        <f>IFERROR(__xludf.DUMMYFUNCTION("if(isblank(A109),,REGEXMATCH(B109,""^((D ?I|I ?D) ?\+ ?(U ?I|I ?U))|((U ?I|I ?U) ?\+ ?(D ?I|I ?D)) *$""))"),FALSE)</f>
        <v>0</v>
      </c>
      <c r="AD109" s="37" t="b">
        <f>IFERROR(__xludf.DUMMYFUNCTION("if(isblank(A109),,REGEXMATCH(B109,""^I *vs\. I *$""))"),FALSE)</f>
        <v>0</v>
      </c>
      <c r="AE109" s="37" t="b">
        <f>IFERROR(__xludf.DUMMYFUNCTION("if(isblank(A109),,REGEXMATCH(B109,""(^I *vs\. D *$)|(^D *vs\. I *$)""))"),FALSE)</f>
        <v>0</v>
      </c>
      <c r="AF109" s="37" t="b">
        <f>IFERROR(__xludf.DUMMYFUNCTION("if(isblank(A109),,REGEXMATCH(B109,""(^I *vs\. U *$)|(^U *vs\. I *$)""))"),FALSE)</f>
        <v>0</v>
      </c>
      <c r="AG109" s="37" t="b">
        <f>IFERROR(__xludf.DUMMYFUNCTION("if(isblank(A109),,REGEXMATCH(B109,""^D *vs\. D *$""))"),FALSE)</f>
        <v>0</v>
      </c>
      <c r="AH109" s="37" t="b">
        <f>IFERROR(__xludf.DUMMYFUNCTION("if(isblank(A109),,REGEXMATCH(B109,""(^U *vs\. D *$)|(^D *vs\. U *$)""))"),FALSE)</f>
        <v>0</v>
      </c>
      <c r="AI109" s="37" t="b">
        <f>IFERROR(__xludf.DUMMYFUNCTION("if(isblank(A109),,REGEXMATCH(B109,""^U *vs\. U *$""))"),TRUE)</f>
        <v>1</v>
      </c>
      <c r="AJ109" s="37" t="b">
        <f>IFERROR(__xludf.DUMMYFUNCTION("if(isblank(A109),,REGEXMATCH(B109,""^((I ?vs\. ?(D ?I|I ?D))|((D ?I|I ?D) ?vs\. ?I)) *$""))"),FALSE)</f>
        <v>0</v>
      </c>
      <c r="AK109" s="37" t="b">
        <f>IFERROR(__xludf.DUMMYFUNCTION("if(isblank(A109),,REGEXMATCH(B109,""^((D ?vs\. ?(D ?I|I ?D))|((D ?I|I ?D) ?vs\. ?D)) *$""))"),FALSE)</f>
        <v>0</v>
      </c>
      <c r="AL109" s="37" t="b">
        <f>IFERROR(__xludf.DUMMYFUNCTION("if(isblank(A109),,REGEXMATCH(B109,""^((U ?vs\. ?(D ?I|I ?D))|((D ?I|I ?D) ?vs\. ?U)) *$""))"),FALSE)</f>
        <v>0</v>
      </c>
      <c r="AM109" s="37" t="b">
        <f>IFERROR(__xludf.DUMMYFUNCTION("if(isblank(A109),,REGEXMATCH(B109,""^((I ?vs\. ?(U ?I|I ?U))|((U ?I|I ?U) ?vs\. ?I)) *$""))"),FALSE)</f>
        <v>0</v>
      </c>
      <c r="AN109" s="37" t="b">
        <f>IFERROR(__xludf.DUMMYFUNCTION("if(isblank(A109),,REGEXMATCH(B109,""^((D ?vs\. ?(U ?I|I ?U))|((U ?I|I ?U) ?vs\. ?D)) *$""))"),FALSE)</f>
        <v>0</v>
      </c>
      <c r="AO109" s="37" t="b">
        <f>IFERROR(__xludf.DUMMYFUNCTION("if(isblank(A109),,REGEXMATCH(B109,""^((U ?vs\. ?(U ?I|I ?U))|((U ?I|I ?U) ?vs\. ?U)) *$""))"),FALSE)</f>
        <v>0</v>
      </c>
      <c r="AP109" s="37" t="b">
        <f>IFERROR(__xludf.DUMMYFUNCTION("if(isblank(A109),,REGEXMATCH(B109,""^((I ?vs\. ?(U ?D|D ?U))|((D ?U|U ?D) ?vs\. ?I)) *$""))"),FALSE)</f>
        <v>0</v>
      </c>
      <c r="AQ109" s="37" t="b">
        <f>IFERROR(__xludf.DUMMYFUNCTION("if(isblank(A109),,REGEXMATCH(B109,""^((D ?vs\. ?(U ?D|D ?U))|((D ?U|U ?D) ?vs\. ?D)) *$""))"),FALSE)</f>
        <v>0</v>
      </c>
      <c r="AR109" s="37" t="b">
        <f>IFERROR(__xludf.DUMMYFUNCTION("if(isblank(A109),,REGEXMATCH(B109,""^((U ?vs\. ?(U ?D|D ?U))|((D ?U|U ?D) ?vs\. ?U)) *$""))"),FALSE)</f>
        <v>0</v>
      </c>
      <c r="AS109" s="37" t="b">
        <f>IFERROR(__xludf.DUMMYFUNCTION("if(isblank(A109),,REGEXMATCH(B109,""^((D ?I|I ?D) ?vs\. ?(D ?I|I ?D)) *$""))"),FALSE)</f>
        <v>0</v>
      </c>
      <c r="AT109" s="37" t="b">
        <f>IFERROR(__xludf.DUMMYFUNCTION("if(isblank(A109),,REGEXMATCH(B109,""^((D ?I|I ?D) ?vs\. ?(U ?I|I ?U))|((U ?I|I ?U) ?vs\. ?(D ?I|I ?D)) *$""))"),FALSE)</f>
        <v>0</v>
      </c>
      <c r="AU109" s="37" t="b">
        <f>IFERROR(__xludf.DUMMYFUNCTION("if(isblank(A109),,REGEXMATCH(B109,""^((D ?I|I ?D) ?vs\. ?(U ?D|D ?U))|((U ?D|D ?U) ?vs\. ?(D ?I|I ?D)) *$""))"),FALSE)</f>
        <v>0</v>
      </c>
      <c r="AV109" s="37" t="b">
        <f>IFERROR(__xludf.DUMMYFUNCTION("if(isblank(A109),,REGEXMATCH(B109,""^((U ?I|I ?U) ?vs\. ?(U ?I|I ?U)) *$""))"),FALSE)</f>
        <v>0</v>
      </c>
    </row>
    <row r="110" ht="26.25" customHeight="1">
      <c r="A110" s="79" t="str">
        <f>Paper_Textual_Conflict!M110</f>
        <v>I + D (Java code)</v>
      </c>
      <c r="B110" s="37" t="str">
        <f>IFERROR(__xludf.DUMMYFUNCTION("if(isblank(A110),,regexextract(REGEXEXTRACT(A110,""^.*""),""^[^(]*""))"),"I + D ")</f>
        <v>I + D </v>
      </c>
      <c r="C110" s="37" t="b">
        <f>IFERROR(__xludf.DUMMYFUNCTION("if(isblank(A110),,REGEXMATCH(B110,"".*\+.*"") )"),TRUE)</f>
        <v>1</v>
      </c>
      <c r="D110" s="37" t="b">
        <f>IFERROR(__xludf.DUMMYFUNCTION("if(isblank(A110),,REGEXMATCH(B110,"".*vs.*"") )"),FALSE)</f>
        <v>0</v>
      </c>
      <c r="E110" s="37" t="b">
        <f>Paper_Textual_Conflict!H110</f>
        <v>0</v>
      </c>
      <c r="F110" s="37" t="str">
        <f>Paper_Textual_Conflict!Q110</f>
        <v>Java</v>
      </c>
      <c r="G110" s="33">
        <v>110.0</v>
      </c>
      <c r="H110" s="37" t="b">
        <f>IFERROR(__xludf.DUMMYFUNCTION("if(isblank(A110),,REGEXMATCH(B110,""^I *\+ I *$""))"),FALSE)</f>
        <v>0</v>
      </c>
      <c r="I110" s="37" t="b">
        <f>IFERROR(__xludf.DUMMYFUNCTION("if(isblank(A110),,REGEXMATCH(B110,""(^I *\+ D *$)|(^D *\+ I *$)""))"),TRUE)</f>
        <v>1</v>
      </c>
      <c r="J110" s="37" t="b">
        <f>IFERROR(__xludf.DUMMYFUNCTION("if(isblank(A110),,REGEXMATCH(B110,""(^I *\+ U *$)|(^U *\+ I *$)""))"),FALSE)</f>
        <v>0</v>
      </c>
      <c r="K110" s="37" t="b">
        <f>IFERROR(__xludf.DUMMYFUNCTION("if(isblank(A110),,REGEXMATCH(B110,""(^I *\+ N *$)|(^N *\+ I *$)"") )"),FALSE)</f>
        <v>0</v>
      </c>
      <c r="L110" s="37" t="b">
        <f>IFERROR(__xludf.DUMMYFUNCTION("if(isblank(A110),,REGEXMATCH(B110,""^D *\+ D *$""))"),FALSE)</f>
        <v>0</v>
      </c>
      <c r="M110" s="37" t="b">
        <f>IFERROR(__xludf.DUMMYFUNCTION("if(isblank(A110),,REGEXMATCH(B110,""(^U *\+ D *$)|(^D *\+ U *$)""))"),FALSE)</f>
        <v>0</v>
      </c>
      <c r="N110" s="37" t="b">
        <f>IFERROR(__xludf.DUMMYFUNCTION("if(isblank(A110),,REGEXMATCH(B110,""(^N *\+ D *$)|(^D *\+ N *$)""))"),FALSE)</f>
        <v>0</v>
      </c>
      <c r="O110" s="37" t="b">
        <f>IFERROR(__xludf.DUMMYFUNCTION("if(isblank(A110),,REGEXMATCH(B110,""^U *\+ U *$""))"),FALSE)</f>
        <v>0</v>
      </c>
      <c r="P110" s="37" t="b">
        <f>IFERROR(__xludf.DUMMYFUNCTION("if(isblank(A110),,REGEXMATCH(B110,""(^U *\+ N *$)|(^N *\+ U *$)""))"),FALSE)</f>
        <v>0</v>
      </c>
      <c r="Q110" s="37" t="b">
        <f>IFERROR(__xludf.DUMMYFUNCTION("if(isblank(A110),,REGEXMATCH(B110,""^((I ?\+ ?(D ?I|I ?D))|((D ?I|I ?D) ?\+ ?I)) *$""))"),FALSE)</f>
        <v>0</v>
      </c>
      <c r="R110" s="37" t="b">
        <f>IFERROR(__xludf.DUMMYFUNCTION("if(isblank(A110),,REGEXMATCH(B110,""^((D ?\+ ?(D ?I|I ?D))|((D ?I|I ?D) ?\+ ?D)) *$""))"),FALSE)</f>
        <v>0</v>
      </c>
      <c r="S110" s="37" t="b">
        <f>IFERROR(__xludf.DUMMYFUNCTION("if(isblank(A110),,REGEXMATCH(B110,""^((U ?\+ ?(D ?I|I ?D))|((D ?I|I ?D) ?\+ ?U)) *$""))"),FALSE)</f>
        <v>0</v>
      </c>
      <c r="T110" s="37" t="b">
        <f>IFERROR(__xludf.DUMMYFUNCTION("if(isblank(A110),,REGEXMATCH(B110,""^((N ?\+ ?(D ?I|I ?D))|((D ?I|I ?D) ?\+ ?N)) *$""))"),FALSE)</f>
        <v>0</v>
      </c>
      <c r="U110" s="37" t="b">
        <f>IFERROR(__xludf.DUMMYFUNCTION("if(isblank(A110),,REGEXMATCH(B110,""^((I ?\+ ?(U ?I|I ?U))|((I ?U|U ?I) ?\+ ?I)) *$""))"),FALSE)</f>
        <v>0</v>
      </c>
      <c r="V110" s="37" t="b">
        <f>IFERROR(__xludf.DUMMYFUNCTION("if(isblank(A110),,REGEXMATCH(B110,""^((D ?\+ ?(U ?I|I ?U))|((I ?U|U ?I) ?\+ ?D)) *$""))"),FALSE)</f>
        <v>0</v>
      </c>
      <c r="W110" s="37" t="b">
        <f>IFERROR(__xludf.DUMMYFUNCTION("if(isblank(A110),,REGEXMATCH(B110,""^((U ?\+ ?(U ?I|I ?U))|((I ?U|U ?I) ?\+ ?U)) *$""))"),FALSE)</f>
        <v>0</v>
      </c>
      <c r="X110" s="37" t="b">
        <f>IFERROR(__xludf.DUMMYFUNCTION("if(isblank(A110),,REGEXMATCH(B110,""^((N ?\+ ?(U ?I|I ?U))|((I ?U|U ?I) ?\+ ?N)) *$""))"),FALSE)</f>
        <v>0</v>
      </c>
      <c r="Y110" s="37" t="b">
        <f>IFERROR(__xludf.DUMMYFUNCTION("if(isblank(A110),,REGEXMATCH(B110,""^((I ?\+ ?(U ?D|D ?U))|((D ?U|U ?D) ?\+ ?I)) *$""))"),FALSE)</f>
        <v>0</v>
      </c>
      <c r="Z110" s="37" t="b">
        <f>IFERROR(__xludf.DUMMYFUNCTION("if(isblank(A110),,REGEXMATCH(B110,""^((D ?\+ ?(U ?D|D ?U))|((D ?U|U ?D) ?\+ ?D)) *$""))"),FALSE)</f>
        <v>0</v>
      </c>
      <c r="AA110" s="37" t="b">
        <f>IFERROR(__xludf.DUMMYFUNCTION("if(isblank(A110),,REGEXMATCH(B110,""^((U ?\+ ?(U ?D|D ?U))|((D ?U|U ?D) ?\+ ?U)) *$""))"),FALSE)</f>
        <v>0</v>
      </c>
      <c r="AB110" s="37" t="b">
        <f>IFERROR(__xludf.DUMMYFUNCTION("if(isblank(A110),,REGEXMATCH(B110,""^((D ?I|I ?D) ?\+ ?(D ?I|I ?D)) *$""))"),FALSE)</f>
        <v>0</v>
      </c>
      <c r="AC110" s="37" t="b">
        <f>IFERROR(__xludf.DUMMYFUNCTION("if(isblank(A110),,REGEXMATCH(B110,""^((D ?I|I ?D) ?\+ ?(U ?I|I ?U))|((U ?I|I ?U) ?\+ ?(D ?I|I ?D)) *$""))"),FALSE)</f>
        <v>0</v>
      </c>
      <c r="AD110" s="37" t="b">
        <f>IFERROR(__xludf.DUMMYFUNCTION("if(isblank(A110),,REGEXMATCH(B110,""^I *vs\. I *$""))"),FALSE)</f>
        <v>0</v>
      </c>
      <c r="AE110" s="37" t="b">
        <f>IFERROR(__xludf.DUMMYFUNCTION("if(isblank(A110),,REGEXMATCH(B110,""(^I *vs\. D *$)|(^D *vs\. I *$)""))"),FALSE)</f>
        <v>0</v>
      </c>
      <c r="AF110" s="37" t="b">
        <f>IFERROR(__xludf.DUMMYFUNCTION("if(isblank(A110),,REGEXMATCH(B110,""(^I *vs\. U *$)|(^U *vs\. I *$)""))"),FALSE)</f>
        <v>0</v>
      </c>
      <c r="AG110" s="37" t="b">
        <f>IFERROR(__xludf.DUMMYFUNCTION("if(isblank(A110),,REGEXMATCH(B110,""^D *vs\. D *$""))"),FALSE)</f>
        <v>0</v>
      </c>
      <c r="AH110" s="37" t="b">
        <f>IFERROR(__xludf.DUMMYFUNCTION("if(isblank(A110),,REGEXMATCH(B110,""(^U *vs\. D *$)|(^D *vs\. U *$)""))"),FALSE)</f>
        <v>0</v>
      </c>
      <c r="AI110" s="37" t="b">
        <f>IFERROR(__xludf.DUMMYFUNCTION("if(isblank(A110),,REGEXMATCH(B110,""^U *vs\. U *$""))"),FALSE)</f>
        <v>0</v>
      </c>
      <c r="AJ110" s="37" t="b">
        <f>IFERROR(__xludf.DUMMYFUNCTION("if(isblank(A110),,REGEXMATCH(B110,""^((I ?vs\. ?(D ?I|I ?D))|((D ?I|I ?D) ?vs\. ?I)) *$""))"),FALSE)</f>
        <v>0</v>
      </c>
      <c r="AK110" s="37" t="b">
        <f>IFERROR(__xludf.DUMMYFUNCTION("if(isblank(A110),,REGEXMATCH(B110,""^((D ?vs\. ?(D ?I|I ?D))|((D ?I|I ?D) ?vs\. ?D)) *$""))"),FALSE)</f>
        <v>0</v>
      </c>
      <c r="AL110" s="37" t="b">
        <f>IFERROR(__xludf.DUMMYFUNCTION("if(isblank(A110),,REGEXMATCH(B110,""^((U ?vs\. ?(D ?I|I ?D))|((D ?I|I ?D) ?vs\. ?U)) *$""))"),FALSE)</f>
        <v>0</v>
      </c>
      <c r="AM110" s="37" t="b">
        <f>IFERROR(__xludf.DUMMYFUNCTION("if(isblank(A110),,REGEXMATCH(B110,""^((I ?vs\. ?(U ?I|I ?U))|((U ?I|I ?U) ?vs\. ?I)) *$""))"),FALSE)</f>
        <v>0</v>
      </c>
      <c r="AN110" s="37" t="b">
        <f>IFERROR(__xludf.DUMMYFUNCTION("if(isblank(A110),,REGEXMATCH(B110,""^((D ?vs\. ?(U ?I|I ?U))|((U ?I|I ?U) ?vs\. ?D)) *$""))"),FALSE)</f>
        <v>0</v>
      </c>
      <c r="AO110" s="37" t="b">
        <f>IFERROR(__xludf.DUMMYFUNCTION("if(isblank(A110),,REGEXMATCH(B110,""^((U ?vs\. ?(U ?I|I ?U))|((U ?I|I ?U) ?vs\. ?U)) *$""))"),FALSE)</f>
        <v>0</v>
      </c>
      <c r="AP110" s="37" t="b">
        <f>IFERROR(__xludf.DUMMYFUNCTION("if(isblank(A110),,REGEXMATCH(B110,""^((I ?vs\. ?(U ?D|D ?U))|((D ?U|U ?D) ?vs\. ?I)) *$""))"),FALSE)</f>
        <v>0</v>
      </c>
      <c r="AQ110" s="37" t="b">
        <f>IFERROR(__xludf.DUMMYFUNCTION("if(isblank(A110),,REGEXMATCH(B110,""^((D ?vs\. ?(U ?D|D ?U))|((D ?U|U ?D) ?vs\. ?D)) *$""))"),FALSE)</f>
        <v>0</v>
      </c>
      <c r="AR110" s="37" t="b">
        <f>IFERROR(__xludf.DUMMYFUNCTION("if(isblank(A110),,REGEXMATCH(B110,""^((U ?vs\. ?(U ?D|D ?U))|((D ?U|U ?D) ?vs\. ?U)) *$""))"),FALSE)</f>
        <v>0</v>
      </c>
      <c r="AS110" s="37" t="b">
        <f>IFERROR(__xludf.DUMMYFUNCTION("if(isblank(A110),,REGEXMATCH(B110,""^((D ?I|I ?D) ?vs\. ?(D ?I|I ?D)) *$""))"),FALSE)</f>
        <v>0</v>
      </c>
      <c r="AT110" s="37" t="b">
        <f>IFERROR(__xludf.DUMMYFUNCTION("if(isblank(A110),,REGEXMATCH(B110,""^((D ?I|I ?D) ?vs\. ?(U ?I|I ?U))|((U ?I|I ?U) ?vs\. ?(D ?I|I ?D)) *$""))"),FALSE)</f>
        <v>0</v>
      </c>
      <c r="AU110" s="37" t="b">
        <f>IFERROR(__xludf.DUMMYFUNCTION("if(isblank(A110),,REGEXMATCH(B110,""^((D ?I|I ?D) ?vs\. ?(U ?D|D ?U))|((U ?D|D ?U) ?vs\. ?(D ?I|I ?D)) *$""))"),FALSE)</f>
        <v>0</v>
      </c>
      <c r="AV110" s="37" t="b">
        <f>IFERROR(__xludf.DUMMYFUNCTION("if(isblank(A110),,REGEXMATCH(B110,""^((U ?I|I ?U) ?vs\. ?(U ?I|I ?U)) *$""))"),FALSE)</f>
        <v>0</v>
      </c>
    </row>
    <row r="111" ht="26.25" customHeight="1">
      <c r="A111" s="79" t="str">
        <f>Paper_Textual_Conflict!M111</f>
        <v>I vs. I(.txt)</v>
      </c>
      <c r="B111" s="37" t="str">
        <f>IFERROR(__xludf.DUMMYFUNCTION("if(isblank(A111),,regexextract(REGEXEXTRACT(A111,""^.*""),""^[^(]*""))"),"I vs. I")</f>
        <v>I vs. I</v>
      </c>
      <c r="C111" s="37" t="b">
        <f>IFERROR(__xludf.DUMMYFUNCTION("if(isblank(A111),,REGEXMATCH(B111,"".*\+.*"") )"),FALSE)</f>
        <v>0</v>
      </c>
      <c r="D111" s="37" t="b">
        <f>IFERROR(__xludf.DUMMYFUNCTION("if(isblank(A111),,REGEXMATCH(B111,"".*vs.*"") )"),TRUE)</f>
        <v>1</v>
      </c>
      <c r="E111" s="37" t="b">
        <f>Paper_Textual_Conflict!H111</f>
        <v>1</v>
      </c>
      <c r="F111" s="37" t="str">
        <f>Paper_Textual_Conflict!Q111</f>
        <v>Non-Java</v>
      </c>
      <c r="G111" s="33">
        <v>111.0</v>
      </c>
      <c r="H111" s="37" t="b">
        <f>IFERROR(__xludf.DUMMYFUNCTION("if(isblank(A111),,REGEXMATCH(B111,""^I *\+ I *$""))"),FALSE)</f>
        <v>0</v>
      </c>
      <c r="I111" s="37" t="b">
        <f>IFERROR(__xludf.DUMMYFUNCTION("if(isblank(A111),,REGEXMATCH(B111,""(^I *\+ D *$)|(^D *\+ I *$)""))"),FALSE)</f>
        <v>0</v>
      </c>
      <c r="J111" s="37" t="b">
        <f>IFERROR(__xludf.DUMMYFUNCTION("if(isblank(A111),,REGEXMATCH(B111,""(^I *\+ U *$)|(^U *\+ I *$)""))"),FALSE)</f>
        <v>0</v>
      </c>
      <c r="K111" s="37" t="b">
        <f>IFERROR(__xludf.DUMMYFUNCTION("if(isblank(A111),,REGEXMATCH(B111,""(^I *\+ N *$)|(^N *\+ I *$)"") )"),FALSE)</f>
        <v>0</v>
      </c>
      <c r="L111" s="37" t="b">
        <f>IFERROR(__xludf.DUMMYFUNCTION("if(isblank(A111),,REGEXMATCH(B111,""^D *\+ D *$""))"),FALSE)</f>
        <v>0</v>
      </c>
      <c r="M111" s="37" t="b">
        <f>IFERROR(__xludf.DUMMYFUNCTION("if(isblank(A111),,REGEXMATCH(B111,""(^U *\+ D *$)|(^D *\+ U *$)""))"),FALSE)</f>
        <v>0</v>
      </c>
      <c r="N111" s="37" t="b">
        <f>IFERROR(__xludf.DUMMYFUNCTION("if(isblank(A111),,REGEXMATCH(B111,""(^N *\+ D *$)|(^D *\+ N *$)""))"),FALSE)</f>
        <v>0</v>
      </c>
      <c r="O111" s="37" t="b">
        <f>IFERROR(__xludf.DUMMYFUNCTION("if(isblank(A111),,REGEXMATCH(B111,""^U *\+ U *$""))"),FALSE)</f>
        <v>0</v>
      </c>
      <c r="P111" s="37" t="b">
        <f>IFERROR(__xludf.DUMMYFUNCTION("if(isblank(A111),,REGEXMATCH(B111,""(^U *\+ N *$)|(^N *\+ U *$)""))"),FALSE)</f>
        <v>0</v>
      </c>
      <c r="Q111" s="37" t="b">
        <f>IFERROR(__xludf.DUMMYFUNCTION("if(isblank(A111),,REGEXMATCH(B111,""^((I ?\+ ?(D ?I|I ?D))|((D ?I|I ?D) ?\+ ?I)) *$""))"),FALSE)</f>
        <v>0</v>
      </c>
      <c r="R111" s="37" t="b">
        <f>IFERROR(__xludf.DUMMYFUNCTION("if(isblank(A111),,REGEXMATCH(B111,""^((D ?\+ ?(D ?I|I ?D))|((D ?I|I ?D) ?\+ ?D)) *$""))"),FALSE)</f>
        <v>0</v>
      </c>
      <c r="S111" s="37" t="b">
        <f>IFERROR(__xludf.DUMMYFUNCTION("if(isblank(A111),,REGEXMATCH(B111,""^((U ?\+ ?(D ?I|I ?D))|((D ?I|I ?D) ?\+ ?U)) *$""))"),FALSE)</f>
        <v>0</v>
      </c>
      <c r="T111" s="37" t="b">
        <f>IFERROR(__xludf.DUMMYFUNCTION("if(isblank(A111),,REGEXMATCH(B111,""^((N ?\+ ?(D ?I|I ?D))|((D ?I|I ?D) ?\+ ?N)) *$""))"),FALSE)</f>
        <v>0</v>
      </c>
      <c r="U111" s="37" t="b">
        <f>IFERROR(__xludf.DUMMYFUNCTION("if(isblank(A111),,REGEXMATCH(B111,""^((I ?\+ ?(U ?I|I ?U))|((I ?U|U ?I) ?\+ ?I)) *$""))"),FALSE)</f>
        <v>0</v>
      </c>
      <c r="V111" s="37" t="b">
        <f>IFERROR(__xludf.DUMMYFUNCTION("if(isblank(A111),,REGEXMATCH(B111,""^((D ?\+ ?(U ?I|I ?U))|((I ?U|U ?I) ?\+ ?D)) *$""))"),FALSE)</f>
        <v>0</v>
      </c>
      <c r="W111" s="37" t="b">
        <f>IFERROR(__xludf.DUMMYFUNCTION("if(isblank(A111),,REGEXMATCH(B111,""^((U ?\+ ?(U ?I|I ?U))|((I ?U|U ?I) ?\+ ?U)) *$""))"),FALSE)</f>
        <v>0</v>
      </c>
      <c r="X111" s="37" t="b">
        <f>IFERROR(__xludf.DUMMYFUNCTION("if(isblank(A111),,REGEXMATCH(B111,""^((N ?\+ ?(U ?I|I ?U))|((I ?U|U ?I) ?\+ ?N)) *$""))"),FALSE)</f>
        <v>0</v>
      </c>
      <c r="Y111" s="37" t="b">
        <f>IFERROR(__xludf.DUMMYFUNCTION("if(isblank(A111),,REGEXMATCH(B111,""^((I ?\+ ?(U ?D|D ?U))|((D ?U|U ?D) ?\+ ?I)) *$""))"),FALSE)</f>
        <v>0</v>
      </c>
      <c r="Z111" s="37" t="b">
        <f>IFERROR(__xludf.DUMMYFUNCTION("if(isblank(A111),,REGEXMATCH(B111,""^((D ?\+ ?(U ?D|D ?U))|((D ?U|U ?D) ?\+ ?D)) *$""))"),FALSE)</f>
        <v>0</v>
      </c>
      <c r="AA111" s="37" t="b">
        <f>IFERROR(__xludf.DUMMYFUNCTION("if(isblank(A111),,REGEXMATCH(B111,""^((U ?\+ ?(U ?D|D ?U))|((D ?U|U ?D) ?\+ ?U)) *$""))"),FALSE)</f>
        <v>0</v>
      </c>
      <c r="AB111" s="37" t="b">
        <f>IFERROR(__xludf.DUMMYFUNCTION("if(isblank(A111),,REGEXMATCH(B111,""^((D ?I|I ?D) ?\+ ?(D ?I|I ?D)) *$""))"),FALSE)</f>
        <v>0</v>
      </c>
      <c r="AC111" s="37" t="b">
        <f>IFERROR(__xludf.DUMMYFUNCTION("if(isblank(A111),,REGEXMATCH(B111,""^((D ?I|I ?D) ?\+ ?(U ?I|I ?U))|((U ?I|I ?U) ?\+ ?(D ?I|I ?D)) *$""))"),FALSE)</f>
        <v>0</v>
      </c>
      <c r="AD111" s="37" t="b">
        <f>IFERROR(__xludf.DUMMYFUNCTION("if(isblank(A111),,REGEXMATCH(B111,""^I *vs\. I *$""))"),TRUE)</f>
        <v>1</v>
      </c>
      <c r="AE111" s="37" t="b">
        <f>IFERROR(__xludf.DUMMYFUNCTION("if(isblank(A111),,REGEXMATCH(B111,""(^I *vs\. D *$)|(^D *vs\. I *$)""))"),FALSE)</f>
        <v>0</v>
      </c>
      <c r="AF111" s="37" t="b">
        <f>IFERROR(__xludf.DUMMYFUNCTION("if(isblank(A111),,REGEXMATCH(B111,""(^I *vs\. U *$)|(^U *vs\. I *$)""))"),FALSE)</f>
        <v>0</v>
      </c>
      <c r="AG111" s="37" t="b">
        <f>IFERROR(__xludf.DUMMYFUNCTION("if(isblank(A111),,REGEXMATCH(B111,""^D *vs\. D *$""))"),FALSE)</f>
        <v>0</v>
      </c>
      <c r="AH111" s="37" t="b">
        <f>IFERROR(__xludf.DUMMYFUNCTION("if(isblank(A111),,REGEXMATCH(B111,""(^U *vs\. D *$)|(^D *vs\. U *$)""))"),FALSE)</f>
        <v>0</v>
      </c>
      <c r="AI111" s="37" t="b">
        <f>IFERROR(__xludf.DUMMYFUNCTION("if(isblank(A111),,REGEXMATCH(B111,""^U *vs\. U *$""))"),FALSE)</f>
        <v>0</v>
      </c>
      <c r="AJ111" s="37" t="b">
        <f>IFERROR(__xludf.DUMMYFUNCTION("if(isblank(A111),,REGEXMATCH(B111,""^((I ?vs\. ?(D ?I|I ?D))|((D ?I|I ?D) ?vs\. ?I)) *$""))"),FALSE)</f>
        <v>0</v>
      </c>
      <c r="AK111" s="37" t="b">
        <f>IFERROR(__xludf.DUMMYFUNCTION("if(isblank(A111),,REGEXMATCH(B111,""^((D ?vs\. ?(D ?I|I ?D))|((D ?I|I ?D) ?vs\. ?D)) *$""))"),FALSE)</f>
        <v>0</v>
      </c>
      <c r="AL111" s="37" t="b">
        <f>IFERROR(__xludf.DUMMYFUNCTION("if(isblank(A111),,REGEXMATCH(B111,""^((U ?vs\. ?(D ?I|I ?D))|((D ?I|I ?D) ?vs\. ?U)) *$""))"),FALSE)</f>
        <v>0</v>
      </c>
      <c r="AM111" s="37" t="b">
        <f>IFERROR(__xludf.DUMMYFUNCTION("if(isblank(A111),,REGEXMATCH(B111,""^((I ?vs\. ?(U ?I|I ?U))|((U ?I|I ?U) ?vs\. ?I)) *$""))"),FALSE)</f>
        <v>0</v>
      </c>
      <c r="AN111" s="37" t="b">
        <f>IFERROR(__xludf.DUMMYFUNCTION("if(isblank(A111),,REGEXMATCH(B111,""^((D ?vs\. ?(U ?I|I ?U))|((U ?I|I ?U) ?vs\. ?D)) *$""))"),FALSE)</f>
        <v>0</v>
      </c>
      <c r="AO111" s="37" t="b">
        <f>IFERROR(__xludf.DUMMYFUNCTION("if(isblank(A111),,REGEXMATCH(B111,""^((U ?vs\. ?(U ?I|I ?U))|((U ?I|I ?U) ?vs\. ?U)) *$""))"),FALSE)</f>
        <v>0</v>
      </c>
      <c r="AP111" s="37" t="b">
        <f>IFERROR(__xludf.DUMMYFUNCTION("if(isblank(A111),,REGEXMATCH(B111,""^((I ?vs\. ?(U ?D|D ?U))|((D ?U|U ?D) ?vs\. ?I)) *$""))"),FALSE)</f>
        <v>0</v>
      </c>
      <c r="AQ111" s="37" t="b">
        <f>IFERROR(__xludf.DUMMYFUNCTION("if(isblank(A111),,REGEXMATCH(B111,""^((D ?vs\. ?(U ?D|D ?U))|((D ?U|U ?D) ?vs\. ?D)) *$""))"),FALSE)</f>
        <v>0</v>
      </c>
      <c r="AR111" s="37" t="b">
        <f>IFERROR(__xludf.DUMMYFUNCTION("if(isblank(A111),,REGEXMATCH(B111,""^((U ?vs\. ?(U ?D|D ?U))|((D ?U|U ?D) ?vs\. ?U)) *$""))"),FALSE)</f>
        <v>0</v>
      </c>
      <c r="AS111" s="37" t="b">
        <f>IFERROR(__xludf.DUMMYFUNCTION("if(isblank(A111),,REGEXMATCH(B111,""^((D ?I|I ?D) ?vs\. ?(D ?I|I ?D)) *$""))"),FALSE)</f>
        <v>0</v>
      </c>
      <c r="AT111" s="37" t="b">
        <f>IFERROR(__xludf.DUMMYFUNCTION("if(isblank(A111),,REGEXMATCH(B111,""^((D ?I|I ?D) ?vs\. ?(U ?I|I ?U))|((U ?I|I ?U) ?vs\. ?(D ?I|I ?D)) *$""))"),FALSE)</f>
        <v>0</v>
      </c>
      <c r="AU111" s="37" t="b">
        <f>IFERROR(__xludf.DUMMYFUNCTION("if(isblank(A111),,REGEXMATCH(B111,""^((D ?I|I ?D) ?vs\. ?(U ?D|D ?U))|((U ?D|D ?U) ?vs\. ?(D ?I|I ?D)) *$""))"),FALSE)</f>
        <v>0</v>
      </c>
      <c r="AV111" s="37" t="b">
        <f>IFERROR(__xludf.DUMMYFUNCTION("if(isblank(A111),,REGEXMATCH(B111,""^((U ?I|I ?U) ?vs\. ?(U ?I|I ?U)) *$""))"),FALSE)</f>
        <v>0</v>
      </c>
    </row>
    <row r="112" ht="26.25" customHeight="1">
      <c r="A112" s="79" t="str">
        <f>Paper_Textual_Conflict!M112</f>
        <v>I + D I (.yml) 
Origin(I vs. U I)</v>
      </c>
      <c r="B112" s="37" t="str">
        <f>IFERROR(__xludf.DUMMYFUNCTION("if(isblank(A112),,regexextract(REGEXEXTRACT(A112,""^.*""),""^[^(]*""))"),"I + D I ")</f>
        <v>I + D I </v>
      </c>
      <c r="C112" s="37" t="b">
        <f>IFERROR(__xludf.DUMMYFUNCTION("if(isblank(A112),,REGEXMATCH(B112,"".*\+.*"") )"),TRUE)</f>
        <v>1</v>
      </c>
      <c r="D112" s="37" t="b">
        <f>IFERROR(__xludf.DUMMYFUNCTION("if(isblank(A112),,REGEXMATCH(B112,"".*vs.*"") )"),FALSE)</f>
        <v>0</v>
      </c>
      <c r="E112" s="37" t="b">
        <f>Paper_Textual_Conflict!H112</f>
        <v>0</v>
      </c>
      <c r="F112" s="37" t="str">
        <f>Paper_Textual_Conflict!Q112</f>
        <v>Non-Java</v>
      </c>
      <c r="G112" s="33">
        <v>112.0</v>
      </c>
      <c r="H112" s="37" t="b">
        <f>IFERROR(__xludf.DUMMYFUNCTION("if(isblank(A112),,REGEXMATCH(B112,""^I *\+ I *$""))"),FALSE)</f>
        <v>0</v>
      </c>
      <c r="I112" s="37" t="b">
        <f>IFERROR(__xludf.DUMMYFUNCTION("if(isblank(A112),,REGEXMATCH(B112,""(^I *\+ D *$)|(^D *\+ I *$)""))"),FALSE)</f>
        <v>0</v>
      </c>
      <c r="J112" s="37" t="b">
        <f>IFERROR(__xludf.DUMMYFUNCTION("if(isblank(A112),,REGEXMATCH(B112,""(^I *\+ U *$)|(^U *\+ I *$)""))"),FALSE)</f>
        <v>0</v>
      </c>
      <c r="K112" s="37" t="b">
        <f>IFERROR(__xludf.DUMMYFUNCTION("if(isblank(A112),,REGEXMATCH(B112,""(^I *\+ N *$)|(^N *\+ I *$)"") )"),FALSE)</f>
        <v>0</v>
      </c>
      <c r="L112" s="37" t="b">
        <f>IFERROR(__xludf.DUMMYFUNCTION("if(isblank(A112),,REGEXMATCH(B112,""^D *\+ D *$""))"),FALSE)</f>
        <v>0</v>
      </c>
      <c r="M112" s="37" t="b">
        <f>IFERROR(__xludf.DUMMYFUNCTION("if(isblank(A112),,REGEXMATCH(B112,""(^U *\+ D *$)|(^D *\+ U *$)""))"),FALSE)</f>
        <v>0</v>
      </c>
      <c r="N112" s="37" t="b">
        <f>IFERROR(__xludf.DUMMYFUNCTION("if(isblank(A112),,REGEXMATCH(B112,""(^N *\+ D *$)|(^D *\+ N *$)""))"),FALSE)</f>
        <v>0</v>
      </c>
      <c r="O112" s="37" t="b">
        <f>IFERROR(__xludf.DUMMYFUNCTION("if(isblank(A112),,REGEXMATCH(B112,""^U *\+ U *$""))"),FALSE)</f>
        <v>0</v>
      </c>
      <c r="P112" s="37" t="b">
        <f>IFERROR(__xludf.DUMMYFUNCTION("if(isblank(A112),,REGEXMATCH(B112,""(^U *\+ N *$)|(^N *\+ U *$)""))"),FALSE)</f>
        <v>0</v>
      </c>
      <c r="Q112" s="37" t="b">
        <f>IFERROR(__xludf.DUMMYFUNCTION("if(isblank(A112),,REGEXMATCH(B112,""^((I ?\+ ?(D ?I|I ?D))|((D ?I|I ?D) ?\+ ?I)) *$""))"),TRUE)</f>
        <v>1</v>
      </c>
      <c r="R112" s="37" t="b">
        <f>IFERROR(__xludf.DUMMYFUNCTION("if(isblank(A112),,REGEXMATCH(B112,""^((D ?\+ ?(D ?I|I ?D))|((D ?I|I ?D) ?\+ ?D)) *$""))"),FALSE)</f>
        <v>0</v>
      </c>
      <c r="S112" s="37" t="b">
        <f>IFERROR(__xludf.DUMMYFUNCTION("if(isblank(A112),,REGEXMATCH(B112,""^((U ?\+ ?(D ?I|I ?D))|((D ?I|I ?D) ?\+ ?U)) *$""))"),FALSE)</f>
        <v>0</v>
      </c>
      <c r="T112" s="37" t="b">
        <f>IFERROR(__xludf.DUMMYFUNCTION("if(isblank(A112),,REGEXMATCH(B112,""^((N ?\+ ?(D ?I|I ?D))|((D ?I|I ?D) ?\+ ?N)) *$""))"),FALSE)</f>
        <v>0</v>
      </c>
      <c r="U112" s="37" t="b">
        <f>IFERROR(__xludf.DUMMYFUNCTION("if(isblank(A112),,REGEXMATCH(B112,""^((I ?\+ ?(U ?I|I ?U))|((I ?U|U ?I) ?\+ ?I)) *$""))"),FALSE)</f>
        <v>0</v>
      </c>
      <c r="V112" s="37" t="b">
        <f>IFERROR(__xludf.DUMMYFUNCTION("if(isblank(A112),,REGEXMATCH(B112,""^((D ?\+ ?(U ?I|I ?U))|((I ?U|U ?I) ?\+ ?D)) *$""))"),FALSE)</f>
        <v>0</v>
      </c>
      <c r="W112" s="37" t="b">
        <f>IFERROR(__xludf.DUMMYFUNCTION("if(isblank(A112),,REGEXMATCH(B112,""^((U ?\+ ?(U ?I|I ?U))|((I ?U|U ?I) ?\+ ?U)) *$""))"),FALSE)</f>
        <v>0</v>
      </c>
      <c r="X112" s="37" t="b">
        <f>IFERROR(__xludf.DUMMYFUNCTION("if(isblank(A112),,REGEXMATCH(B112,""^((N ?\+ ?(U ?I|I ?U))|((I ?U|U ?I) ?\+ ?N)) *$""))"),FALSE)</f>
        <v>0</v>
      </c>
      <c r="Y112" s="37" t="b">
        <f>IFERROR(__xludf.DUMMYFUNCTION("if(isblank(A112),,REGEXMATCH(B112,""^((I ?\+ ?(U ?D|D ?U))|((D ?U|U ?D) ?\+ ?I)) *$""))"),FALSE)</f>
        <v>0</v>
      </c>
      <c r="Z112" s="37" t="b">
        <f>IFERROR(__xludf.DUMMYFUNCTION("if(isblank(A112),,REGEXMATCH(B112,""^((D ?\+ ?(U ?D|D ?U))|((D ?U|U ?D) ?\+ ?D)) *$""))"),FALSE)</f>
        <v>0</v>
      </c>
      <c r="AA112" s="37" t="b">
        <f>IFERROR(__xludf.DUMMYFUNCTION("if(isblank(A112),,REGEXMATCH(B112,""^((U ?\+ ?(U ?D|D ?U))|((D ?U|U ?D) ?\+ ?U)) *$""))"),FALSE)</f>
        <v>0</v>
      </c>
      <c r="AB112" s="37" t="b">
        <f>IFERROR(__xludf.DUMMYFUNCTION("if(isblank(A112),,REGEXMATCH(B112,""^((D ?I|I ?D) ?\+ ?(D ?I|I ?D)) *$""))"),FALSE)</f>
        <v>0</v>
      </c>
      <c r="AC112" s="37" t="b">
        <f>IFERROR(__xludf.DUMMYFUNCTION("if(isblank(A112),,REGEXMATCH(B112,""^((D ?I|I ?D) ?\+ ?(U ?I|I ?U))|((U ?I|I ?U) ?\+ ?(D ?I|I ?D)) *$""))"),FALSE)</f>
        <v>0</v>
      </c>
      <c r="AD112" s="37" t="b">
        <f>IFERROR(__xludf.DUMMYFUNCTION("if(isblank(A112),,REGEXMATCH(B112,""^I *vs\. I *$""))"),FALSE)</f>
        <v>0</v>
      </c>
      <c r="AE112" s="37" t="b">
        <f>IFERROR(__xludf.DUMMYFUNCTION("if(isblank(A112),,REGEXMATCH(B112,""(^I *vs\. D *$)|(^D *vs\. I *$)""))"),FALSE)</f>
        <v>0</v>
      </c>
      <c r="AF112" s="37" t="b">
        <f>IFERROR(__xludf.DUMMYFUNCTION("if(isblank(A112),,REGEXMATCH(B112,""(^I *vs\. U *$)|(^U *vs\. I *$)""))"),FALSE)</f>
        <v>0</v>
      </c>
      <c r="AG112" s="37" t="b">
        <f>IFERROR(__xludf.DUMMYFUNCTION("if(isblank(A112),,REGEXMATCH(B112,""^D *vs\. D *$""))"),FALSE)</f>
        <v>0</v>
      </c>
      <c r="AH112" s="37" t="b">
        <f>IFERROR(__xludf.DUMMYFUNCTION("if(isblank(A112),,REGEXMATCH(B112,""(^U *vs\. D *$)|(^D *vs\. U *$)""))"),FALSE)</f>
        <v>0</v>
      </c>
      <c r="AI112" s="37" t="b">
        <f>IFERROR(__xludf.DUMMYFUNCTION("if(isblank(A112),,REGEXMATCH(B112,""^U *vs\. U *$""))"),FALSE)</f>
        <v>0</v>
      </c>
      <c r="AJ112" s="37" t="b">
        <f>IFERROR(__xludf.DUMMYFUNCTION("if(isblank(A112),,REGEXMATCH(B112,""^((I ?vs\. ?(D ?I|I ?D))|((D ?I|I ?D) ?vs\. ?I)) *$""))"),FALSE)</f>
        <v>0</v>
      </c>
      <c r="AK112" s="37" t="b">
        <f>IFERROR(__xludf.DUMMYFUNCTION("if(isblank(A112),,REGEXMATCH(B112,""^((D ?vs\. ?(D ?I|I ?D))|((D ?I|I ?D) ?vs\. ?D)) *$""))"),FALSE)</f>
        <v>0</v>
      </c>
      <c r="AL112" s="37" t="b">
        <f>IFERROR(__xludf.DUMMYFUNCTION("if(isblank(A112),,REGEXMATCH(B112,""^((U ?vs\. ?(D ?I|I ?D))|((D ?I|I ?D) ?vs\. ?U)) *$""))"),FALSE)</f>
        <v>0</v>
      </c>
      <c r="AM112" s="37" t="b">
        <f>IFERROR(__xludf.DUMMYFUNCTION("if(isblank(A112),,REGEXMATCH(B112,""^((I ?vs\. ?(U ?I|I ?U))|((U ?I|I ?U) ?vs\. ?I)) *$""))"),FALSE)</f>
        <v>0</v>
      </c>
      <c r="AN112" s="37" t="b">
        <f>IFERROR(__xludf.DUMMYFUNCTION("if(isblank(A112),,REGEXMATCH(B112,""^((D ?vs\. ?(U ?I|I ?U))|((U ?I|I ?U) ?vs\. ?D)) *$""))"),FALSE)</f>
        <v>0</v>
      </c>
      <c r="AO112" s="37" t="b">
        <f>IFERROR(__xludf.DUMMYFUNCTION("if(isblank(A112),,REGEXMATCH(B112,""^((U ?vs\. ?(U ?I|I ?U))|((U ?I|I ?U) ?vs\. ?U)) *$""))"),FALSE)</f>
        <v>0</v>
      </c>
      <c r="AP112" s="37" t="b">
        <f>IFERROR(__xludf.DUMMYFUNCTION("if(isblank(A112),,REGEXMATCH(B112,""^((I ?vs\. ?(U ?D|D ?U))|((D ?U|U ?D) ?vs\. ?I)) *$""))"),FALSE)</f>
        <v>0</v>
      </c>
      <c r="AQ112" s="37" t="b">
        <f>IFERROR(__xludf.DUMMYFUNCTION("if(isblank(A112),,REGEXMATCH(B112,""^((D ?vs\. ?(U ?D|D ?U))|((D ?U|U ?D) ?vs\. ?D)) *$""))"),FALSE)</f>
        <v>0</v>
      </c>
      <c r="AR112" s="37" t="b">
        <f>IFERROR(__xludf.DUMMYFUNCTION("if(isblank(A112),,REGEXMATCH(B112,""^((U ?vs\. ?(U ?D|D ?U))|((D ?U|U ?D) ?vs\. ?U)) *$""))"),FALSE)</f>
        <v>0</v>
      </c>
      <c r="AS112" s="37" t="b">
        <f>IFERROR(__xludf.DUMMYFUNCTION("if(isblank(A112),,REGEXMATCH(B112,""^((D ?I|I ?D) ?vs\. ?(D ?I|I ?D)) *$""))"),FALSE)</f>
        <v>0</v>
      </c>
      <c r="AT112" s="37" t="b">
        <f>IFERROR(__xludf.DUMMYFUNCTION("if(isblank(A112),,REGEXMATCH(B112,""^((D ?I|I ?D) ?vs\. ?(U ?I|I ?U))|((U ?I|I ?U) ?vs\. ?(D ?I|I ?D)) *$""))"),FALSE)</f>
        <v>0</v>
      </c>
      <c r="AU112" s="37" t="b">
        <f>IFERROR(__xludf.DUMMYFUNCTION("if(isblank(A112),,REGEXMATCH(B112,""^((D ?I|I ?D) ?vs\. ?(U ?D|D ?U))|((U ?D|D ?U) ?vs\. ?(D ?I|I ?D)) *$""))"),FALSE)</f>
        <v>0</v>
      </c>
      <c r="AV112" s="37" t="b">
        <f>IFERROR(__xludf.DUMMYFUNCTION("if(isblank(A112),,REGEXMATCH(B112,""^((U ?I|I ?U) ?vs\. ?(U ?I|I ?U)) *$""))"),FALSE)</f>
        <v>0</v>
      </c>
    </row>
    <row r="113" ht="26.25" customHeight="1">
      <c r="A113" s="79" t="str">
        <f>Paper_Textual_Conflict!M113</f>
        <v>U vs. D I (.xml)</v>
      </c>
      <c r="B113" s="37" t="str">
        <f>IFERROR(__xludf.DUMMYFUNCTION("if(isblank(A113),,regexextract(REGEXEXTRACT(A113,""^.*""),""^[^(]*""))"),"U vs. D I ")</f>
        <v>U vs. D I </v>
      </c>
      <c r="C113" s="37" t="b">
        <f>IFERROR(__xludf.DUMMYFUNCTION("if(isblank(A113),,REGEXMATCH(B113,"".*\+.*"") )"),FALSE)</f>
        <v>0</v>
      </c>
      <c r="D113" s="37" t="b">
        <f>IFERROR(__xludf.DUMMYFUNCTION("if(isblank(A113),,REGEXMATCH(B113,"".*vs.*"") )"),TRUE)</f>
        <v>1</v>
      </c>
      <c r="E113" s="37" t="b">
        <f>Paper_Textual_Conflict!H113</f>
        <v>1</v>
      </c>
      <c r="F113" s="37" t="str">
        <f>Paper_Textual_Conflict!Q113</f>
        <v>Non-Java</v>
      </c>
      <c r="G113" s="33">
        <v>113.0</v>
      </c>
      <c r="H113" s="37" t="b">
        <f>IFERROR(__xludf.DUMMYFUNCTION("if(isblank(A113),,REGEXMATCH(B113,""^I *\+ I *$""))"),FALSE)</f>
        <v>0</v>
      </c>
      <c r="I113" s="37" t="b">
        <f>IFERROR(__xludf.DUMMYFUNCTION("if(isblank(A113),,REGEXMATCH(B113,""(^I *\+ D *$)|(^D *\+ I *$)""))"),FALSE)</f>
        <v>0</v>
      </c>
      <c r="J113" s="37" t="b">
        <f>IFERROR(__xludf.DUMMYFUNCTION("if(isblank(A113),,REGEXMATCH(B113,""(^I *\+ U *$)|(^U *\+ I *$)""))"),FALSE)</f>
        <v>0</v>
      </c>
      <c r="K113" s="37" t="b">
        <f>IFERROR(__xludf.DUMMYFUNCTION("if(isblank(A113),,REGEXMATCH(B113,""(^I *\+ N *$)|(^N *\+ I *$)"") )"),FALSE)</f>
        <v>0</v>
      </c>
      <c r="L113" s="37" t="b">
        <f>IFERROR(__xludf.DUMMYFUNCTION("if(isblank(A113),,REGEXMATCH(B113,""^D *\+ D *$""))"),FALSE)</f>
        <v>0</v>
      </c>
      <c r="M113" s="37" t="b">
        <f>IFERROR(__xludf.DUMMYFUNCTION("if(isblank(A113),,REGEXMATCH(B113,""(^U *\+ D *$)|(^D *\+ U *$)""))"),FALSE)</f>
        <v>0</v>
      </c>
      <c r="N113" s="37" t="b">
        <f>IFERROR(__xludf.DUMMYFUNCTION("if(isblank(A113),,REGEXMATCH(B113,""(^N *\+ D *$)|(^D *\+ N *$)""))"),FALSE)</f>
        <v>0</v>
      </c>
      <c r="O113" s="37" t="b">
        <f>IFERROR(__xludf.DUMMYFUNCTION("if(isblank(A113),,REGEXMATCH(B113,""^U *\+ U *$""))"),FALSE)</f>
        <v>0</v>
      </c>
      <c r="P113" s="37" t="b">
        <f>IFERROR(__xludf.DUMMYFUNCTION("if(isblank(A113),,REGEXMATCH(B113,""(^U *\+ N *$)|(^N *\+ U *$)""))"),FALSE)</f>
        <v>0</v>
      </c>
      <c r="Q113" s="37" t="b">
        <f>IFERROR(__xludf.DUMMYFUNCTION("if(isblank(A113),,REGEXMATCH(B113,""^((I ?\+ ?(D ?I|I ?D))|((D ?I|I ?D) ?\+ ?I)) *$""))"),FALSE)</f>
        <v>0</v>
      </c>
      <c r="R113" s="37" t="b">
        <f>IFERROR(__xludf.DUMMYFUNCTION("if(isblank(A113),,REGEXMATCH(B113,""^((D ?\+ ?(D ?I|I ?D))|((D ?I|I ?D) ?\+ ?D)) *$""))"),FALSE)</f>
        <v>0</v>
      </c>
      <c r="S113" s="37" t="b">
        <f>IFERROR(__xludf.DUMMYFUNCTION("if(isblank(A113),,REGEXMATCH(B113,""^((U ?\+ ?(D ?I|I ?D))|((D ?I|I ?D) ?\+ ?U)) *$""))"),FALSE)</f>
        <v>0</v>
      </c>
      <c r="T113" s="37" t="b">
        <f>IFERROR(__xludf.DUMMYFUNCTION("if(isblank(A113),,REGEXMATCH(B113,""^((N ?\+ ?(D ?I|I ?D))|((D ?I|I ?D) ?\+ ?N)) *$""))"),FALSE)</f>
        <v>0</v>
      </c>
      <c r="U113" s="37" t="b">
        <f>IFERROR(__xludf.DUMMYFUNCTION("if(isblank(A113),,REGEXMATCH(B113,""^((I ?\+ ?(U ?I|I ?U))|((I ?U|U ?I) ?\+ ?I)) *$""))"),FALSE)</f>
        <v>0</v>
      </c>
      <c r="V113" s="37" t="b">
        <f>IFERROR(__xludf.DUMMYFUNCTION("if(isblank(A113),,REGEXMATCH(B113,""^((D ?\+ ?(U ?I|I ?U))|((I ?U|U ?I) ?\+ ?D)) *$""))"),FALSE)</f>
        <v>0</v>
      </c>
      <c r="W113" s="37" t="b">
        <f>IFERROR(__xludf.DUMMYFUNCTION("if(isblank(A113),,REGEXMATCH(B113,""^((U ?\+ ?(U ?I|I ?U))|((I ?U|U ?I) ?\+ ?U)) *$""))"),FALSE)</f>
        <v>0</v>
      </c>
      <c r="X113" s="37" t="b">
        <f>IFERROR(__xludf.DUMMYFUNCTION("if(isblank(A113),,REGEXMATCH(B113,""^((N ?\+ ?(U ?I|I ?U))|((I ?U|U ?I) ?\+ ?N)) *$""))"),FALSE)</f>
        <v>0</v>
      </c>
      <c r="Y113" s="37" t="b">
        <f>IFERROR(__xludf.DUMMYFUNCTION("if(isblank(A113),,REGEXMATCH(B113,""^((I ?\+ ?(U ?D|D ?U))|((D ?U|U ?D) ?\+ ?I)) *$""))"),FALSE)</f>
        <v>0</v>
      </c>
      <c r="Z113" s="37" t="b">
        <f>IFERROR(__xludf.DUMMYFUNCTION("if(isblank(A113),,REGEXMATCH(B113,""^((D ?\+ ?(U ?D|D ?U))|((D ?U|U ?D) ?\+ ?D)) *$""))"),FALSE)</f>
        <v>0</v>
      </c>
      <c r="AA113" s="37" t="b">
        <f>IFERROR(__xludf.DUMMYFUNCTION("if(isblank(A113),,REGEXMATCH(B113,""^((U ?\+ ?(U ?D|D ?U))|((D ?U|U ?D) ?\+ ?U)) *$""))"),FALSE)</f>
        <v>0</v>
      </c>
      <c r="AB113" s="37" t="b">
        <f>IFERROR(__xludf.DUMMYFUNCTION("if(isblank(A113),,REGEXMATCH(B113,""^((D ?I|I ?D) ?\+ ?(D ?I|I ?D)) *$""))"),FALSE)</f>
        <v>0</v>
      </c>
      <c r="AC113" s="37" t="b">
        <f>IFERROR(__xludf.DUMMYFUNCTION("if(isblank(A113),,REGEXMATCH(B113,""^((D ?I|I ?D) ?\+ ?(U ?I|I ?U))|((U ?I|I ?U) ?\+ ?(D ?I|I ?D)) *$""))"),FALSE)</f>
        <v>0</v>
      </c>
      <c r="AD113" s="37" t="b">
        <f>IFERROR(__xludf.DUMMYFUNCTION("if(isblank(A113),,REGEXMATCH(B113,""^I *vs\. I *$""))"),FALSE)</f>
        <v>0</v>
      </c>
      <c r="AE113" s="37" t="b">
        <f>IFERROR(__xludf.DUMMYFUNCTION("if(isblank(A113),,REGEXMATCH(B113,""(^I *vs\. D *$)|(^D *vs\. I *$)""))"),FALSE)</f>
        <v>0</v>
      </c>
      <c r="AF113" s="37" t="b">
        <f>IFERROR(__xludf.DUMMYFUNCTION("if(isblank(A113),,REGEXMATCH(B113,""(^I *vs\. U *$)|(^U *vs\. I *$)""))"),FALSE)</f>
        <v>0</v>
      </c>
      <c r="AG113" s="37" t="b">
        <f>IFERROR(__xludf.DUMMYFUNCTION("if(isblank(A113),,REGEXMATCH(B113,""^D *vs\. D *$""))"),FALSE)</f>
        <v>0</v>
      </c>
      <c r="AH113" s="37" t="b">
        <f>IFERROR(__xludf.DUMMYFUNCTION("if(isblank(A113),,REGEXMATCH(B113,""(^U *vs\. D *$)|(^D *vs\. U *$)""))"),FALSE)</f>
        <v>0</v>
      </c>
      <c r="AI113" s="37" t="b">
        <f>IFERROR(__xludf.DUMMYFUNCTION("if(isblank(A113),,REGEXMATCH(B113,""^U *vs\. U *$""))"),FALSE)</f>
        <v>0</v>
      </c>
      <c r="AJ113" s="37" t="b">
        <f>IFERROR(__xludf.DUMMYFUNCTION("if(isblank(A113),,REGEXMATCH(B113,""^((I ?vs\. ?(D ?I|I ?D))|((D ?I|I ?D) ?vs\. ?I)) *$""))"),FALSE)</f>
        <v>0</v>
      </c>
      <c r="AK113" s="37" t="b">
        <f>IFERROR(__xludf.DUMMYFUNCTION("if(isblank(A113),,REGEXMATCH(B113,""^((D ?vs\. ?(D ?I|I ?D))|((D ?I|I ?D) ?vs\. ?D)) *$""))"),FALSE)</f>
        <v>0</v>
      </c>
      <c r="AL113" s="37" t="b">
        <f>IFERROR(__xludf.DUMMYFUNCTION("if(isblank(A113),,REGEXMATCH(B113,""^((U ?vs\. ?(D ?I|I ?D))|((D ?I|I ?D) ?vs\. ?U)) *$""))"),TRUE)</f>
        <v>1</v>
      </c>
      <c r="AM113" s="37" t="b">
        <f>IFERROR(__xludf.DUMMYFUNCTION("if(isblank(A113),,REGEXMATCH(B113,""^((I ?vs\. ?(U ?I|I ?U))|((U ?I|I ?U) ?vs\. ?I)) *$""))"),FALSE)</f>
        <v>0</v>
      </c>
      <c r="AN113" s="37" t="b">
        <f>IFERROR(__xludf.DUMMYFUNCTION("if(isblank(A113),,REGEXMATCH(B113,""^((D ?vs\. ?(U ?I|I ?U))|((U ?I|I ?U) ?vs\. ?D)) *$""))"),FALSE)</f>
        <v>0</v>
      </c>
      <c r="AO113" s="37" t="b">
        <f>IFERROR(__xludf.DUMMYFUNCTION("if(isblank(A113),,REGEXMATCH(B113,""^((U ?vs\. ?(U ?I|I ?U))|((U ?I|I ?U) ?vs\. ?U)) *$""))"),FALSE)</f>
        <v>0</v>
      </c>
      <c r="AP113" s="37" t="b">
        <f>IFERROR(__xludf.DUMMYFUNCTION("if(isblank(A113),,REGEXMATCH(B113,""^((I ?vs\. ?(U ?D|D ?U))|((D ?U|U ?D) ?vs\. ?I)) *$""))"),FALSE)</f>
        <v>0</v>
      </c>
      <c r="AQ113" s="37" t="b">
        <f>IFERROR(__xludf.DUMMYFUNCTION("if(isblank(A113),,REGEXMATCH(B113,""^((D ?vs\. ?(U ?D|D ?U))|((D ?U|U ?D) ?vs\. ?D)) *$""))"),FALSE)</f>
        <v>0</v>
      </c>
      <c r="AR113" s="37" t="b">
        <f>IFERROR(__xludf.DUMMYFUNCTION("if(isblank(A113),,REGEXMATCH(B113,""^((U ?vs\. ?(U ?D|D ?U))|((D ?U|U ?D) ?vs\. ?U)) *$""))"),FALSE)</f>
        <v>0</v>
      </c>
      <c r="AS113" s="37" t="b">
        <f>IFERROR(__xludf.DUMMYFUNCTION("if(isblank(A113),,REGEXMATCH(B113,""^((D ?I|I ?D) ?vs\. ?(D ?I|I ?D)) *$""))"),FALSE)</f>
        <v>0</v>
      </c>
      <c r="AT113" s="37" t="b">
        <f>IFERROR(__xludf.DUMMYFUNCTION("if(isblank(A113),,REGEXMATCH(B113,""^((D ?I|I ?D) ?vs\. ?(U ?I|I ?U))|((U ?I|I ?U) ?vs\. ?(D ?I|I ?D)) *$""))"),FALSE)</f>
        <v>0</v>
      </c>
      <c r="AU113" s="37" t="b">
        <f>IFERROR(__xludf.DUMMYFUNCTION("if(isblank(A113),,REGEXMATCH(B113,""^((D ?I|I ?D) ?vs\. ?(U ?D|D ?U))|((U ?D|D ?U) ?vs\. ?(D ?I|I ?D)) *$""))"),FALSE)</f>
        <v>0</v>
      </c>
      <c r="AV113" s="37" t="b">
        <f>IFERROR(__xludf.DUMMYFUNCTION("if(isblank(A113),,REGEXMATCH(B113,""^((U ?I|I ?U) ?vs\. ?(U ?I|I ?U)) *$""))"),FALSE)</f>
        <v>0</v>
      </c>
    </row>
    <row r="114" ht="26.25" customHeight="1">
      <c r="A114" s="79" t="str">
        <f>Paper_Textual_Conflict!M114</f>
        <v>D vs. D I(.cfg)
Origin(D vs. U)</v>
      </c>
      <c r="B114" s="37" t="str">
        <f>IFERROR(__xludf.DUMMYFUNCTION("if(isblank(A114),,regexextract(REGEXEXTRACT(A114,""^.*""),""^[^(]*""))"),"D vs. D I")</f>
        <v>D vs. D I</v>
      </c>
      <c r="C114" s="37" t="b">
        <f>IFERROR(__xludf.DUMMYFUNCTION("if(isblank(A114),,REGEXMATCH(B114,"".*\+.*"") )"),FALSE)</f>
        <v>0</v>
      </c>
      <c r="D114" s="37" t="b">
        <f>IFERROR(__xludf.DUMMYFUNCTION("if(isblank(A114),,REGEXMATCH(B114,"".*vs.*"") )"),TRUE)</f>
        <v>1</v>
      </c>
      <c r="E114" s="37" t="b">
        <f>Paper_Textual_Conflict!H114</f>
        <v>1</v>
      </c>
      <c r="F114" s="37" t="str">
        <f>Paper_Textual_Conflict!Q114</f>
        <v>Non-Java</v>
      </c>
      <c r="G114" s="33">
        <v>114.0</v>
      </c>
      <c r="H114" s="37" t="b">
        <f>IFERROR(__xludf.DUMMYFUNCTION("if(isblank(A114),,REGEXMATCH(B114,""^I *\+ I *$""))"),FALSE)</f>
        <v>0</v>
      </c>
      <c r="I114" s="37" t="b">
        <f>IFERROR(__xludf.DUMMYFUNCTION("if(isblank(A114),,REGEXMATCH(B114,""(^I *\+ D *$)|(^D *\+ I *$)""))"),FALSE)</f>
        <v>0</v>
      </c>
      <c r="J114" s="37" t="b">
        <f>IFERROR(__xludf.DUMMYFUNCTION("if(isblank(A114),,REGEXMATCH(B114,""(^I *\+ U *$)|(^U *\+ I *$)""))"),FALSE)</f>
        <v>0</v>
      </c>
      <c r="K114" s="37" t="b">
        <f>IFERROR(__xludf.DUMMYFUNCTION("if(isblank(A114),,REGEXMATCH(B114,""(^I *\+ N *$)|(^N *\+ I *$)"") )"),FALSE)</f>
        <v>0</v>
      </c>
      <c r="L114" s="37" t="b">
        <f>IFERROR(__xludf.DUMMYFUNCTION("if(isblank(A114),,REGEXMATCH(B114,""^D *\+ D *$""))"),FALSE)</f>
        <v>0</v>
      </c>
      <c r="M114" s="37" t="b">
        <f>IFERROR(__xludf.DUMMYFUNCTION("if(isblank(A114),,REGEXMATCH(B114,""(^U *\+ D *$)|(^D *\+ U *$)""))"),FALSE)</f>
        <v>0</v>
      </c>
      <c r="N114" s="37" t="b">
        <f>IFERROR(__xludf.DUMMYFUNCTION("if(isblank(A114),,REGEXMATCH(B114,""(^N *\+ D *$)|(^D *\+ N *$)""))"),FALSE)</f>
        <v>0</v>
      </c>
      <c r="O114" s="37" t="b">
        <f>IFERROR(__xludf.DUMMYFUNCTION("if(isblank(A114),,REGEXMATCH(B114,""^U *\+ U *$""))"),FALSE)</f>
        <v>0</v>
      </c>
      <c r="P114" s="37" t="b">
        <f>IFERROR(__xludf.DUMMYFUNCTION("if(isblank(A114),,REGEXMATCH(B114,""(^U *\+ N *$)|(^N *\+ U *$)""))"),FALSE)</f>
        <v>0</v>
      </c>
      <c r="Q114" s="37" t="b">
        <f>IFERROR(__xludf.DUMMYFUNCTION("if(isblank(A114),,REGEXMATCH(B114,""^((I ?\+ ?(D ?I|I ?D))|((D ?I|I ?D) ?\+ ?I)) *$""))"),FALSE)</f>
        <v>0</v>
      </c>
      <c r="R114" s="37" t="b">
        <f>IFERROR(__xludf.DUMMYFUNCTION("if(isblank(A114),,REGEXMATCH(B114,""^((D ?\+ ?(D ?I|I ?D))|((D ?I|I ?D) ?\+ ?D)) *$""))"),FALSE)</f>
        <v>0</v>
      </c>
      <c r="S114" s="37" t="b">
        <f>IFERROR(__xludf.DUMMYFUNCTION("if(isblank(A114),,REGEXMATCH(B114,""^((U ?\+ ?(D ?I|I ?D))|((D ?I|I ?D) ?\+ ?U)) *$""))"),FALSE)</f>
        <v>0</v>
      </c>
      <c r="T114" s="37" t="b">
        <f>IFERROR(__xludf.DUMMYFUNCTION("if(isblank(A114),,REGEXMATCH(B114,""^((N ?\+ ?(D ?I|I ?D))|((D ?I|I ?D) ?\+ ?N)) *$""))"),FALSE)</f>
        <v>0</v>
      </c>
      <c r="U114" s="37" t="b">
        <f>IFERROR(__xludf.DUMMYFUNCTION("if(isblank(A114),,REGEXMATCH(B114,""^((I ?\+ ?(U ?I|I ?U))|((I ?U|U ?I) ?\+ ?I)) *$""))"),FALSE)</f>
        <v>0</v>
      </c>
      <c r="V114" s="37" t="b">
        <f>IFERROR(__xludf.DUMMYFUNCTION("if(isblank(A114),,REGEXMATCH(B114,""^((D ?\+ ?(U ?I|I ?U))|((I ?U|U ?I) ?\+ ?D)) *$""))"),FALSE)</f>
        <v>0</v>
      </c>
      <c r="W114" s="37" t="b">
        <f>IFERROR(__xludf.DUMMYFUNCTION("if(isblank(A114),,REGEXMATCH(B114,""^((U ?\+ ?(U ?I|I ?U))|((I ?U|U ?I) ?\+ ?U)) *$""))"),FALSE)</f>
        <v>0</v>
      </c>
      <c r="X114" s="37" t="b">
        <f>IFERROR(__xludf.DUMMYFUNCTION("if(isblank(A114),,REGEXMATCH(B114,""^((N ?\+ ?(U ?I|I ?U))|((I ?U|U ?I) ?\+ ?N)) *$""))"),FALSE)</f>
        <v>0</v>
      </c>
      <c r="Y114" s="37" t="b">
        <f>IFERROR(__xludf.DUMMYFUNCTION("if(isblank(A114),,REGEXMATCH(B114,""^((I ?\+ ?(U ?D|D ?U))|((D ?U|U ?D) ?\+ ?I)) *$""))"),FALSE)</f>
        <v>0</v>
      </c>
      <c r="Z114" s="37" t="b">
        <f>IFERROR(__xludf.DUMMYFUNCTION("if(isblank(A114),,REGEXMATCH(B114,""^((D ?\+ ?(U ?D|D ?U))|((D ?U|U ?D) ?\+ ?D)) *$""))"),FALSE)</f>
        <v>0</v>
      </c>
      <c r="AA114" s="37" t="b">
        <f>IFERROR(__xludf.DUMMYFUNCTION("if(isblank(A114),,REGEXMATCH(B114,""^((U ?\+ ?(U ?D|D ?U))|((D ?U|U ?D) ?\+ ?U)) *$""))"),FALSE)</f>
        <v>0</v>
      </c>
      <c r="AB114" s="37" t="b">
        <f>IFERROR(__xludf.DUMMYFUNCTION("if(isblank(A114),,REGEXMATCH(B114,""^((D ?I|I ?D) ?\+ ?(D ?I|I ?D)) *$""))"),FALSE)</f>
        <v>0</v>
      </c>
      <c r="AC114" s="37" t="b">
        <f>IFERROR(__xludf.DUMMYFUNCTION("if(isblank(A114),,REGEXMATCH(B114,""^((D ?I|I ?D) ?\+ ?(U ?I|I ?U))|((U ?I|I ?U) ?\+ ?(D ?I|I ?D)) *$""))"),FALSE)</f>
        <v>0</v>
      </c>
      <c r="AD114" s="37" t="b">
        <f>IFERROR(__xludf.DUMMYFUNCTION("if(isblank(A114),,REGEXMATCH(B114,""^I *vs\. I *$""))"),FALSE)</f>
        <v>0</v>
      </c>
      <c r="AE114" s="37" t="b">
        <f>IFERROR(__xludf.DUMMYFUNCTION("if(isblank(A114),,REGEXMATCH(B114,""(^I *vs\. D *$)|(^D *vs\. I *$)""))"),FALSE)</f>
        <v>0</v>
      </c>
      <c r="AF114" s="37" t="b">
        <f>IFERROR(__xludf.DUMMYFUNCTION("if(isblank(A114),,REGEXMATCH(B114,""(^I *vs\. U *$)|(^U *vs\. I *$)""))"),FALSE)</f>
        <v>0</v>
      </c>
      <c r="AG114" s="37" t="b">
        <f>IFERROR(__xludf.DUMMYFUNCTION("if(isblank(A114),,REGEXMATCH(B114,""^D *vs\. D *$""))"),FALSE)</f>
        <v>0</v>
      </c>
      <c r="AH114" s="37" t="b">
        <f>IFERROR(__xludf.DUMMYFUNCTION("if(isblank(A114),,REGEXMATCH(B114,""(^U *vs\. D *$)|(^D *vs\. U *$)""))"),FALSE)</f>
        <v>0</v>
      </c>
      <c r="AI114" s="37" t="b">
        <f>IFERROR(__xludf.DUMMYFUNCTION("if(isblank(A114),,REGEXMATCH(B114,""^U *vs\. U *$""))"),FALSE)</f>
        <v>0</v>
      </c>
      <c r="AJ114" s="37" t="b">
        <f>IFERROR(__xludf.DUMMYFUNCTION("if(isblank(A114),,REGEXMATCH(B114,""^((I ?vs\. ?(D ?I|I ?D))|((D ?I|I ?D) ?vs\. ?I)) *$""))"),FALSE)</f>
        <v>0</v>
      </c>
      <c r="AK114" s="37" t="b">
        <f>IFERROR(__xludf.DUMMYFUNCTION("if(isblank(A114),,REGEXMATCH(B114,""^((D ?vs\. ?(D ?I|I ?D))|((D ?I|I ?D) ?vs\. ?D)) *$""))"),TRUE)</f>
        <v>1</v>
      </c>
      <c r="AL114" s="37" t="b">
        <f>IFERROR(__xludf.DUMMYFUNCTION("if(isblank(A114),,REGEXMATCH(B114,""^((U ?vs\. ?(D ?I|I ?D))|((D ?I|I ?D) ?vs\. ?U)) *$""))"),FALSE)</f>
        <v>0</v>
      </c>
      <c r="AM114" s="37" t="b">
        <f>IFERROR(__xludf.DUMMYFUNCTION("if(isblank(A114),,REGEXMATCH(B114,""^((I ?vs\. ?(U ?I|I ?U))|((U ?I|I ?U) ?vs\. ?I)) *$""))"),FALSE)</f>
        <v>0</v>
      </c>
      <c r="AN114" s="37" t="b">
        <f>IFERROR(__xludf.DUMMYFUNCTION("if(isblank(A114),,REGEXMATCH(B114,""^((D ?vs\. ?(U ?I|I ?U))|((U ?I|I ?U) ?vs\. ?D)) *$""))"),FALSE)</f>
        <v>0</v>
      </c>
      <c r="AO114" s="37" t="b">
        <f>IFERROR(__xludf.DUMMYFUNCTION("if(isblank(A114),,REGEXMATCH(B114,""^((U ?vs\. ?(U ?I|I ?U))|((U ?I|I ?U) ?vs\. ?U)) *$""))"),FALSE)</f>
        <v>0</v>
      </c>
      <c r="AP114" s="37" t="b">
        <f>IFERROR(__xludf.DUMMYFUNCTION("if(isblank(A114),,REGEXMATCH(B114,""^((I ?vs\. ?(U ?D|D ?U))|((D ?U|U ?D) ?vs\. ?I)) *$""))"),FALSE)</f>
        <v>0</v>
      </c>
      <c r="AQ114" s="37" t="b">
        <f>IFERROR(__xludf.DUMMYFUNCTION("if(isblank(A114),,REGEXMATCH(B114,""^((D ?vs\. ?(U ?D|D ?U))|((D ?U|U ?D) ?vs\. ?D)) *$""))"),FALSE)</f>
        <v>0</v>
      </c>
      <c r="AR114" s="37" t="b">
        <f>IFERROR(__xludf.DUMMYFUNCTION("if(isblank(A114),,REGEXMATCH(B114,""^((U ?vs\. ?(U ?D|D ?U))|((D ?U|U ?D) ?vs\. ?U)) *$""))"),FALSE)</f>
        <v>0</v>
      </c>
      <c r="AS114" s="37" t="b">
        <f>IFERROR(__xludf.DUMMYFUNCTION("if(isblank(A114),,REGEXMATCH(B114,""^((D ?I|I ?D) ?vs\. ?(D ?I|I ?D)) *$""))"),FALSE)</f>
        <v>0</v>
      </c>
      <c r="AT114" s="37" t="b">
        <f>IFERROR(__xludf.DUMMYFUNCTION("if(isblank(A114),,REGEXMATCH(B114,""^((D ?I|I ?D) ?vs\. ?(U ?I|I ?U))|((U ?I|I ?U) ?vs\. ?(D ?I|I ?D)) *$""))"),FALSE)</f>
        <v>0</v>
      </c>
      <c r="AU114" s="37" t="b">
        <f>IFERROR(__xludf.DUMMYFUNCTION("if(isblank(A114),,REGEXMATCH(B114,""^((D ?I|I ?D) ?vs\. ?(U ?D|D ?U))|((U ?D|D ?U) ?vs\. ?(D ?I|I ?D)) *$""))"),FALSE)</f>
        <v>0</v>
      </c>
      <c r="AV114" s="37" t="b">
        <f>IFERROR(__xludf.DUMMYFUNCTION("if(isblank(A114),,REGEXMATCH(B114,""^((U ?I|I ?U) ?vs\. ?(U ?I|I ?U)) *$""))"),FALSE)</f>
        <v>0</v>
      </c>
    </row>
    <row r="115" ht="26.25" customHeight="1">
      <c r="A115" s="79" t="str">
        <f>Paper_Textual_Conflict!M115</f>
        <v>U vs. U (.gradle, version no)</v>
      </c>
      <c r="B115" s="37" t="str">
        <f>IFERROR(__xludf.DUMMYFUNCTION("if(isblank(A115),,regexextract(REGEXEXTRACT(A115,""^.*""),""^[^(]*""))"),"U vs. U ")</f>
        <v>U vs. U </v>
      </c>
      <c r="C115" s="37" t="b">
        <f>IFERROR(__xludf.DUMMYFUNCTION("if(isblank(A115),,REGEXMATCH(B115,"".*\+.*"") )"),FALSE)</f>
        <v>0</v>
      </c>
      <c r="D115" s="37" t="b">
        <f>IFERROR(__xludf.DUMMYFUNCTION("if(isblank(A115),,REGEXMATCH(B115,"".*vs.*"") )"),TRUE)</f>
        <v>1</v>
      </c>
      <c r="E115" s="37" t="b">
        <f>Paper_Textual_Conflict!H115</f>
        <v>1</v>
      </c>
      <c r="F115" s="37" t="str">
        <f>Paper_Textual_Conflict!Q115</f>
        <v>Non-Java</v>
      </c>
      <c r="G115" s="33">
        <v>115.0</v>
      </c>
      <c r="H115" s="37" t="b">
        <f>IFERROR(__xludf.DUMMYFUNCTION("if(isblank(A115),,REGEXMATCH(B115,""^I *\+ I *$""))"),FALSE)</f>
        <v>0</v>
      </c>
      <c r="I115" s="37" t="b">
        <f>IFERROR(__xludf.DUMMYFUNCTION("if(isblank(A115),,REGEXMATCH(B115,""(^I *\+ D *$)|(^D *\+ I *$)""))"),FALSE)</f>
        <v>0</v>
      </c>
      <c r="J115" s="37" t="b">
        <f>IFERROR(__xludf.DUMMYFUNCTION("if(isblank(A115),,REGEXMATCH(B115,""(^I *\+ U *$)|(^U *\+ I *$)""))"),FALSE)</f>
        <v>0</v>
      </c>
      <c r="K115" s="37" t="b">
        <f>IFERROR(__xludf.DUMMYFUNCTION("if(isblank(A115),,REGEXMATCH(B115,""(^I *\+ N *$)|(^N *\+ I *$)"") )"),FALSE)</f>
        <v>0</v>
      </c>
      <c r="L115" s="37" t="b">
        <f>IFERROR(__xludf.DUMMYFUNCTION("if(isblank(A115),,REGEXMATCH(B115,""^D *\+ D *$""))"),FALSE)</f>
        <v>0</v>
      </c>
      <c r="M115" s="37" t="b">
        <f>IFERROR(__xludf.DUMMYFUNCTION("if(isblank(A115),,REGEXMATCH(B115,""(^U *\+ D *$)|(^D *\+ U *$)""))"),FALSE)</f>
        <v>0</v>
      </c>
      <c r="N115" s="37" t="b">
        <f>IFERROR(__xludf.DUMMYFUNCTION("if(isblank(A115),,REGEXMATCH(B115,""(^N *\+ D *$)|(^D *\+ N *$)""))"),FALSE)</f>
        <v>0</v>
      </c>
      <c r="O115" s="37" t="b">
        <f>IFERROR(__xludf.DUMMYFUNCTION("if(isblank(A115),,REGEXMATCH(B115,""^U *\+ U *$""))"),FALSE)</f>
        <v>0</v>
      </c>
      <c r="P115" s="37" t="b">
        <f>IFERROR(__xludf.DUMMYFUNCTION("if(isblank(A115),,REGEXMATCH(B115,""(^U *\+ N *$)|(^N *\+ U *$)""))"),FALSE)</f>
        <v>0</v>
      </c>
      <c r="Q115" s="37" t="b">
        <f>IFERROR(__xludf.DUMMYFUNCTION("if(isblank(A115),,REGEXMATCH(B115,""^((I ?\+ ?(D ?I|I ?D))|((D ?I|I ?D) ?\+ ?I)) *$""))"),FALSE)</f>
        <v>0</v>
      </c>
      <c r="R115" s="37" t="b">
        <f>IFERROR(__xludf.DUMMYFUNCTION("if(isblank(A115),,REGEXMATCH(B115,""^((D ?\+ ?(D ?I|I ?D))|((D ?I|I ?D) ?\+ ?D)) *$""))"),FALSE)</f>
        <v>0</v>
      </c>
      <c r="S115" s="37" t="b">
        <f>IFERROR(__xludf.DUMMYFUNCTION("if(isblank(A115),,REGEXMATCH(B115,""^((U ?\+ ?(D ?I|I ?D))|((D ?I|I ?D) ?\+ ?U)) *$""))"),FALSE)</f>
        <v>0</v>
      </c>
      <c r="T115" s="37" t="b">
        <f>IFERROR(__xludf.DUMMYFUNCTION("if(isblank(A115),,REGEXMATCH(B115,""^((N ?\+ ?(D ?I|I ?D))|((D ?I|I ?D) ?\+ ?N)) *$""))"),FALSE)</f>
        <v>0</v>
      </c>
      <c r="U115" s="37" t="b">
        <f>IFERROR(__xludf.DUMMYFUNCTION("if(isblank(A115),,REGEXMATCH(B115,""^((I ?\+ ?(U ?I|I ?U))|((I ?U|U ?I) ?\+ ?I)) *$""))"),FALSE)</f>
        <v>0</v>
      </c>
      <c r="V115" s="37" t="b">
        <f>IFERROR(__xludf.DUMMYFUNCTION("if(isblank(A115),,REGEXMATCH(B115,""^((D ?\+ ?(U ?I|I ?U))|((I ?U|U ?I) ?\+ ?D)) *$""))"),FALSE)</f>
        <v>0</v>
      </c>
      <c r="W115" s="37" t="b">
        <f>IFERROR(__xludf.DUMMYFUNCTION("if(isblank(A115),,REGEXMATCH(B115,""^((U ?\+ ?(U ?I|I ?U))|((I ?U|U ?I) ?\+ ?U)) *$""))"),FALSE)</f>
        <v>0</v>
      </c>
      <c r="X115" s="37" t="b">
        <f>IFERROR(__xludf.DUMMYFUNCTION("if(isblank(A115),,REGEXMATCH(B115,""^((N ?\+ ?(U ?I|I ?U))|((I ?U|U ?I) ?\+ ?N)) *$""))"),FALSE)</f>
        <v>0</v>
      </c>
      <c r="Y115" s="37" t="b">
        <f>IFERROR(__xludf.DUMMYFUNCTION("if(isblank(A115),,REGEXMATCH(B115,""^((I ?\+ ?(U ?D|D ?U))|((D ?U|U ?D) ?\+ ?I)) *$""))"),FALSE)</f>
        <v>0</v>
      </c>
      <c r="Z115" s="37" t="b">
        <f>IFERROR(__xludf.DUMMYFUNCTION("if(isblank(A115),,REGEXMATCH(B115,""^((D ?\+ ?(U ?D|D ?U))|((D ?U|U ?D) ?\+ ?D)) *$""))"),FALSE)</f>
        <v>0</v>
      </c>
      <c r="AA115" s="37" t="b">
        <f>IFERROR(__xludf.DUMMYFUNCTION("if(isblank(A115),,REGEXMATCH(B115,""^((U ?\+ ?(U ?D|D ?U))|((D ?U|U ?D) ?\+ ?U)) *$""))"),FALSE)</f>
        <v>0</v>
      </c>
      <c r="AB115" s="37" t="b">
        <f>IFERROR(__xludf.DUMMYFUNCTION("if(isblank(A115),,REGEXMATCH(B115,""^((D ?I|I ?D) ?\+ ?(D ?I|I ?D)) *$""))"),FALSE)</f>
        <v>0</v>
      </c>
      <c r="AC115" s="37" t="b">
        <f>IFERROR(__xludf.DUMMYFUNCTION("if(isblank(A115),,REGEXMATCH(B115,""^((D ?I|I ?D) ?\+ ?(U ?I|I ?U))|((U ?I|I ?U) ?\+ ?(D ?I|I ?D)) *$""))"),FALSE)</f>
        <v>0</v>
      </c>
      <c r="AD115" s="37" t="b">
        <f>IFERROR(__xludf.DUMMYFUNCTION("if(isblank(A115),,REGEXMATCH(B115,""^I *vs\. I *$""))"),FALSE)</f>
        <v>0</v>
      </c>
      <c r="AE115" s="37" t="b">
        <f>IFERROR(__xludf.DUMMYFUNCTION("if(isblank(A115),,REGEXMATCH(B115,""(^I *vs\. D *$)|(^D *vs\. I *$)""))"),FALSE)</f>
        <v>0</v>
      </c>
      <c r="AF115" s="37" t="b">
        <f>IFERROR(__xludf.DUMMYFUNCTION("if(isblank(A115),,REGEXMATCH(B115,""(^I *vs\. U *$)|(^U *vs\. I *$)""))"),FALSE)</f>
        <v>0</v>
      </c>
      <c r="AG115" s="37" t="b">
        <f>IFERROR(__xludf.DUMMYFUNCTION("if(isblank(A115),,REGEXMATCH(B115,""^D *vs\. D *$""))"),FALSE)</f>
        <v>0</v>
      </c>
      <c r="AH115" s="37" t="b">
        <f>IFERROR(__xludf.DUMMYFUNCTION("if(isblank(A115),,REGEXMATCH(B115,""(^U *vs\. D *$)|(^D *vs\. U *$)""))"),FALSE)</f>
        <v>0</v>
      </c>
      <c r="AI115" s="37" t="b">
        <f>IFERROR(__xludf.DUMMYFUNCTION("if(isblank(A115),,REGEXMATCH(B115,""^U *vs\. U *$""))"),TRUE)</f>
        <v>1</v>
      </c>
      <c r="AJ115" s="37" t="b">
        <f>IFERROR(__xludf.DUMMYFUNCTION("if(isblank(A115),,REGEXMATCH(B115,""^((I ?vs\. ?(D ?I|I ?D))|((D ?I|I ?D) ?vs\. ?I)) *$""))"),FALSE)</f>
        <v>0</v>
      </c>
      <c r="AK115" s="37" t="b">
        <f>IFERROR(__xludf.DUMMYFUNCTION("if(isblank(A115),,REGEXMATCH(B115,""^((D ?vs\. ?(D ?I|I ?D))|((D ?I|I ?D) ?vs\. ?D)) *$""))"),FALSE)</f>
        <v>0</v>
      </c>
      <c r="AL115" s="37" t="b">
        <f>IFERROR(__xludf.DUMMYFUNCTION("if(isblank(A115),,REGEXMATCH(B115,""^((U ?vs\. ?(D ?I|I ?D))|((D ?I|I ?D) ?vs\. ?U)) *$""))"),FALSE)</f>
        <v>0</v>
      </c>
      <c r="AM115" s="37" t="b">
        <f>IFERROR(__xludf.DUMMYFUNCTION("if(isblank(A115),,REGEXMATCH(B115,""^((I ?vs\. ?(U ?I|I ?U))|((U ?I|I ?U) ?vs\. ?I)) *$""))"),FALSE)</f>
        <v>0</v>
      </c>
      <c r="AN115" s="37" t="b">
        <f>IFERROR(__xludf.DUMMYFUNCTION("if(isblank(A115),,REGEXMATCH(B115,""^((D ?vs\. ?(U ?I|I ?U))|((U ?I|I ?U) ?vs\. ?D)) *$""))"),FALSE)</f>
        <v>0</v>
      </c>
      <c r="AO115" s="37" t="b">
        <f>IFERROR(__xludf.DUMMYFUNCTION("if(isblank(A115),,REGEXMATCH(B115,""^((U ?vs\. ?(U ?I|I ?U))|((U ?I|I ?U) ?vs\. ?U)) *$""))"),FALSE)</f>
        <v>0</v>
      </c>
      <c r="AP115" s="37" t="b">
        <f>IFERROR(__xludf.DUMMYFUNCTION("if(isblank(A115),,REGEXMATCH(B115,""^((I ?vs\. ?(U ?D|D ?U))|((D ?U|U ?D) ?vs\. ?I)) *$""))"),FALSE)</f>
        <v>0</v>
      </c>
      <c r="AQ115" s="37" t="b">
        <f>IFERROR(__xludf.DUMMYFUNCTION("if(isblank(A115),,REGEXMATCH(B115,""^((D ?vs\. ?(U ?D|D ?U))|((D ?U|U ?D) ?vs\. ?D)) *$""))"),FALSE)</f>
        <v>0</v>
      </c>
      <c r="AR115" s="37" t="b">
        <f>IFERROR(__xludf.DUMMYFUNCTION("if(isblank(A115),,REGEXMATCH(B115,""^((U ?vs\. ?(U ?D|D ?U))|((D ?U|U ?D) ?vs\. ?U)) *$""))"),FALSE)</f>
        <v>0</v>
      </c>
      <c r="AS115" s="37" t="b">
        <f>IFERROR(__xludf.DUMMYFUNCTION("if(isblank(A115),,REGEXMATCH(B115,""^((D ?I|I ?D) ?vs\. ?(D ?I|I ?D)) *$""))"),FALSE)</f>
        <v>0</v>
      </c>
      <c r="AT115" s="37" t="b">
        <f>IFERROR(__xludf.DUMMYFUNCTION("if(isblank(A115),,REGEXMATCH(B115,""^((D ?I|I ?D) ?vs\. ?(U ?I|I ?U))|((U ?I|I ?U) ?vs\. ?(D ?I|I ?D)) *$""))"),FALSE)</f>
        <v>0</v>
      </c>
      <c r="AU115" s="37" t="b">
        <f>IFERROR(__xludf.DUMMYFUNCTION("if(isblank(A115),,REGEXMATCH(B115,""^((D ?I|I ?D) ?vs\. ?(U ?D|D ?U))|((U ?D|D ?U) ?vs\. ?(D ?I|I ?D)) *$""))"),FALSE)</f>
        <v>0</v>
      </c>
      <c r="AV115" s="37" t="b">
        <f>IFERROR(__xludf.DUMMYFUNCTION("if(isblank(A115),,REGEXMATCH(B115,""^((U ?I|I ?U) ?vs\. ?(U ?I|I ?U)) *$""))"),FALSE)</f>
        <v>0</v>
      </c>
    </row>
    <row r="116" ht="26.25" customHeight="1">
      <c r="A116" s="79" t="str">
        <f>Paper_Textual_Conflict!M116</f>
        <v>I + U (.gradle)
Origin(I vs. D I)</v>
      </c>
      <c r="B116" s="37" t="str">
        <f>IFERROR(__xludf.DUMMYFUNCTION("if(isblank(A116),,regexextract(REGEXEXTRACT(A116,""^.*""),""^[^(]*""))"),"I + U ")</f>
        <v>I + U </v>
      </c>
      <c r="C116" s="37" t="b">
        <f>IFERROR(__xludf.DUMMYFUNCTION("if(isblank(A116),,REGEXMATCH(B116,"".*\+.*"") )"),TRUE)</f>
        <v>1</v>
      </c>
      <c r="D116" s="37" t="b">
        <f>IFERROR(__xludf.DUMMYFUNCTION("if(isblank(A116),,REGEXMATCH(B116,"".*vs.*"") )"),FALSE)</f>
        <v>0</v>
      </c>
      <c r="E116" s="37" t="b">
        <f>Paper_Textual_Conflict!H116</f>
        <v>0</v>
      </c>
      <c r="F116" s="37" t="str">
        <f>Paper_Textual_Conflict!Q116</f>
        <v>Non-Java</v>
      </c>
      <c r="G116" s="33">
        <v>116.0</v>
      </c>
      <c r="H116" s="37" t="b">
        <f>IFERROR(__xludf.DUMMYFUNCTION("if(isblank(A116),,REGEXMATCH(B116,""^I *\+ I *$""))"),FALSE)</f>
        <v>0</v>
      </c>
      <c r="I116" s="37" t="b">
        <f>IFERROR(__xludf.DUMMYFUNCTION("if(isblank(A116),,REGEXMATCH(B116,""(^I *\+ D *$)|(^D *\+ I *$)""))"),FALSE)</f>
        <v>0</v>
      </c>
      <c r="J116" s="37" t="b">
        <f>IFERROR(__xludf.DUMMYFUNCTION("if(isblank(A116),,REGEXMATCH(B116,""(^I *\+ U *$)|(^U *\+ I *$)""))"),TRUE)</f>
        <v>1</v>
      </c>
      <c r="K116" s="37" t="b">
        <f>IFERROR(__xludf.DUMMYFUNCTION("if(isblank(A116),,REGEXMATCH(B116,""(^I *\+ N *$)|(^N *\+ I *$)"") )"),FALSE)</f>
        <v>0</v>
      </c>
      <c r="L116" s="37" t="b">
        <f>IFERROR(__xludf.DUMMYFUNCTION("if(isblank(A116),,REGEXMATCH(B116,""^D *\+ D *$""))"),FALSE)</f>
        <v>0</v>
      </c>
      <c r="M116" s="37" t="b">
        <f>IFERROR(__xludf.DUMMYFUNCTION("if(isblank(A116),,REGEXMATCH(B116,""(^U *\+ D *$)|(^D *\+ U *$)""))"),FALSE)</f>
        <v>0</v>
      </c>
      <c r="N116" s="37" t="b">
        <f>IFERROR(__xludf.DUMMYFUNCTION("if(isblank(A116),,REGEXMATCH(B116,""(^N *\+ D *$)|(^D *\+ N *$)""))"),FALSE)</f>
        <v>0</v>
      </c>
      <c r="O116" s="37" t="b">
        <f>IFERROR(__xludf.DUMMYFUNCTION("if(isblank(A116),,REGEXMATCH(B116,""^U *\+ U *$""))"),FALSE)</f>
        <v>0</v>
      </c>
      <c r="P116" s="37" t="b">
        <f>IFERROR(__xludf.DUMMYFUNCTION("if(isblank(A116),,REGEXMATCH(B116,""(^U *\+ N *$)|(^N *\+ U *$)""))"),FALSE)</f>
        <v>0</v>
      </c>
      <c r="Q116" s="37" t="b">
        <f>IFERROR(__xludf.DUMMYFUNCTION("if(isblank(A116),,REGEXMATCH(B116,""^((I ?\+ ?(D ?I|I ?D))|((D ?I|I ?D) ?\+ ?I)) *$""))"),FALSE)</f>
        <v>0</v>
      </c>
      <c r="R116" s="37" t="b">
        <f>IFERROR(__xludf.DUMMYFUNCTION("if(isblank(A116),,REGEXMATCH(B116,""^((D ?\+ ?(D ?I|I ?D))|((D ?I|I ?D) ?\+ ?D)) *$""))"),FALSE)</f>
        <v>0</v>
      </c>
      <c r="S116" s="37" t="b">
        <f>IFERROR(__xludf.DUMMYFUNCTION("if(isblank(A116),,REGEXMATCH(B116,""^((U ?\+ ?(D ?I|I ?D))|((D ?I|I ?D) ?\+ ?U)) *$""))"),FALSE)</f>
        <v>0</v>
      </c>
      <c r="T116" s="37" t="b">
        <f>IFERROR(__xludf.DUMMYFUNCTION("if(isblank(A116),,REGEXMATCH(B116,""^((N ?\+ ?(D ?I|I ?D))|((D ?I|I ?D) ?\+ ?N)) *$""))"),FALSE)</f>
        <v>0</v>
      </c>
      <c r="U116" s="37" t="b">
        <f>IFERROR(__xludf.DUMMYFUNCTION("if(isblank(A116),,REGEXMATCH(B116,""^((I ?\+ ?(U ?I|I ?U))|((I ?U|U ?I) ?\+ ?I)) *$""))"),FALSE)</f>
        <v>0</v>
      </c>
      <c r="V116" s="37" t="b">
        <f>IFERROR(__xludf.DUMMYFUNCTION("if(isblank(A116),,REGEXMATCH(B116,""^((D ?\+ ?(U ?I|I ?U))|((I ?U|U ?I) ?\+ ?D)) *$""))"),FALSE)</f>
        <v>0</v>
      </c>
      <c r="W116" s="37" t="b">
        <f>IFERROR(__xludf.DUMMYFUNCTION("if(isblank(A116),,REGEXMATCH(B116,""^((U ?\+ ?(U ?I|I ?U))|((I ?U|U ?I) ?\+ ?U)) *$""))"),FALSE)</f>
        <v>0</v>
      </c>
      <c r="X116" s="37" t="b">
        <f>IFERROR(__xludf.DUMMYFUNCTION("if(isblank(A116),,REGEXMATCH(B116,""^((N ?\+ ?(U ?I|I ?U))|((I ?U|U ?I) ?\+ ?N)) *$""))"),FALSE)</f>
        <v>0</v>
      </c>
      <c r="Y116" s="37" t="b">
        <f>IFERROR(__xludf.DUMMYFUNCTION("if(isblank(A116),,REGEXMATCH(B116,""^((I ?\+ ?(U ?D|D ?U))|((D ?U|U ?D) ?\+ ?I)) *$""))"),FALSE)</f>
        <v>0</v>
      </c>
      <c r="Z116" s="37" t="b">
        <f>IFERROR(__xludf.DUMMYFUNCTION("if(isblank(A116),,REGEXMATCH(B116,""^((D ?\+ ?(U ?D|D ?U))|((D ?U|U ?D) ?\+ ?D)) *$""))"),FALSE)</f>
        <v>0</v>
      </c>
      <c r="AA116" s="37" t="b">
        <f>IFERROR(__xludf.DUMMYFUNCTION("if(isblank(A116),,REGEXMATCH(B116,""^((U ?\+ ?(U ?D|D ?U))|((D ?U|U ?D) ?\+ ?U)) *$""))"),FALSE)</f>
        <v>0</v>
      </c>
      <c r="AB116" s="37" t="b">
        <f>IFERROR(__xludf.DUMMYFUNCTION("if(isblank(A116),,REGEXMATCH(B116,""^((D ?I|I ?D) ?\+ ?(D ?I|I ?D)) *$""))"),FALSE)</f>
        <v>0</v>
      </c>
      <c r="AC116" s="37" t="b">
        <f>IFERROR(__xludf.DUMMYFUNCTION("if(isblank(A116),,REGEXMATCH(B116,""^((D ?I|I ?D) ?\+ ?(U ?I|I ?U))|((U ?I|I ?U) ?\+ ?(D ?I|I ?D)) *$""))"),FALSE)</f>
        <v>0</v>
      </c>
      <c r="AD116" s="37" t="b">
        <f>IFERROR(__xludf.DUMMYFUNCTION("if(isblank(A116),,REGEXMATCH(B116,""^I *vs\. I *$""))"),FALSE)</f>
        <v>0</v>
      </c>
      <c r="AE116" s="37" t="b">
        <f>IFERROR(__xludf.DUMMYFUNCTION("if(isblank(A116),,REGEXMATCH(B116,""(^I *vs\. D *$)|(^D *vs\. I *$)""))"),FALSE)</f>
        <v>0</v>
      </c>
      <c r="AF116" s="37" t="b">
        <f>IFERROR(__xludf.DUMMYFUNCTION("if(isblank(A116),,REGEXMATCH(B116,""(^I *vs\. U *$)|(^U *vs\. I *$)""))"),FALSE)</f>
        <v>0</v>
      </c>
      <c r="AG116" s="37" t="b">
        <f>IFERROR(__xludf.DUMMYFUNCTION("if(isblank(A116),,REGEXMATCH(B116,""^D *vs\. D *$""))"),FALSE)</f>
        <v>0</v>
      </c>
      <c r="AH116" s="37" t="b">
        <f>IFERROR(__xludf.DUMMYFUNCTION("if(isblank(A116),,REGEXMATCH(B116,""(^U *vs\. D *$)|(^D *vs\. U *$)""))"),FALSE)</f>
        <v>0</v>
      </c>
      <c r="AI116" s="37" t="b">
        <f>IFERROR(__xludf.DUMMYFUNCTION("if(isblank(A116),,REGEXMATCH(B116,""^U *vs\. U *$""))"),FALSE)</f>
        <v>0</v>
      </c>
      <c r="AJ116" s="37" t="b">
        <f>IFERROR(__xludf.DUMMYFUNCTION("if(isblank(A116),,REGEXMATCH(B116,""^((I ?vs\. ?(D ?I|I ?D))|((D ?I|I ?D) ?vs\. ?I)) *$""))"),FALSE)</f>
        <v>0</v>
      </c>
      <c r="AK116" s="37" t="b">
        <f>IFERROR(__xludf.DUMMYFUNCTION("if(isblank(A116),,REGEXMATCH(B116,""^((D ?vs\. ?(D ?I|I ?D))|((D ?I|I ?D) ?vs\. ?D)) *$""))"),FALSE)</f>
        <v>0</v>
      </c>
      <c r="AL116" s="37" t="b">
        <f>IFERROR(__xludf.DUMMYFUNCTION("if(isblank(A116),,REGEXMATCH(B116,""^((U ?vs\. ?(D ?I|I ?D))|((D ?I|I ?D) ?vs\. ?U)) *$""))"),FALSE)</f>
        <v>0</v>
      </c>
      <c r="AM116" s="37" t="b">
        <f>IFERROR(__xludf.DUMMYFUNCTION("if(isblank(A116),,REGEXMATCH(B116,""^((I ?vs\. ?(U ?I|I ?U))|((U ?I|I ?U) ?vs\. ?I)) *$""))"),FALSE)</f>
        <v>0</v>
      </c>
      <c r="AN116" s="37" t="b">
        <f>IFERROR(__xludf.DUMMYFUNCTION("if(isblank(A116),,REGEXMATCH(B116,""^((D ?vs\. ?(U ?I|I ?U))|((U ?I|I ?U) ?vs\. ?D)) *$""))"),FALSE)</f>
        <v>0</v>
      </c>
      <c r="AO116" s="37" t="b">
        <f>IFERROR(__xludf.DUMMYFUNCTION("if(isblank(A116),,REGEXMATCH(B116,""^((U ?vs\. ?(U ?I|I ?U))|((U ?I|I ?U) ?vs\. ?U)) *$""))"),FALSE)</f>
        <v>0</v>
      </c>
      <c r="AP116" s="37" t="b">
        <f>IFERROR(__xludf.DUMMYFUNCTION("if(isblank(A116),,REGEXMATCH(B116,""^((I ?vs\. ?(U ?D|D ?U))|((D ?U|U ?D) ?vs\. ?I)) *$""))"),FALSE)</f>
        <v>0</v>
      </c>
      <c r="AQ116" s="37" t="b">
        <f>IFERROR(__xludf.DUMMYFUNCTION("if(isblank(A116),,REGEXMATCH(B116,""^((D ?vs\. ?(U ?D|D ?U))|((D ?U|U ?D) ?vs\. ?D)) *$""))"),FALSE)</f>
        <v>0</v>
      </c>
      <c r="AR116" s="37" t="b">
        <f>IFERROR(__xludf.DUMMYFUNCTION("if(isblank(A116),,REGEXMATCH(B116,""^((U ?vs\. ?(U ?D|D ?U))|((D ?U|U ?D) ?vs\. ?U)) *$""))"),FALSE)</f>
        <v>0</v>
      </c>
      <c r="AS116" s="37" t="b">
        <f>IFERROR(__xludf.DUMMYFUNCTION("if(isblank(A116),,REGEXMATCH(B116,""^((D ?I|I ?D) ?vs\. ?(D ?I|I ?D)) *$""))"),FALSE)</f>
        <v>0</v>
      </c>
      <c r="AT116" s="37" t="b">
        <f>IFERROR(__xludf.DUMMYFUNCTION("if(isblank(A116),,REGEXMATCH(B116,""^((D ?I|I ?D) ?vs\. ?(U ?I|I ?U))|((U ?I|I ?U) ?vs\. ?(D ?I|I ?D)) *$""))"),FALSE)</f>
        <v>0</v>
      </c>
      <c r="AU116" s="37" t="b">
        <f>IFERROR(__xludf.DUMMYFUNCTION("if(isblank(A116),,REGEXMATCH(B116,""^((D ?I|I ?D) ?vs\. ?(U ?D|D ?U))|((U ?D|D ?U) ?vs\. ?(D ?I|I ?D)) *$""))"),FALSE)</f>
        <v>0</v>
      </c>
      <c r="AV116" s="37" t="b">
        <f>IFERROR(__xludf.DUMMYFUNCTION("if(isblank(A116),,REGEXMATCH(B116,""^((U ?I|I ?U) ?vs\. ?(U ?I|I ?U)) *$""))"),FALSE)</f>
        <v>0</v>
      </c>
    </row>
    <row r="117" ht="26.25" customHeight="1">
      <c r="A117" s="79" t="str">
        <f>Paper_Textual_Conflict!M117</f>
        <v>D I vs. D I</v>
      </c>
      <c r="B117" s="37" t="str">
        <f>IFERROR(__xludf.DUMMYFUNCTION("if(isblank(A117),,regexextract(REGEXEXTRACT(A117,""^.*""),""^[^(]*""))"),"D I vs. D I")</f>
        <v>D I vs. D I</v>
      </c>
      <c r="C117" s="37" t="b">
        <f>IFERROR(__xludf.DUMMYFUNCTION("if(isblank(A117),,REGEXMATCH(B117,"".*\+.*"") )"),FALSE)</f>
        <v>0</v>
      </c>
      <c r="D117" s="37" t="b">
        <f>IFERROR(__xludf.DUMMYFUNCTION("if(isblank(A117),,REGEXMATCH(B117,"".*vs.*"") )"),TRUE)</f>
        <v>1</v>
      </c>
      <c r="E117" s="37" t="b">
        <f>Paper_Textual_Conflict!H117</f>
        <v>1</v>
      </c>
      <c r="F117" s="37" t="str">
        <f>Paper_Textual_Conflict!Q117</f>
        <v>Java</v>
      </c>
      <c r="G117" s="33">
        <v>117.0</v>
      </c>
      <c r="H117" s="37" t="b">
        <f>IFERROR(__xludf.DUMMYFUNCTION("if(isblank(A117),,REGEXMATCH(B117,""^I *\+ I *$""))"),FALSE)</f>
        <v>0</v>
      </c>
      <c r="I117" s="37" t="b">
        <f>IFERROR(__xludf.DUMMYFUNCTION("if(isblank(A117),,REGEXMATCH(B117,""(^I *\+ D *$)|(^D *\+ I *$)""))"),FALSE)</f>
        <v>0</v>
      </c>
      <c r="J117" s="37" t="b">
        <f>IFERROR(__xludf.DUMMYFUNCTION("if(isblank(A117),,REGEXMATCH(B117,""(^I *\+ U *$)|(^U *\+ I *$)""))"),FALSE)</f>
        <v>0</v>
      </c>
      <c r="K117" s="37" t="b">
        <f>IFERROR(__xludf.DUMMYFUNCTION("if(isblank(A117),,REGEXMATCH(B117,""(^I *\+ N *$)|(^N *\+ I *$)"") )"),FALSE)</f>
        <v>0</v>
      </c>
      <c r="L117" s="37" t="b">
        <f>IFERROR(__xludf.DUMMYFUNCTION("if(isblank(A117),,REGEXMATCH(B117,""^D *\+ D *$""))"),FALSE)</f>
        <v>0</v>
      </c>
      <c r="M117" s="37" t="b">
        <f>IFERROR(__xludf.DUMMYFUNCTION("if(isblank(A117),,REGEXMATCH(B117,""(^U *\+ D *$)|(^D *\+ U *$)""))"),FALSE)</f>
        <v>0</v>
      </c>
      <c r="N117" s="37" t="b">
        <f>IFERROR(__xludf.DUMMYFUNCTION("if(isblank(A117),,REGEXMATCH(B117,""(^N *\+ D *$)|(^D *\+ N *$)""))"),FALSE)</f>
        <v>0</v>
      </c>
      <c r="O117" s="37" t="b">
        <f>IFERROR(__xludf.DUMMYFUNCTION("if(isblank(A117),,REGEXMATCH(B117,""^U *\+ U *$""))"),FALSE)</f>
        <v>0</v>
      </c>
      <c r="P117" s="37" t="b">
        <f>IFERROR(__xludf.DUMMYFUNCTION("if(isblank(A117),,REGEXMATCH(B117,""(^U *\+ N *$)|(^N *\+ U *$)""))"),FALSE)</f>
        <v>0</v>
      </c>
      <c r="Q117" s="37" t="b">
        <f>IFERROR(__xludf.DUMMYFUNCTION("if(isblank(A117),,REGEXMATCH(B117,""^((I ?\+ ?(D ?I|I ?D))|((D ?I|I ?D) ?\+ ?I)) *$""))"),FALSE)</f>
        <v>0</v>
      </c>
      <c r="R117" s="37" t="b">
        <f>IFERROR(__xludf.DUMMYFUNCTION("if(isblank(A117),,REGEXMATCH(B117,""^((D ?\+ ?(D ?I|I ?D))|((D ?I|I ?D) ?\+ ?D)) *$""))"),FALSE)</f>
        <v>0</v>
      </c>
      <c r="S117" s="37" t="b">
        <f>IFERROR(__xludf.DUMMYFUNCTION("if(isblank(A117),,REGEXMATCH(B117,""^((U ?\+ ?(D ?I|I ?D))|((D ?I|I ?D) ?\+ ?U)) *$""))"),FALSE)</f>
        <v>0</v>
      </c>
      <c r="T117" s="37" t="b">
        <f>IFERROR(__xludf.DUMMYFUNCTION("if(isblank(A117),,REGEXMATCH(B117,""^((N ?\+ ?(D ?I|I ?D))|((D ?I|I ?D) ?\+ ?N)) *$""))"),FALSE)</f>
        <v>0</v>
      </c>
      <c r="U117" s="37" t="b">
        <f>IFERROR(__xludf.DUMMYFUNCTION("if(isblank(A117),,REGEXMATCH(B117,""^((I ?\+ ?(U ?I|I ?U))|((I ?U|U ?I) ?\+ ?I)) *$""))"),FALSE)</f>
        <v>0</v>
      </c>
      <c r="V117" s="37" t="b">
        <f>IFERROR(__xludf.DUMMYFUNCTION("if(isblank(A117),,REGEXMATCH(B117,""^((D ?\+ ?(U ?I|I ?U))|((I ?U|U ?I) ?\+ ?D)) *$""))"),FALSE)</f>
        <v>0</v>
      </c>
      <c r="W117" s="37" t="b">
        <f>IFERROR(__xludf.DUMMYFUNCTION("if(isblank(A117),,REGEXMATCH(B117,""^((U ?\+ ?(U ?I|I ?U))|((I ?U|U ?I) ?\+ ?U)) *$""))"),FALSE)</f>
        <v>0</v>
      </c>
      <c r="X117" s="37" t="b">
        <f>IFERROR(__xludf.DUMMYFUNCTION("if(isblank(A117),,REGEXMATCH(B117,""^((N ?\+ ?(U ?I|I ?U))|((I ?U|U ?I) ?\+ ?N)) *$""))"),FALSE)</f>
        <v>0</v>
      </c>
      <c r="Y117" s="37" t="b">
        <f>IFERROR(__xludf.DUMMYFUNCTION("if(isblank(A117),,REGEXMATCH(B117,""^((I ?\+ ?(U ?D|D ?U))|((D ?U|U ?D) ?\+ ?I)) *$""))"),FALSE)</f>
        <v>0</v>
      </c>
      <c r="Z117" s="37" t="b">
        <f>IFERROR(__xludf.DUMMYFUNCTION("if(isblank(A117),,REGEXMATCH(B117,""^((D ?\+ ?(U ?D|D ?U))|((D ?U|U ?D) ?\+ ?D)) *$""))"),FALSE)</f>
        <v>0</v>
      </c>
      <c r="AA117" s="37" t="b">
        <f>IFERROR(__xludf.DUMMYFUNCTION("if(isblank(A117),,REGEXMATCH(B117,""^((U ?\+ ?(U ?D|D ?U))|((D ?U|U ?D) ?\+ ?U)) *$""))"),FALSE)</f>
        <v>0</v>
      </c>
      <c r="AB117" s="37" t="b">
        <f>IFERROR(__xludf.DUMMYFUNCTION("if(isblank(A117),,REGEXMATCH(B117,""^((D ?I|I ?D) ?\+ ?(D ?I|I ?D)) *$""))"),FALSE)</f>
        <v>0</v>
      </c>
      <c r="AC117" s="37" t="b">
        <f>IFERROR(__xludf.DUMMYFUNCTION("if(isblank(A117),,REGEXMATCH(B117,""^((D ?I|I ?D) ?\+ ?(U ?I|I ?U))|((U ?I|I ?U) ?\+ ?(D ?I|I ?D)) *$""))"),FALSE)</f>
        <v>0</v>
      </c>
      <c r="AD117" s="37" t="b">
        <f>IFERROR(__xludf.DUMMYFUNCTION("if(isblank(A117),,REGEXMATCH(B117,""^I *vs\. I *$""))"),FALSE)</f>
        <v>0</v>
      </c>
      <c r="AE117" s="37" t="b">
        <f>IFERROR(__xludf.DUMMYFUNCTION("if(isblank(A117),,REGEXMATCH(B117,""(^I *vs\. D *$)|(^D *vs\. I *$)""))"),FALSE)</f>
        <v>0</v>
      </c>
      <c r="AF117" s="37" t="b">
        <f>IFERROR(__xludf.DUMMYFUNCTION("if(isblank(A117),,REGEXMATCH(B117,""(^I *vs\. U *$)|(^U *vs\. I *$)""))"),FALSE)</f>
        <v>0</v>
      </c>
      <c r="AG117" s="37" t="b">
        <f>IFERROR(__xludf.DUMMYFUNCTION("if(isblank(A117),,REGEXMATCH(B117,""^D *vs\. D *$""))"),FALSE)</f>
        <v>0</v>
      </c>
      <c r="AH117" s="37" t="b">
        <f>IFERROR(__xludf.DUMMYFUNCTION("if(isblank(A117),,REGEXMATCH(B117,""(^U *vs\. D *$)|(^D *vs\. U *$)""))"),FALSE)</f>
        <v>0</v>
      </c>
      <c r="AI117" s="37" t="b">
        <f>IFERROR(__xludf.DUMMYFUNCTION("if(isblank(A117),,REGEXMATCH(B117,""^U *vs\. U *$""))"),FALSE)</f>
        <v>0</v>
      </c>
      <c r="AJ117" s="37" t="b">
        <f>IFERROR(__xludf.DUMMYFUNCTION("if(isblank(A117),,REGEXMATCH(B117,""^((I ?vs\. ?(D ?I|I ?D))|((D ?I|I ?D) ?vs\. ?I)) *$""))"),FALSE)</f>
        <v>0</v>
      </c>
      <c r="AK117" s="37" t="b">
        <f>IFERROR(__xludf.DUMMYFUNCTION("if(isblank(A117),,REGEXMATCH(B117,""^((D ?vs\. ?(D ?I|I ?D))|((D ?I|I ?D) ?vs\. ?D)) *$""))"),FALSE)</f>
        <v>0</v>
      </c>
      <c r="AL117" s="37" t="b">
        <f>IFERROR(__xludf.DUMMYFUNCTION("if(isblank(A117),,REGEXMATCH(B117,""^((U ?vs\. ?(D ?I|I ?D))|((D ?I|I ?D) ?vs\. ?U)) *$""))"),FALSE)</f>
        <v>0</v>
      </c>
      <c r="AM117" s="37" t="b">
        <f>IFERROR(__xludf.DUMMYFUNCTION("if(isblank(A117),,REGEXMATCH(B117,""^((I ?vs\. ?(U ?I|I ?U))|((U ?I|I ?U) ?vs\. ?I)) *$""))"),FALSE)</f>
        <v>0</v>
      </c>
      <c r="AN117" s="37" t="b">
        <f>IFERROR(__xludf.DUMMYFUNCTION("if(isblank(A117),,REGEXMATCH(B117,""^((D ?vs\. ?(U ?I|I ?U))|((U ?I|I ?U) ?vs\. ?D)) *$""))"),FALSE)</f>
        <v>0</v>
      </c>
      <c r="AO117" s="37" t="b">
        <f>IFERROR(__xludf.DUMMYFUNCTION("if(isblank(A117),,REGEXMATCH(B117,""^((U ?vs\. ?(U ?I|I ?U))|((U ?I|I ?U) ?vs\. ?U)) *$""))"),FALSE)</f>
        <v>0</v>
      </c>
      <c r="AP117" s="37" t="b">
        <f>IFERROR(__xludf.DUMMYFUNCTION("if(isblank(A117),,REGEXMATCH(B117,""^((I ?vs\. ?(U ?D|D ?U))|((D ?U|U ?D) ?vs\. ?I)) *$""))"),FALSE)</f>
        <v>0</v>
      </c>
      <c r="AQ117" s="37" t="b">
        <f>IFERROR(__xludf.DUMMYFUNCTION("if(isblank(A117),,REGEXMATCH(B117,""^((D ?vs\. ?(U ?D|D ?U))|((D ?U|U ?D) ?vs\. ?D)) *$""))"),FALSE)</f>
        <v>0</v>
      </c>
      <c r="AR117" s="37" t="b">
        <f>IFERROR(__xludf.DUMMYFUNCTION("if(isblank(A117),,REGEXMATCH(B117,""^((U ?vs\. ?(U ?D|D ?U))|((D ?U|U ?D) ?vs\. ?U)) *$""))"),FALSE)</f>
        <v>0</v>
      </c>
      <c r="AS117" s="37" t="b">
        <f>IFERROR(__xludf.DUMMYFUNCTION("if(isblank(A117),,REGEXMATCH(B117,""^((D ?I|I ?D) ?vs\. ?(D ?I|I ?D)) *$""))"),TRUE)</f>
        <v>1</v>
      </c>
      <c r="AT117" s="37" t="b">
        <f>IFERROR(__xludf.DUMMYFUNCTION("if(isblank(A117),,REGEXMATCH(B117,""^((D ?I|I ?D) ?vs\. ?(U ?I|I ?U))|((U ?I|I ?U) ?vs\. ?(D ?I|I ?D)) *$""))"),FALSE)</f>
        <v>0</v>
      </c>
      <c r="AU117" s="37" t="b">
        <f>IFERROR(__xludf.DUMMYFUNCTION("if(isblank(A117),,REGEXMATCH(B117,""^((D ?I|I ?D) ?vs\. ?(U ?D|D ?U))|((U ?D|D ?U) ?vs\. ?(D ?I|I ?D)) *$""))"),FALSE)</f>
        <v>0</v>
      </c>
      <c r="AV117" s="37" t="b">
        <f>IFERROR(__xludf.DUMMYFUNCTION("if(isblank(A117),,REGEXMATCH(B117,""^((U ?I|I ?U) ?vs\. ?(U ?I|I ?U)) *$""))"),FALSE)</f>
        <v>0</v>
      </c>
    </row>
    <row r="118" ht="26.25" customHeight="1">
      <c r="A118" s="79" t="str">
        <f>Paper_Textual_Conflict!M118</f>
        <v>D I vs. D I
Origin(D I vs. U)</v>
      </c>
      <c r="B118" s="37" t="str">
        <f>IFERROR(__xludf.DUMMYFUNCTION("if(isblank(A118),,regexextract(REGEXEXTRACT(A118,""^.*""),""^[^(]*""))"),"D I vs. D I")</f>
        <v>D I vs. D I</v>
      </c>
      <c r="C118" s="37" t="b">
        <f>IFERROR(__xludf.DUMMYFUNCTION("if(isblank(A118),,REGEXMATCH(B118,"".*\+.*"") )"),FALSE)</f>
        <v>0</v>
      </c>
      <c r="D118" s="37" t="b">
        <f>IFERROR(__xludf.DUMMYFUNCTION("if(isblank(A118),,REGEXMATCH(B118,"".*vs.*"") )"),TRUE)</f>
        <v>1</v>
      </c>
      <c r="E118" s="37" t="b">
        <f>Paper_Textual_Conflict!H118</f>
        <v>1</v>
      </c>
      <c r="F118" s="37" t="str">
        <f>Paper_Textual_Conflict!Q118</f>
        <v>Java</v>
      </c>
      <c r="G118" s="33">
        <v>118.0</v>
      </c>
      <c r="H118" s="37" t="b">
        <f>IFERROR(__xludf.DUMMYFUNCTION("if(isblank(A118),,REGEXMATCH(B118,""^I *\+ I *$""))"),FALSE)</f>
        <v>0</v>
      </c>
      <c r="I118" s="37" t="b">
        <f>IFERROR(__xludf.DUMMYFUNCTION("if(isblank(A118),,REGEXMATCH(B118,""(^I *\+ D *$)|(^D *\+ I *$)""))"),FALSE)</f>
        <v>0</v>
      </c>
      <c r="J118" s="37" t="b">
        <f>IFERROR(__xludf.DUMMYFUNCTION("if(isblank(A118),,REGEXMATCH(B118,""(^I *\+ U *$)|(^U *\+ I *$)""))"),FALSE)</f>
        <v>0</v>
      </c>
      <c r="K118" s="37" t="b">
        <f>IFERROR(__xludf.DUMMYFUNCTION("if(isblank(A118),,REGEXMATCH(B118,""(^I *\+ N *$)|(^N *\+ I *$)"") )"),FALSE)</f>
        <v>0</v>
      </c>
      <c r="L118" s="37" t="b">
        <f>IFERROR(__xludf.DUMMYFUNCTION("if(isblank(A118),,REGEXMATCH(B118,""^D *\+ D *$""))"),FALSE)</f>
        <v>0</v>
      </c>
      <c r="M118" s="37" t="b">
        <f>IFERROR(__xludf.DUMMYFUNCTION("if(isblank(A118),,REGEXMATCH(B118,""(^U *\+ D *$)|(^D *\+ U *$)""))"),FALSE)</f>
        <v>0</v>
      </c>
      <c r="N118" s="37" t="b">
        <f>IFERROR(__xludf.DUMMYFUNCTION("if(isblank(A118),,REGEXMATCH(B118,""(^N *\+ D *$)|(^D *\+ N *$)""))"),FALSE)</f>
        <v>0</v>
      </c>
      <c r="O118" s="37" t="b">
        <f>IFERROR(__xludf.DUMMYFUNCTION("if(isblank(A118),,REGEXMATCH(B118,""^U *\+ U *$""))"),FALSE)</f>
        <v>0</v>
      </c>
      <c r="P118" s="37" t="b">
        <f>IFERROR(__xludf.DUMMYFUNCTION("if(isblank(A118),,REGEXMATCH(B118,""(^U *\+ N *$)|(^N *\+ U *$)""))"),FALSE)</f>
        <v>0</v>
      </c>
      <c r="Q118" s="37" t="b">
        <f>IFERROR(__xludf.DUMMYFUNCTION("if(isblank(A118),,REGEXMATCH(B118,""^((I ?\+ ?(D ?I|I ?D))|((D ?I|I ?D) ?\+ ?I)) *$""))"),FALSE)</f>
        <v>0</v>
      </c>
      <c r="R118" s="37" t="b">
        <f>IFERROR(__xludf.DUMMYFUNCTION("if(isblank(A118),,REGEXMATCH(B118,""^((D ?\+ ?(D ?I|I ?D))|((D ?I|I ?D) ?\+ ?D)) *$""))"),FALSE)</f>
        <v>0</v>
      </c>
      <c r="S118" s="37" t="b">
        <f>IFERROR(__xludf.DUMMYFUNCTION("if(isblank(A118),,REGEXMATCH(B118,""^((U ?\+ ?(D ?I|I ?D))|((D ?I|I ?D) ?\+ ?U)) *$""))"),FALSE)</f>
        <v>0</v>
      </c>
      <c r="T118" s="37" t="b">
        <f>IFERROR(__xludf.DUMMYFUNCTION("if(isblank(A118),,REGEXMATCH(B118,""^((N ?\+ ?(D ?I|I ?D))|((D ?I|I ?D) ?\+ ?N)) *$""))"),FALSE)</f>
        <v>0</v>
      </c>
      <c r="U118" s="37" t="b">
        <f>IFERROR(__xludf.DUMMYFUNCTION("if(isblank(A118),,REGEXMATCH(B118,""^((I ?\+ ?(U ?I|I ?U))|((I ?U|U ?I) ?\+ ?I)) *$""))"),FALSE)</f>
        <v>0</v>
      </c>
      <c r="V118" s="37" t="b">
        <f>IFERROR(__xludf.DUMMYFUNCTION("if(isblank(A118),,REGEXMATCH(B118,""^((D ?\+ ?(U ?I|I ?U))|((I ?U|U ?I) ?\+ ?D)) *$""))"),FALSE)</f>
        <v>0</v>
      </c>
      <c r="W118" s="37" t="b">
        <f>IFERROR(__xludf.DUMMYFUNCTION("if(isblank(A118),,REGEXMATCH(B118,""^((U ?\+ ?(U ?I|I ?U))|((I ?U|U ?I) ?\+ ?U)) *$""))"),FALSE)</f>
        <v>0</v>
      </c>
      <c r="X118" s="37" t="b">
        <f>IFERROR(__xludf.DUMMYFUNCTION("if(isblank(A118),,REGEXMATCH(B118,""^((N ?\+ ?(U ?I|I ?U))|((I ?U|U ?I) ?\+ ?N)) *$""))"),FALSE)</f>
        <v>0</v>
      </c>
      <c r="Y118" s="37" t="b">
        <f>IFERROR(__xludf.DUMMYFUNCTION("if(isblank(A118),,REGEXMATCH(B118,""^((I ?\+ ?(U ?D|D ?U))|((D ?U|U ?D) ?\+ ?I)) *$""))"),FALSE)</f>
        <v>0</v>
      </c>
      <c r="Z118" s="37" t="b">
        <f>IFERROR(__xludf.DUMMYFUNCTION("if(isblank(A118),,REGEXMATCH(B118,""^((D ?\+ ?(U ?D|D ?U))|((D ?U|U ?D) ?\+ ?D)) *$""))"),FALSE)</f>
        <v>0</v>
      </c>
      <c r="AA118" s="37" t="b">
        <f>IFERROR(__xludf.DUMMYFUNCTION("if(isblank(A118),,REGEXMATCH(B118,""^((U ?\+ ?(U ?D|D ?U))|((D ?U|U ?D) ?\+ ?U)) *$""))"),FALSE)</f>
        <v>0</v>
      </c>
      <c r="AB118" s="37" t="b">
        <f>IFERROR(__xludf.DUMMYFUNCTION("if(isblank(A118),,REGEXMATCH(B118,""^((D ?I|I ?D) ?\+ ?(D ?I|I ?D)) *$""))"),FALSE)</f>
        <v>0</v>
      </c>
      <c r="AC118" s="37" t="b">
        <f>IFERROR(__xludf.DUMMYFUNCTION("if(isblank(A118),,REGEXMATCH(B118,""^((D ?I|I ?D) ?\+ ?(U ?I|I ?U))|((U ?I|I ?U) ?\+ ?(D ?I|I ?D)) *$""))"),FALSE)</f>
        <v>0</v>
      </c>
      <c r="AD118" s="37" t="b">
        <f>IFERROR(__xludf.DUMMYFUNCTION("if(isblank(A118),,REGEXMATCH(B118,""^I *vs\. I *$""))"),FALSE)</f>
        <v>0</v>
      </c>
      <c r="AE118" s="37" t="b">
        <f>IFERROR(__xludf.DUMMYFUNCTION("if(isblank(A118),,REGEXMATCH(B118,""(^I *vs\. D *$)|(^D *vs\. I *$)""))"),FALSE)</f>
        <v>0</v>
      </c>
      <c r="AF118" s="37" t="b">
        <f>IFERROR(__xludf.DUMMYFUNCTION("if(isblank(A118),,REGEXMATCH(B118,""(^I *vs\. U *$)|(^U *vs\. I *$)""))"),FALSE)</f>
        <v>0</v>
      </c>
      <c r="AG118" s="37" t="b">
        <f>IFERROR(__xludf.DUMMYFUNCTION("if(isblank(A118),,REGEXMATCH(B118,""^D *vs\. D *$""))"),FALSE)</f>
        <v>0</v>
      </c>
      <c r="AH118" s="37" t="b">
        <f>IFERROR(__xludf.DUMMYFUNCTION("if(isblank(A118),,REGEXMATCH(B118,""(^U *vs\. D *$)|(^D *vs\. U *$)""))"),FALSE)</f>
        <v>0</v>
      </c>
      <c r="AI118" s="37" t="b">
        <f>IFERROR(__xludf.DUMMYFUNCTION("if(isblank(A118),,REGEXMATCH(B118,""^U *vs\. U *$""))"),FALSE)</f>
        <v>0</v>
      </c>
      <c r="AJ118" s="37" t="b">
        <f>IFERROR(__xludf.DUMMYFUNCTION("if(isblank(A118),,REGEXMATCH(B118,""^((I ?vs\. ?(D ?I|I ?D))|((D ?I|I ?D) ?vs\. ?I)) *$""))"),FALSE)</f>
        <v>0</v>
      </c>
      <c r="AK118" s="37" t="b">
        <f>IFERROR(__xludf.DUMMYFUNCTION("if(isblank(A118),,REGEXMATCH(B118,""^((D ?vs\. ?(D ?I|I ?D))|((D ?I|I ?D) ?vs\. ?D)) *$""))"),FALSE)</f>
        <v>0</v>
      </c>
      <c r="AL118" s="37" t="b">
        <f>IFERROR(__xludf.DUMMYFUNCTION("if(isblank(A118),,REGEXMATCH(B118,""^((U ?vs\. ?(D ?I|I ?D))|((D ?I|I ?D) ?vs\. ?U)) *$""))"),FALSE)</f>
        <v>0</v>
      </c>
      <c r="AM118" s="37" t="b">
        <f>IFERROR(__xludf.DUMMYFUNCTION("if(isblank(A118),,REGEXMATCH(B118,""^((I ?vs\. ?(U ?I|I ?U))|((U ?I|I ?U) ?vs\. ?I)) *$""))"),FALSE)</f>
        <v>0</v>
      </c>
      <c r="AN118" s="37" t="b">
        <f>IFERROR(__xludf.DUMMYFUNCTION("if(isblank(A118),,REGEXMATCH(B118,""^((D ?vs\. ?(U ?I|I ?U))|((U ?I|I ?U) ?vs\. ?D)) *$""))"),FALSE)</f>
        <v>0</v>
      </c>
      <c r="AO118" s="37" t="b">
        <f>IFERROR(__xludf.DUMMYFUNCTION("if(isblank(A118),,REGEXMATCH(B118,""^((U ?vs\. ?(U ?I|I ?U))|((U ?I|I ?U) ?vs\. ?U)) *$""))"),FALSE)</f>
        <v>0</v>
      </c>
      <c r="AP118" s="37" t="b">
        <f>IFERROR(__xludf.DUMMYFUNCTION("if(isblank(A118),,REGEXMATCH(B118,""^((I ?vs\. ?(U ?D|D ?U))|((D ?U|U ?D) ?vs\. ?I)) *$""))"),FALSE)</f>
        <v>0</v>
      </c>
      <c r="AQ118" s="37" t="b">
        <f>IFERROR(__xludf.DUMMYFUNCTION("if(isblank(A118),,REGEXMATCH(B118,""^((D ?vs\. ?(U ?D|D ?U))|((D ?U|U ?D) ?vs\. ?D)) *$""))"),FALSE)</f>
        <v>0</v>
      </c>
      <c r="AR118" s="37" t="b">
        <f>IFERROR(__xludf.DUMMYFUNCTION("if(isblank(A118),,REGEXMATCH(B118,""^((U ?vs\. ?(U ?D|D ?U))|((D ?U|U ?D) ?vs\. ?U)) *$""))"),FALSE)</f>
        <v>0</v>
      </c>
      <c r="AS118" s="37" t="b">
        <f>IFERROR(__xludf.DUMMYFUNCTION("if(isblank(A118),,REGEXMATCH(B118,""^((D ?I|I ?D) ?vs\. ?(D ?I|I ?D)) *$""))"),TRUE)</f>
        <v>1</v>
      </c>
      <c r="AT118" s="37" t="b">
        <f>IFERROR(__xludf.DUMMYFUNCTION("if(isblank(A118),,REGEXMATCH(B118,""^((D ?I|I ?D) ?vs\. ?(U ?I|I ?U))|((U ?I|I ?U) ?vs\. ?(D ?I|I ?D)) *$""))"),FALSE)</f>
        <v>0</v>
      </c>
      <c r="AU118" s="37" t="b">
        <f>IFERROR(__xludf.DUMMYFUNCTION("if(isblank(A118),,REGEXMATCH(B118,""^((D ?I|I ?D) ?vs\. ?(U ?D|D ?U))|((U ?D|D ?U) ?vs\. ?(D ?I|I ?D)) *$""))"),FALSE)</f>
        <v>0</v>
      </c>
      <c r="AV118" s="37" t="b">
        <f>IFERROR(__xludf.DUMMYFUNCTION("if(isblank(A118),,REGEXMATCH(B118,""^((U ?I|I ?U) ?vs\. ?(U ?I|I ?U)) *$""))"),FALSE)</f>
        <v>0</v>
      </c>
    </row>
    <row r="119" ht="26.25" customHeight="1">
      <c r="A119" s="79" t="str">
        <f>Paper_Textual_Conflict!M119</f>
        <v>D vs. U (xml, version no)</v>
      </c>
      <c r="B119" s="37" t="str">
        <f>IFERROR(__xludf.DUMMYFUNCTION("if(isblank(A119),,regexextract(REGEXEXTRACT(A119,""^.*""),""^[^(]*""))"),"D vs. U ")</f>
        <v>D vs. U </v>
      </c>
      <c r="C119" s="37" t="b">
        <f>IFERROR(__xludf.DUMMYFUNCTION("if(isblank(A119),,REGEXMATCH(B119,"".*\+.*"") )"),FALSE)</f>
        <v>0</v>
      </c>
      <c r="D119" s="37" t="b">
        <f>IFERROR(__xludf.DUMMYFUNCTION("if(isblank(A119),,REGEXMATCH(B119,"".*vs.*"") )"),TRUE)</f>
        <v>1</v>
      </c>
      <c r="E119" s="37" t="b">
        <f>Paper_Textual_Conflict!H119</f>
        <v>1</v>
      </c>
      <c r="F119" s="37" t="str">
        <f>Paper_Textual_Conflict!Q119</f>
        <v>Non-Java</v>
      </c>
      <c r="G119" s="33">
        <v>119.0</v>
      </c>
      <c r="H119" s="37" t="b">
        <f>IFERROR(__xludf.DUMMYFUNCTION("if(isblank(A119),,REGEXMATCH(B119,""^I *\+ I *$""))"),FALSE)</f>
        <v>0</v>
      </c>
      <c r="I119" s="37" t="b">
        <f>IFERROR(__xludf.DUMMYFUNCTION("if(isblank(A119),,REGEXMATCH(B119,""(^I *\+ D *$)|(^D *\+ I *$)""))"),FALSE)</f>
        <v>0</v>
      </c>
      <c r="J119" s="37" t="b">
        <f>IFERROR(__xludf.DUMMYFUNCTION("if(isblank(A119),,REGEXMATCH(B119,""(^I *\+ U *$)|(^U *\+ I *$)""))"),FALSE)</f>
        <v>0</v>
      </c>
      <c r="K119" s="37" t="b">
        <f>IFERROR(__xludf.DUMMYFUNCTION("if(isblank(A119),,REGEXMATCH(B119,""(^I *\+ N *$)|(^N *\+ I *$)"") )"),FALSE)</f>
        <v>0</v>
      </c>
      <c r="L119" s="37" t="b">
        <f>IFERROR(__xludf.DUMMYFUNCTION("if(isblank(A119),,REGEXMATCH(B119,""^D *\+ D *$""))"),FALSE)</f>
        <v>0</v>
      </c>
      <c r="M119" s="37" t="b">
        <f>IFERROR(__xludf.DUMMYFUNCTION("if(isblank(A119),,REGEXMATCH(B119,""(^U *\+ D *$)|(^D *\+ U *$)""))"),FALSE)</f>
        <v>0</v>
      </c>
      <c r="N119" s="37" t="b">
        <f>IFERROR(__xludf.DUMMYFUNCTION("if(isblank(A119),,REGEXMATCH(B119,""(^N *\+ D *$)|(^D *\+ N *$)""))"),FALSE)</f>
        <v>0</v>
      </c>
      <c r="O119" s="37" t="b">
        <f>IFERROR(__xludf.DUMMYFUNCTION("if(isblank(A119),,REGEXMATCH(B119,""^U *\+ U *$""))"),FALSE)</f>
        <v>0</v>
      </c>
      <c r="P119" s="37" t="b">
        <f>IFERROR(__xludf.DUMMYFUNCTION("if(isblank(A119),,REGEXMATCH(B119,""(^U *\+ N *$)|(^N *\+ U *$)""))"),FALSE)</f>
        <v>0</v>
      </c>
      <c r="Q119" s="37" t="b">
        <f>IFERROR(__xludf.DUMMYFUNCTION("if(isblank(A119),,REGEXMATCH(B119,""^((I ?\+ ?(D ?I|I ?D))|((D ?I|I ?D) ?\+ ?I)) *$""))"),FALSE)</f>
        <v>0</v>
      </c>
      <c r="R119" s="37" t="b">
        <f>IFERROR(__xludf.DUMMYFUNCTION("if(isblank(A119),,REGEXMATCH(B119,""^((D ?\+ ?(D ?I|I ?D))|((D ?I|I ?D) ?\+ ?D)) *$""))"),FALSE)</f>
        <v>0</v>
      </c>
      <c r="S119" s="37" t="b">
        <f>IFERROR(__xludf.DUMMYFUNCTION("if(isblank(A119),,REGEXMATCH(B119,""^((U ?\+ ?(D ?I|I ?D))|((D ?I|I ?D) ?\+ ?U)) *$""))"),FALSE)</f>
        <v>0</v>
      </c>
      <c r="T119" s="37" t="b">
        <f>IFERROR(__xludf.DUMMYFUNCTION("if(isblank(A119),,REGEXMATCH(B119,""^((N ?\+ ?(D ?I|I ?D))|((D ?I|I ?D) ?\+ ?N)) *$""))"),FALSE)</f>
        <v>0</v>
      </c>
      <c r="U119" s="37" t="b">
        <f>IFERROR(__xludf.DUMMYFUNCTION("if(isblank(A119),,REGEXMATCH(B119,""^((I ?\+ ?(U ?I|I ?U))|((I ?U|U ?I) ?\+ ?I)) *$""))"),FALSE)</f>
        <v>0</v>
      </c>
      <c r="V119" s="37" t="b">
        <f>IFERROR(__xludf.DUMMYFUNCTION("if(isblank(A119),,REGEXMATCH(B119,""^((D ?\+ ?(U ?I|I ?U))|((I ?U|U ?I) ?\+ ?D)) *$""))"),FALSE)</f>
        <v>0</v>
      </c>
      <c r="W119" s="37" t="b">
        <f>IFERROR(__xludf.DUMMYFUNCTION("if(isblank(A119),,REGEXMATCH(B119,""^((U ?\+ ?(U ?I|I ?U))|((I ?U|U ?I) ?\+ ?U)) *$""))"),FALSE)</f>
        <v>0</v>
      </c>
      <c r="X119" s="37" t="b">
        <f>IFERROR(__xludf.DUMMYFUNCTION("if(isblank(A119),,REGEXMATCH(B119,""^((N ?\+ ?(U ?I|I ?U))|((I ?U|U ?I) ?\+ ?N)) *$""))"),FALSE)</f>
        <v>0</v>
      </c>
      <c r="Y119" s="37" t="b">
        <f>IFERROR(__xludf.DUMMYFUNCTION("if(isblank(A119),,REGEXMATCH(B119,""^((I ?\+ ?(U ?D|D ?U))|((D ?U|U ?D) ?\+ ?I)) *$""))"),FALSE)</f>
        <v>0</v>
      </c>
      <c r="Z119" s="37" t="b">
        <f>IFERROR(__xludf.DUMMYFUNCTION("if(isblank(A119),,REGEXMATCH(B119,""^((D ?\+ ?(U ?D|D ?U))|((D ?U|U ?D) ?\+ ?D)) *$""))"),FALSE)</f>
        <v>0</v>
      </c>
      <c r="AA119" s="37" t="b">
        <f>IFERROR(__xludf.DUMMYFUNCTION("if(isblank(A119),,REGEXMATCH(B119,""^((U ?\+ ?(U ?D|D ?U))|((D ?U|U ?D) ?\+ ?U)) *$""))"),FALSE)</f>
        <v>0</v>
      </c>
      <c r="AB119" s="37" t="b">
        <f>IFERROR(__xludf.DUMMYFUNCTION("if(isblank(A119),,REGEXMATCH(B119,""^((D ?I|I ?D) ?\+ ?(D ?I|I ?D)) *$""))"),FALSE)</f>
        <v>0</v>
      </c>
      <c r="AC119" s="37" t="b">
        <f>IFERROR(__xludf.DUMMYFUNCTION("if(isblank(A119),,REGEXMATCH(B119,""^((D ?I|I ?D) ?\+ ?(U ?I|I ?U))|((U ?I|I ?U) ?\+ ?(D ?I|I ?D)) *$""))"),FALSE)</f>
        <v>0</v>
      </c>
      <c r="AD119" s="37" t="b">
        <f>IFERROR(__xludf.DUMMYFUNCTION("if(isblank(A119),,REGEXMATCH(B119,""^I *vs\. I *$""))"),FALSE)</f>
        <v>0</v>
      </c>
      <c r="AE119" s="37" t="b">
        <f>IFERROR(__xludf.DUMMYFUNCTION("if(isblank(A119),,REGEXMATCH(B119,""(^I *vs\. D *$)|(^D *vs\. I *$)""))"),FALSE)</f>
        <v>0</v>
      </c>
      <c r="AF119" s="37" t="b">
        <f>IFERROR(__xludf.DUMMYFUNCTION("if(isblank(A119),,REGEXMATCH(B119,""(^I *vs\. U *$)|(^U *vs\. I *$)""))"),FALSE)</f>
        <v>0</v>
      </c>
      <c r="AG119" s="37" t="b">
        <f>IFERROR(__xludf.DUMMYFUNCTION("if(isblank(A119),,REGEXMATCH(B119,""^D *vs\. D *$""))"),FALSE)</f>
        <v>0</v>
      </c>
      <c r="AH119" s="37" t="b">
        <f>IFERROR(__xludf.DUMMYFUNCTION("if(isblank(A119),,REGEXMATCH(B119,""(^U *vs\. D *$)|(^D *vs\. U *$)""))"),TRUE)</f>
        <v>1</v>
      </c>
      <c r="AI119" s="37" t="b">
        <f>IFERROR(__xludf.DUMMYFUNCTION("if(isblank(A119),,REGEXMATCH(B119,""^U *vs\. U *$""))"),FALSE)</f>
        <v>0</v>
      </c>
      <c r="AJ119" s="37" t="b">
        <f>IFERROR(__xludf.DUMMYFUNCTION("if(isblank(A119),,REGEXMATCH(B119,""^((I ?vs\. ?(D ?I|I ?D))|((D ?I|I ?D) ?vs\. ?I)) *$""))"),FALSE)</f>
        <v>0</v>
      </c>
      <c r="AK119" s="37" t="b">
        <f>IFERROR(__xludf.DUMMYFUNCTION("if(isblank(A119),,REGEXMATCH(B119,""^((D ?vs\. ?(D ?I|I ?D))|((D ?I|I ?D) ?vs\. ?D)) *$""))"),FALSE)</f>
        <v>0</v>
      </c>
      <c r="AL119" s="37" t="b">
        <f>IFERROR(__xludf.DUMMYFUNCTION("if(isblank(A119),,REGEXMATCH(B119,""^((U ?vs\. ?(D ?I|I ?D))|((D ?I|I ?D) ?vs\. ?U)) *$""))"),FALSE)</f>
        <v>0</v>
      </c>
      <c r="AM119" s="37" t="b">
        <f>IFERROR(__xludf.DUMMYFUNCTION("if(isblank(A119),,REGEXMATCH(B119,""^((I ?vs\. ?(U ?I|I ?U))|((U ?I|I ?U) ?vs\. ?I)) *$""))"),FALSE)</f>
        <v>0</v>
      </c>
      <c r="AN119" s="37" t="b">
        <f>IFERROR(__xludf.DUMMYFUNCTION("if(isblank(A119),,REGEXMATCH(B119,""^((D ?vs\. ?(U ?I|I ?U))|((U ?I|I ?U) ?vs\. ?D)) *$""))"),FALSE)</f>
        <v>0</v>
      </c>
      <c r="AO119" s="37" t="b">
        <f>IFERROR(__xludf.DUMMYFUNCTION("if(isblank(A119),,REGEXMATCH(B119,""^((U ?vs\. ?(U ?I|I ?U))|((U ?I|I ?U) ?vs\. ?U)) *$""))"),FALSE)</f>
        <v>0</v>
      </c>
      <c r="AP119" s="37" t="b">
        <f>IFERROR(__xludf.DUMMYFUNCTION("if(isblank(A119),,REGEXMATCH(B119,""^((I ?vs\. ?(U ?D|D ?U))|((D ?U|U ?D) ?vs\. ?I)) *$""))"),FALSE)</f>
        <v>0</v>
      </c>
      <c r="AQ119" s="37" t="b">
        <f>IFERROR(__xludf.DUMMYFUNCTION("if(isblank(A119),,REGEXMATCH(B119,""^((D ?vs\. ?(U ?D|D ?U))|((D ?U|U ?D) ?vs\. ?D)) *$""))"),FALSE)</f>
        <v>0</v>
      </c>
      <c r="AR119" s="37" t="b">
        <f>IFERROR(__xludf.DUMMYFUNCTION("if(isblank(A119),,REGEXMATCH(B119,""^((U ?vs\. ?(U ?D|D ?U))|((D ?U|U ?D) ?vs\. ?U)) *$""))"),FALSE)</f>
        <v>0</v>
      </c>
      <c r="AS119" s="37" t="b">
        <f>IFERROR(__xludf.DUMMYFUNCTION("if(isblank(A119),,REGEXMATCH(B119,""^((D ?I|I ?D) ?vs\. ?(D ?I|I ?D)) *$""))"),FALSE)</f>
        <v>0</v>
      </c>
      <c r="AT119" s="37" t="b">
        <f>IFERROR(__xludf.DUMMYFUNCTION("if(isblank(A119),,REGEXMATCH(B119,""^((D ?I|I ?D) ?vs\. ?(U ?I|I ?U))|((U ?I|I ?U) ?vs\. ?(D ?I|I ?D)) *$""))"),FALSE)</f>
        <v>0</v>
      </c>
      <c r="AU119" s="37" t="b">
        <f>IFERROR(__xludf.DUMMYFUNCTION("if(isblank(A119),,REGEXMATCH(B119,""^((D ?I|I ?D) ?vs\. ?(U ?D|D ?U))|((U ?D|D ?U) ?vs\. ?(D ?I|I ?D)) *$""))"),FALSE)</f>
        <v>0</v>
      </c>
      <c r="AV119" s="37" t="b">
        <f>IFERROR(__xludf.DUMMYFUNCTION("if(isblank(A119),,REGEXMATCH(B119,""^((U ?I|I ?U) ?vs\. ?(U ?I|I ?U)) *$""))"),FALSE)</f>
        <v>0</v>
      </c>
    </row>
    <row r="120" ht="26.25" customHeight="1">
      <c r="A120" s="79" t="str">
        <f>Paper_Textual_Conflict!M120</f>
        <v>U vs. U I</v>
      </c>
      <c r="B120" s="37" t="str">
        <f>IFERROR(__xludf.DUMMYFUNCTION("if(isblank(A120),,regexextract(REGEXEXTRACT(A120,""^.*""),""^[^(]*""))"),"U vs. U I")</f>
        <v>U vs. U I</v>
      </c>
      <c r="C120" s="37" t="b">
        <f>IFERROR(__xludf.DUMMYFUNCTION("if(isblank(A120),,REGEXMATCH(B120,"".*\+.*"") )"),FALSE)</f>
        <v>0</v>
      </c>
      <c r="D120" s="37" t="b">
        <f>IFERROR(__xludf.DUMMYFUNCTION("if(isblank(A120),,REGEXMATCH(B120,"".*vs.*"") )"),TRUE)</f>
        <v>1</v>
      </c>
      <c r="E120" s="37" t="b">
        <f>Paper_Textual_Conflict!H120</f>
        <v>1</v>
      </c>
      <c r="F120" s="37" t="str">
        <f>Paper_Textual_Conflict!Q120</f>
        <v>Non-Java</v>
      </c>
      <c r="G120" s="33">
        <v>120.0</v>
      </c>
      <c r="H120" s="37" t="b">
        <f>IFERROR(__xludf.DUMMYFUNCTION("if(isblank(A120),,REGEXMATCH(B120,""^I *\+ I *$""))"),FALSE)</f>
        <v>0</v>
      </c>
      <c r="I120" s="37" t="b">
        <f>IFERROR(__xludf.DUMMYFUNCTION("if(isblank(A120),,REGEXMATCH(B120,""(^I *\+ D *$)|(^D *\+ I *$)""))"),FALSE)</f>
        <v>0</v>
      </c>
      <c r="J120" s="37" t="b">
        <f>IFERROR(__xludf.DUMMYFUNCTION("if(isblank(A120),,REGEXMATCH(B120,""(^I *\+ U *$)|(^U *\+ I *$)""))"),FALSE)</f>
        <v>0</v>
      </c>
      <c r="K120" s="37" t="b">
        <f>IFERROR(__xludf.DUMMYFUNCTION("if(isblank(A120),,REGEXMATCH(B120,""(^I *\+ N *$)|(^N *\+ I *$)"") )"),FALSE)</f>
        <v>0</v>
      </c>
      <c r="L120" s="37" t="b">
        <f>IFERROR(__xludf.DUMMYFUNCTION("if(isblank(A120),,REGEXMATCH(B120,""^D *\+ D *$""))"),FALSE)</f>
        <v>0</v>
      </c>
      <c r="M120" s="37" t="b">
        <f>IFERROR(__xludf.DUMMYFUNCTION("if(isblank(A120),,REGEXMATCH(B120,""(^U *\+ D *$)|(^D *\+ U *$)""))"),FALSE)</f>
        <v>0</v>
      </c>
      <c r="N120" s="37" t="b">
        <f>IFERROR(__xludf.DUMMYFUNCTION("if(isblank(A120),,REGEXMATCH(B120,""(^N *\+ D *$)|(^D *\+ N *$)""))"),FALSE)</f>
        <v>0</v>
      </c>
      <c r="O120" s="37" t="b">
        <f>IFERROR(__xludf.DUMMYFUNCTION("if(isblank(A120),,REGEXMATCH(B120,""^U *\+ U *$""))"),FALSE)</f>
        <v>0</v>
      </c>
      <c r="P120" s="37" t="b">
        <f>IFERROR(__xludf.DUMMYFUNCTION("if(isblank(A120),,REGEXMATCH(B120,""(^U *\+ N *$)|(^N *\+ U *$)""))"),FALSE)</f>
        <v>0</v>
      </c>
      <c r="Q120" s="37" t="b">
        <f>IFERROR(__xludf.DUMMYFUNCTION("if(isblank(A120),,REGEXMATCH(B120,""^((I ?\+ ?(D ?I|I ?D))|((D ?I|I ?D) ?\+ ?I)) *$""))"),FALSE)</f>
        <v>0</v>
      </c>
      <c r="R120" s="37" t="b">
        <f>IFERROR(__xludf.DUMMYFUNCTION("if(isblank(A120),,REGEXMATCH(B120,""^((D ?\+ ?(D ?I|I ?D))|((D ?I|I ?D) ?\+ ?D)) *$""))"),FALSE)</f>
        <v>0</v>
      </c>
      <c r="S120" s="37" t="b">
        <f>IFERROR(__xludf.DUMMYFUNCTION("if(isblank(A120),,REGEXMATCH(B120,""^((U ?\+ ?(D ?I|I ?D))|((D ?I|I ?D) ?\+ ?U)) *$""))"),FALSE)</f>
        <v>0</v>
      </c>
      <c r="T120" s="37" t="b">
        <f>IFERROR(__xludf.DUMMYFUNCTION("if(isblank(A120),,REGEXMATCH(B120,""^((N ?\+ ?(D ?I|I ?D))|((D ?I|I ?D) ?\+ ?N)) *$""))"),FALSE)</f>
        <v>0</v>
      </c>
      <c r="U120" s="37" t="b">
        <f>IFERROR(__xludf.DUMMYFUNCTION("if(isblank(A120),,REGEXMATCH(B120,""^((I ?\+ ?(U ?I|I ?U))|((I ?U|U ?I) ?\+ ?I)) *$""))"),FALSE)</f>
        <v>0</v>
      </c>
      <c r="V120" s="37" t="b">
        <f>IFERROR(__xludf.DUMMYFUNCTION("if(isblank(A120),,REGEXMATCH(B120,""^((D ?\+ ?(U ?I|I ?U))|((I ?U|U ?I) ?\+ ?D)) *$""))"),FALSE)</f>
        <v>0</v>
      </c>
      <c r="W120" s="37" t="b">
        <f>IFERROR(__xludf.DUMMYFUNCTION("if(isblank(A120),,REGEXMATCH(B120,""^((U ?\+ ?(U ?I|I ?U))|((I ?U|U ?I) ?\+ ?U)) *$""))"),FALSE)</f>
        <v>0</v>
      </c>
      <c r="X120" s="37" t="b">
        <f>IFERROR(__xludf.DUMMYFUNCTION("if(isblank(A120),,REGEXMATCH(B120,""^((N ?\+ ?(U ?I|I ?U))|((I ?U|U ?I) ?\+ ?N)) *$""))"),FALSE)</f>
        <v>0</v>
      </c>
      <c r="Y120" s="37" t="b">
        <f>IFERROR(__xludf.DUMMYFUNCTION("if(isblank(A120),,REGEXMATCH(B120,""^((I ?\+ ?(U ?D|D ?U))|((D ?U|U ?D) ?\+ ?I)) *$""))"),FALSE)</f>
        <v>0</v>
      </c>
      <c r="Z120" s="37" t="b">
        <f>IFERROR(__xludf.DUMMYFUNCTION("if(isblank(A120),,REGEXMATCH(B120,""^((D ?\+ ?(U ?D|D ?U))|((D ?U|U ?D) ?\+ ?D)) *$""))"),FALSE)</f>
        <v>0</v>
      </c>
      <c r="AA120" s="37" t="b">
        <f>IFERROR(__xludf.DUMMYFUNCTION("if(isblank(A120),,REGEXMATCH(B120,""^((U ?\+ ?(U ?D|D ?U))|((D ?U|U ?D) ?\+ ?U)) *$""))"),FALSE)</f>
        <v>0</v>
      </c>
      <c r="AB120" s="37" t="b">
        <f>IFERROR(__xludf.DUMMYFUNCTION("if(isblank(A120),,REGEXMATCH(B120,""^((D ?I|I ?D) ?\+ ?(D ?I|I ?D)) *$""))"),FALSE)</f>
        <v>0</v>
      </c>
      <c r="AC120" s="37" t="b">
        <f>IFERROR(__xludf.DUMMYFUNCTION("if(isblank(A120),,REGEXMATCH(B120,""^((D ?I|I ?D) ?\+ ?(U ?I|I ?U))|((U ?I|I ?U) ?\+ ?(D ?I|I ?D)) *$""))"),FALSE)</f>
        <v>0</v>
      </c>
      <c r="AD120" s="37" t="b">
        <f>IFERROR(__xludf.DUMMYFUNCTION("if(isblank(A120),,REGEXMATCH(B120,""^I *vs\. I *$""))"),FALSE)</f>
        <v>0</v>
      </c>
      <c r="AE120" s="37" t="b">
        <f>IFERROR(__xludf.DUMMYFUNCTION("if(isblank(A120),,REGEXMATCH(B120,""(^I *vs\. D *$)|(^D *vs\. I *$)""))"),FALSE)</f>
        <v>0</v>
      </c>
      <c r="AF120" s="37" t="b">
        <f>IFERROR(__xludf.DUMMYFUNCTION("if(isblank(A120),,REGEXMATCH(B120,""(^I *vs\. U *$)|(^U *vs\. I *$)""))"),FALSE)</f>
        <v>0</v>
      </c>
      <c r="AG120" s="37" t="b">
        <f>IFERROR(__xludf.DUMMYFUNCTION("if(isblank(A120),,REGEXMATCH(B120,""^D *vs\. D *$""))"),FALSE)</f>
        <v>0</v>
      </c>
      <c r="AH120" s="37" t="b">
        <f>IFERROR(__xludf.DUMMYFUNCTION("if(isblank(A120),,REGEXMATCH(B120,""(^U *vs\. D *$)|(^D *vs\. U *$)""))"),FALSE)</f>
        <v>0</v>
      </c>
      <c r="AI120" s="37" t="b">
        <f>IFERROR(__xludf.DUMMYFUNCTION("if(isblank(A120),,REGEXMATCH(B120,""^U *vs\. U *$""))"),FALSE)</f>
        <v>0</v>
      </c>
      <c r="AJ120" s="37" t="b">
        <f>IFERROR(__xludf.DUMMYFUNCTION("if(isblank(A120),,REGEXMATCH(B120,""^((I ?vs\. ?(D ?I|I ?D))|((D ?I|I ?D) ?vs\. ?I)) *$""))"),FALSE)</f>
        <v>0</v>
      </c>
      <c r="AK120" s="37" t="b">
        <f>IFERROR(__xludf.DUMMYFUNCTION("if(isblank(A120),,REGEXMATCH(B120,""^((D ?vs\. ?(D ?I|I ?D))|((D ?I|I ?D) ?vs\. ?D)) *$""))"),FALSE)</f>
        <v>0</v>
      </c>
      <c r="AL120" s="37" t="b">
        <f>IFERROR(__xludf.DUMMYFUNCTION("if(isblank(A120),,REGEXMATCH(B120,""^((U ?vs\. ?(D ?I|I ?D))|((D ?I|I ?D) ?vs\. ?U)) *$""))"),FALSE)</f>
        <v>0</v>
      </c>
      <c r="AM120" s="37" t="b">
        <f>IFERROR(__xludf.DUMMYFUNCTION("if(isblank(A120),,REGEXMATCH(B120,""^((I ?vs\. ?(U ?I|I ?U))|((U ?I|I ?U) ?vs\. ?I)) *$""))"),FALSE)</f>
        <v>0</v>
      </c>
      <c r="AN120" s="37" t="b">
        <f>IFERROR(__xludf.DUMMYFUNCTION("if(isblank(A120),,REGEXMATCH(B120,""^((D ?vs\. ?(U ?I|I ?U))|((U ?I|I ?U) ?vs\. ?D)) *$""))"),FALSE)</f>
        <v>0</v>
      </c>
      <c r="AO120" s="37" t="b">
        <f>IFERROR(__xludf.DUMMYFUNCTION("if(isblank(A120),,REGEXMATCH(B120,""^((U ?vs\. ?(U ?I|I ?U))|((U ?I|I ?U) ?vs\. ?U)) *$""))"),TRUE)</f>
        <v>1</v>
      </c>
      <c r="AP120" s="37" t="b">
        <f>IFERROR(__xludf.DUMMYFUNCTION("if(isblank(A120),,REGEXMATCH(B120,""^((I ?vs\. ?(U ?D|D ?U))|((D ?U|U ?D) ?vs\. ?I)) *$""))"),FALSE)</f>
        <v>0</v>
      </c>
      <c r="AQ120" s="37" t="b">
        <f>IFERROR(__xludf.DUMMYFUNCTION("if(isblank(A120),,REGEXMATCH(B120,""^((D ?vs\. ?(U ?D|D ?U))|((D ?U|U ?D) ?vs\. ?D)) *$""))"),FALSE)</f>
        <v>0</v>
      </c>
      <c r="AR120" s="37" t="b">
        <f>IFERROR(__xludf.DUMMYFUNCTION("if(isblank(A120),,REGEXMATCH(B120,""^((U ?vs\. ?(U ?D|D ?U))|((D ?U|U ?D) ?vs\. ?U)) *$""))"),FALSE)</f>
        <v>0</v>
      </c>
      <c r="AS120" s="37" t="b">
        <f>IFERROR(__xludf.DUMMYFUNCTION("if(isblank(A120),,REGEXMATCH(B120,""^((D ?I|I ?D) ?vs\. ?(D ?I|I ?D)) *$""))"),FALSE)</f>
        <v>0</v>
      </c>
      <c r="AT120" s="37" t="b">
        <f>IFERROR(__xludf.DUMMYFUNCTION("if(isblank(A120),,REGEXMATCH(B120,""^((D ?I|I ?D) ?vs\. ?(U ?I|I ?U))|((U ?I|I ?U) ?vs\. ?(D ?I|I ?D)) *$""))"),FALSE)</f>
        <v>0</v>
      </c>
      <c r="AU120" s="37" t="b">
        <f>IFERROR(__xludf.DUMMYFUNCTION("if(isblank(A120),,REGEXMATCH(B120,""^((D ?I|I ?D) ?vs\. ?(U ?D|D ?U))|((U ?D|D ?U) ?vs\. ?(D ?I|I ?D)) *$""))"),FALSE)</f>
        <v>0</v>
      </c>
      <c r="AV120" s="37" t="b">
        <f>IFERROR(__xludf.DUMMYFUNCTION("if(isblank(A120),,REGEXMATCH(B120,""^((U ?I|I ?U) ?vs\. ?(U ?I|I ?U)) *$""))"),FALSE)</f>
        <v>0</v>
      </c>
    </row>
    <row r="121" ht="26.25" customHeight="1">
      <c r="A121" s="79" t="str">
        <f>Paper_Textual_Conflict!M121</f>
        <v>U vs. U</v>
      </c>
      <c r="B121" s="37" t="str">
        <f>IFERROR(__xludf.DUMMYFUNCTION("if(isblank(A121),,regexextract(REGEXEXTRACT(A121,""^.*""),""^[^(]*""))"),"U vs. U")</f>
        <v>U vs. U</v>
      </c>
      <c r="C121" s="37" t="b">
        <f>IFERROR(__xludf.DUMMYFUNCTION("if(isblank(A121),,REGEXMATCH(B121,"".*\+.*"") )"),FALSE)</f>
        <v>0</v>
      </c>
      <c r="D121" s="37" t="b">
        <f>IFERROR(__xludf.DUMMYFUNCTION("if(isblank(A121),,REGEXMATCH(B121,"".*vs.*"") )"),TRUE)</f>
        <v>1</v>
      </c>
      <c r="E121" s="37" t="b">
        <f>Paper_Textual_Conflict!H121</f>
        <v>1</v>
      </c>
      <c r="F121" s="37" t="str">
        <f>Paper_Textual_Conflict!Q121</f>
        <v>Java</v>
      </c>
      <c r="G121" s="33">
        <v>121.0</v>
      </c>
      <c r="H121" s="37" t="b">
        <f>IFERROR(__xludf.DUMMYFUNCTION("if(isblank(A121),,REGEXMATCH(B121,""^I *\+ I *$""))"),FALSE)</f>
        <v>0</v>
      </c>
      <c r="I121" s="37" t="b">
        <f>IFERROR(__xludf.DUMMYFUNCTION("if(isblank(A121),,REGEXMATCH(B121,""(^I *\+ D *$)|(^D *\+ I *$)""))"),FALSE)</f>
        <v>0</v>
      </c>
      <c r="J121" s="37" t="b">
        <f>IFERROR(__xludf.DUMMYFUNCTION("if(isblank(A121),,REGEXMATCH(B121,""(^I *\+ U *$)|(^U *\+ I *$)""))"),FALSE)</f>
        <v>0</v>
      </c>
      <c r="K121" s="37" t="b">
        <f>IFERROR(__xludf.DUMMYFUNCTION("if(isblank(A121),,REGEXMATCH(B121,""(^I *\+ N *$)|(^N *\+ I *$)"") )"),FALSE)</f>
        <v>0</v>
      </c>
      <c r="L121" s="37" t="b">
        <f>IFERROR(__xludf.DUMMYFUNCTION("if(isblank(A121),,REGEXMATCH(B121,""^D *\+ D *$""))"),FALSE)</f>
        <v>0</v>
      </c>
      <c r="M121" s="37" t="b">
        <f>IFERROR(__xludf.DUMMYFUNCTION("if(isblank(A121),,REGEXMATCH(B121,""(^U *\+ D *$)|(^D *\+ U *$)""))"),FALSE)</f>
        <v>0</v>
      </c>
      <c r="N121" s="37" t="b">
        <f>IFERROR(__xludf.DUMMYFUNCTION("if(isblank(A121),,REGEXMATCH(B121,""(^N *\+ D *$)|(^D *\+ N *$)""))"),FALSE)</f>
        <v>0</v>
      </c>
      <c r="O121" s="37" t="b">
        <f>IFERROR(__xludf.DUMMYFUNCTION("if(isblank(A121),,REGEXMATCH(B121,""^U *\+ U *$""))"),FALSE)</f>
        <v>0</v>
      </c>
      <c r="P121" s="37" t="b">
        <f>IFERROR(__xludf.DUMMYFUNCTION("if(isblank(A121),,REGEXMATCH(B121,""(^U *\+ N *$)|(^N *\+ U *$)""))"),FALSE)</f>
        <v>0</v>
      </c>
      <c r="Q121" s="37" t="b">
        <f>IFERROR(__xludf.DUMMYFUNCTION("if(isblank(A121),,REGEXMATCH(B121,""^((I ?\+ ?(D ?I|I ?D))|((D ?I|I ?D) ?\+ ?I)) *$""))"),FALSE)</f>
        <v>0</v>
      </c>
      <c r="R121" s="37" t="b">
        <f>IFERROR(__xludf.DUMMYFUNCTION("if(isblank(A121),,REGEXMATCH(B121,""^((D ?\+ ?(D ?I|I ?D))|((D ?I|I ?D) ?\+ ?D)) *$""))"),FALSE)</f>
        <v>0</v>
      </c>
      <c r="S121" s="37" t="b">
        <f>IFERROR(__xludf.DUMMYFUNCTION("if(isblank(A121),,REGEXMATCH(B121,""^((U ?\+ ?(D ?I|I ?D))|((D ?I|I ?D) ?\+ ?U)) *$""))"),FALSE)</f>
        <v>0</v>
      </c>
      <c r="T121" s="37" t="b">
        <f>IFERROR(__xludf.DUMMYFUNCTION("if(isblank(A121),,REGEXMATCH(B121,""^((N ?\+ ?(D ?I|I ?D))|((D ?I|I ?D) ?\+ ?N)) *$""))"),FALSE)</f>
        <v>0</v>
      </c>
      <c r="U121" s="37" t="b">
        <f>IFERROR(__xludf.DUMMYFUNCTION("if(isblank(A121),,REGEXMATCH(B121,""^((I ?\+ ?(U ?I|I ?U))|((I ?U|U ?I) ?\+ ?I)) *$""))"),FALSE)</f>
        <v>0</v>
      </c>
      <c r="V121" s="37" t="b">
        <f>IFERROR(__xludf.DUMMYFUNCTION("if(isblank(A121),,REGEXMATCH(B121,""^((D ?\+ ?(U ?I|I ?U))|((I ?U|U ?I) ?\+ ?D)) *$""))"),FALSE)</f>
        <v>0</v>
      </c>
      <c r="W121" s="37" t="b">
        <f>IFERROR(__xludf.DUMMYFUNCTION("if(isblank(A121),,REGEXMATCH(B121,""^((U ?\+ ?(U ?I|I ?U))|((I ?U|U ?I) ?\+ ?U)) *$""))"),FALSE)</f>
        <v>0</v>
      </c>
      <c r="X121" s="37" t="b">
        <f>IFERROR(__xludf.DUMMYFUNCTION("if(isblank(A121),,REGEXMATCH(B121,""^((N ?\+ ?(U ?I|I ?U))|((I ?U|U ?I) ?\+ ?N)) *$""))"),FALSE)</f>
        <v>0</v>
      </c>
      <c r="Y121" s="37" t="b">
        <f>IFERROR(__xludf.DUMMYFUNCTION("if(isblank(A121),,REGEXMATCH(B121,""^((I ?\+ ?(U ?D|D ?U))|((D ?U|U ?D) ?\+ ?I)) *$""))"),FALSE)</f>
        <v>0</v>
      </c>
      <c r="Z121" s="37" t="b">
        <f>IFERROR(__xludf.DUMMYFUNCTION("if(isblank(A121),,REGEXMATCH(B121,""^((D ?\+ ?(U ?D|D ?U))|((D ?U|U ?D) ?\+ ?D)) *$""))"),FALSE)</f>
        <v>0</v>
      </c>
      <c r="AA121" s="37" t="b">
        <f>IFERROR(__xludf.DUMMYFUNCTION("if(isblank(A121),,REGEXMATCH(B121,""^((U ?\+ ?(U ?D|D ?U))|((D ?U|U ?D) ?\+ ?U)) *$""))"),FALSE)</f>
        <v>0</v>
      </c>
      <c r="AB121" s="37" t="b">
        <f>IFERROR(__xludf.DUMMYFUNCTION("if(isblank(A121),,REGEXMATCH(B121,""^((D ?I|I ?D) ?\+ ?(D ?I|I ?D)) *$""))"),FALSE)</f>
        <v>0</v>
      </c>
      <c r="AC121" s="37" t="b">
        <f>IFERROR(__xludf.DUMMYFUNCTION("if(isblank(A121),,REGEXMATCH(B121,""^((D ?I|I ?D) ?\+ ?(U ?I|I ?U))|((U ?I|I ?U) ?\+ ?(D ?I|I ?D)) *$""))"),FALSE)</f>
        <v>0</v>
      </c>
      <c r="AD121" s="37" t="b">
        <f>IFERROR(__xludf.DUMMYFUNCTION("if(isblank(A121),,REGEXMATCH(B121,""^I *vs\. I *$""))"),FALSE)</f>
        <v>0</v>
      </c>
      <c r="AE121" s="37" t="b">
        <f>IFERROR(__xludf.DUMMYFUNCTION("if(isblank(A121),,REGEXMATCH(B121,""(^I *vs\. D *$)|(^D *vs\. I *$)""))"),FALSE)</f>
        <v>0</v>
      </c>
      <c r="AF121" s="37" t="b">
        <f>IFERROR(__xludf.DUMMYFUNCTION("if(isblank(A121),,REGEXMATCH(B121,""(^I *vs\. U *$)|(^U *vs\. I *$)""))"),FALSE)</f>
        <v>0</v>
      </c>
      <c r="AG121" s="37" t="b">
        <f>IFERROR(__xludf.DUMMYFUNCTION("if(isblank(A121),,REGEXMATCH(B121,""^D *vs\. D *$""))"),FALSE)</f>
        <v>0</v>
      </c>
      <c r="AH121" s="37" t="b">
        <f>IFERROR(__xludf.DUMMYFUNCTION("if(isblank(A121),,REGEXMATCH(B121,""(^U *vs\. D *$)|(^D *vs\. U *$)""))"),FALSE)</f>
        <v>0</v>
      </c>
      <c r="AI121" s="37" t="b">
        <f>IFERROR(__xludf.DUMMYFUNCTION("if(isblank(A121),,REGEXMATCH(B121,""^U *vs\. U *$""))"),TRUE)</f>
        <v>1</v>
      </c>
      <c r="AJ121" s="37" t="b">
        <f>IFERROR(__xludf.DUMMYFUNCTION("if(isblank(A121),,REGEXMATCH(B121,""^((I ?vs\. ?(D ?I|I ?D))|((D ?I|I ?D) ?vs\. ?I)) *$""))"),FALSE)</f>
        <v>0</v>
      </c>
      <c r="AK121" s="37" t="b">
        <f>IFERROR(__xludf.DUMMYFUNCTION("if(isblank(A121),,REGEXMATCH(B121,""^((D ?vs\. ?(D ?I|I ?D))|((D ?I|I ?D) ?vs\. ?D)) *$""))"),FALSE)</f>
        <v>0</v>
      </c>
      <c r="AL121" s="37" t="b">
        <f>IFERROR(__xludf.DUMMYFUNCTION("if(isblank(A121),,REGEXMATCH(B121,""^((U ?vs\. ?(D ?I|I ?D))|((D ?I|I ?D) ?vs\. ?U)) *$""))"),FALSE)</f>
        <v>0</v>
      </c>
      <c r="AM121" s="37" t="b">
        <f>IFERROR(__xludf.DUMMYFUNCTION("if(isblank(A121),,REGEXMATCH(B121,""^((I ?vs\. ?(U ?I|I ?U))|((U ?I|I ?U) ?vs\. ?I)) *$""))"),FALSE)</f>
        <v>0</v>
      </c>
      <c r="AN121" s="37" t="b">
        <f>IFERROR(__xludf.DUMMYFUNCTION("if(isblank(A121),,REGEXMATCH(B121,""^((D ?vs\. ?(U ?I|I ?U))|((U ?I|I ?U) ?vs\. ?D)) *$""))"),FALSE)</f>
        <v>0</v>
      </c>
      <c r="AO121" s="37" t="b">
        <f>IFERROR(__xludf.DUMMYFUNCTION("if(isblank(A121),,REGEXMATCH(B121,""^((U ?vs\. ?(U ?I|I ?U))|((U ?I|I ?U) ?vs\. ?U)) *$""))"),FALSE)</f>
        <v>0</v>
      </c>
      <c r="AP121" s="37" t="b">
        <f>IFERROR(__xludf.DUMMYFUNCTION("if(isblank(A121),,REGEXMATCH(B121,""^((I ?vs\. ?(U ?D|D ?U))|((D ?U|U ?D) ?vs\. ?I)) *$""))"),FALSE)</f>
        <v>0</v>
      </c>
      <c r="AQ121" s="37" t="b">
        <f>IFERROR(__xludf.DUMMYFUNCTION("if(isblank(A121),,REGEXMATCH(B121,""^((D ?vs\. ?(U ?D|D ?U))|((D ?U|U ?D) ?vs\. ?D)) *$""))"),FALSE)</f>
        <v>0</v>
      </c>
      <c r="AR121" s="37" t="b">
        <f>IFERROR(__xludf.DUMMYFUNCTION("if(isblank(A121),,REGEXMATCH(B121,""^((U ?vs\. ?(U ?D|D ?U))|((D ?U|U ?D) ?vs\. ?U)) *$""))"),FALSE)</f>
        <v>0</v>
      </c>
      <c r="AS121" s="37" t="b">
        <f>IFERROR(__xludf.DUMMYFUNCTION("if(isblank(A121),,REGEXMATCH(B121,""^((D ?I|I ?D) ?vs\. ?(D ?I|I ?D)) *$""))"),FALSE)</f>
        <v>0</v>
      </c>
      <c r="AT121" s="37" t="b">
        <f>IFERROR(__xludf.DUMMYFUNCTION("if(isblank(A121),,REGEXMATCH(B121,""^((D ?I|I ?D) ?vs\. ?(U ?I|I ?U))|((U ?I|I ?U) ?vs\. ?(D ?I|I ?D)) *$""))"),FALSE)</f>
        <v>0</v>
      </c>
      <c r="AU121" s="37" t="b">
        <f>IFERROR(__xludf.DUMMYFUNCTION("if(isblank(A121),,REGEXMATCH(B121,""^((D ?I|I ?D) ?vs\. ?(U ?D|D ?U))|((U ?D|D ?U) ?vs\. ?(D ?I|I ?D)) *$""))"),FALSE)</f>
        <v>0</v>
      </c>
      <c r="AV121" s="37" t="b">
        <f>IFERROR(__xludf.DUMMYFUNCTION("if(isblank(A121),,REGEXMATCH(B121,""^((U ?I|I ?U) ?vs\. ?(U ?I|I ?U)) *$""))"),FALSE)</f>
        <v>0</v>
      </c>
    </row>
    <row r="122" ht="26.25" customHeight="1">
      <c r="A122" s="79" t="str">
        <f>Paper_Textual_Conflict!M122</f>
        <v>U vs. D (Java file)</v>
      </c>
      <c r="B122" s="37" t="str">
        <f>IFERROR(__xludf.DUMMYFUNCTION("if(isblank(A122),,regexextract(REGEXEXTRACT(A122,""^.*""),""^[^(]*""))"),"U vs. D ")</f>
        <v>U vs. D </v>
      </c>
      <c r="C122" s="37" t="b">
        <f>IFERROR(__xludf.DUMMYFUNCTION("if(isblank(A122),,REGEXMATCH(B122,"".*\+.*"") )"),FALSE)</f>
        <v>0</v>
      </c>
      <c r="D122" s="37" t="b">
        <f>IFERROR(__xludf.DUMMYFUNCTION("if(isblank(A122),,REGEXMATCH(B122,"".*vs.*"") )"),TRUE)</f>
        <v>1</v>
      </c>
      <c r="E122" s="37" t="b">
        <f>Paper_Textual_Conflict!H122</f>
        <v>1</v>
      </c>
      <c r="F122" s="37" t="str">
        <f>Paper_Textual_Conflict!Q122</f>
        <v>Java</v>
      </c>
      <c r="G122" s="33">
        <v>122.0</v>
      </c>
      <c r="H122" s="37" t="b">
        <f>IFERROR(__xludf.DUMMYFUNCTION("if(isblank(A122),,REGEXMATCH(B122,""^I *\+ I *$""))"),FALSE)</f>
        <v>0</v>
      </c>
      <c r="I122" s="37" t="b">
        <f>IFERROR(__xludf.DUMMYFUNCTION("if(isblank(A122),,REGEXMATCH(B122,""(^I *\+ D *$)|(^D *\+ I *$)""))"),FALSE)</f>
        <v>0</v>
      </c>
      <c r="J122" s="37" t="b">
        <f>IFERROR(__xludf.DUMMYFUNCTION("if(isblank(A122),,REGEXMATCH(B122,""(^I *\+ U *$)|(^U *\+ I *$)""))"),FALSE)</f>
        <v>0</v>
      </c>
      <c r="K122" s="37" t="b">
        <f>IFERROR(__xludf.DUMMYFUNCTION("if(isblank(A122),,REGEXMATCH(B122,""(^I *\+ N *$)|(^N *\+ I *$)"") )"),FALSE)</f>
        <v>0</v>
      </c>
      <c r="L122" s="37" t="b">
        <f>IFERROR(__xludf.DUMMYFUNCTION("if(isblank(A122),,REGEXMATCH(B122,""^D *\+ D *$""))"),FALSE)</f>
        <v>0</v>
      </c>
      <c r="M122" s="37" t="b">
        <f>IFERROR(__xludf.DUMMYFUNCTION("if(isblank(A122),,REGEXMATCH(B122,""(^U *\+ D *$)|(^D *\+ U *$)""))"),FALSE)</f>
        <v>0</v>
      </c>
      <c r="N122" s="37" t="b">
        <f>IFERROR(__xludf.DUMMYFUNCTION("if(isblank(A122),,REGEXMATCH(B122,""(^N *\+ D *$)|(^D *\+ N *$)""))"),FALSE)</f>
        <v>0</v>
      </c>
      <c r="O122" s="37" t="b">
        <f>IFERROR(__xludf.DUMMYFUNCTION("if(isblank(A122),,REGEXMATCH(B122,""^U *\+ U *$""))"),FALSE)</f>
        <v>0</v>
      </c>
      <c r="P122" s="37" t="b">
        <f>IFERROR(__xludf.DUMMYFUNCTION("if(isblank(A122),,REGEXMATCH(B122,""(^U *\+ N *$)|(^N *\+ U *$)""))"),FALSE)</f>
        <v>0</v>
      </c>
      <c r="Q122" s="37" t="b">
        <f>IFERROR(__xludf.DUMMYFUNCTION("if(isblank(A122),,REGEXMATCH(B122,""^((I ?\+ ?(D ?I|I ?D))|((D ?I|I ?D) ?\+ ?I)) *$""))"),FALSE)</f>
        <v>0</v>
      </c>
      <c r="R122" s="37" t="b">
        <f>IFERROR(__xludf.DUMMYFUNCTION("if(isblank(A122),,REGEXMATCH(B122,""^((D ?\+ ?(D ?I|I ?D))|((D ?I|I ?D) ?\+ ?D)) *$""))"),FALSE)</f>
        <v>0</v>
      </c>
      <c r="S122" s="37" t="b">
        <f>IFERROR(__xludf.DUMMYFUNCTION("if(isblank(A122),,REGEXMATCH(B122,""^((U ?\+ ?(D ?I|I ?D))|((D ?I|I ?D) ?\+ ?U)) *$""))"),FALSE)</f>
        <v>0</v>
      </c>
      <c r="T122" s="37" t="b">
        <f>IFERROR(__xludf.DUMMYFUNCTION("if(isblank(A122),,REGEXMATCH(B122,""^((N ?\+ ?(D ?I|I ?D))|((D ?I|I ?D) ?\+ ?N)) *$""))"),FALSE)</f>
        <v>0</v>
      </c>
      <c r="U122" s="37" t="b">
        <f>IFERROR(__xludf.DUMMYFUNCTION("if(isblank(A122),,REGEXMATCH(B122,""^((I ?\+ ?(U ?I|I ?U))|((I ?U|U ?I) ?\+ ?I)) *$""))"),FALSE)</f>
        <v>0</v>
      </c>
      <c r="V122" s="37" t="b">
        <f>IFERROR(__xludf.DUMMYFUNCTION("if(isblank(A122),,REGEXMATCH(B122,""^((D ?\+ ?(U ?I|I ?U))|((I ?U|U ?I) ?\+ ?D)) *$""))"),FALSE)</f>
        <v>0</v>
      </c>
      <c r="W122" s="37" t="b">
        <f>IFERROR(__xludf.DUMMYFUNCTION("if(isblank(A122),,REGEXMATCH(B122,""^((U ?\+ ?(U ?I|I ?U))|((I ?U|U ?I) ?\+ ?U)) *$""))"),FALSE)</f>
        <v>0</v>
      </c>
      <c r="X122" s="37" t="b">
        <f>IFERROR(__xludf.DUMMYFUNCTION("if(isblank(A122),,REGEXMATCH(B122,""^((N ?\+ ?(U ?I|I ?U))|((I ?U|U ?I) ?\+ ?N)) *$""))"),FALSE)</f>
        <v>0</v>
      </c>
      <c r="Y122" s="37" t="b">
        <f>IFERROR(__xludf.DUMMYFUNCTION("if(isblank(A122),,REGEXMATCH(B122,""^((I ?\+ ?(U ?D|D ?U))|((D ?U|U ?D) ?\+ ?I)) *$""))"),FALSE)</f>
        <v>0</v>
      </c>
      <c r="Z122" s="37" t="b">
        <f>IFERROR(__xludf.DUMMYFUNCTION("if(isblank(A122),,REGEXMATCH(B122,""^((D ?\+ ?(U ?D|D ?U))|((D ?U|U ?D) ?\+ ?D)) *$""))"),FALSE)</f>
        <v>0</v>
      </c>
      <c r="AA122" s="37" t="b">
        <f>IFERROR(__xludf.DUMMYFUNCTION("if(isblank(A122),,REGEXMATCH(B122,""^((U ?\+ ?(U ?D|D ?U))|((D ?U|U ?D) ?\+ ?U)) *$""))"),FALSE)</f>
        <v>0</v>
      </c>
      <c r="AB122" s="37" t="b">
        <f>IFERROR(__xludf.DUMMYFUNCTION("if(isblank(A122),,REGEXMATCH(B122,""^((D ?I|I ?D) ?\+ ?(D ?I|I ?D)) *$""))"),FALSE)</f>
        <v>0</v>
      </c>
      <c r="AC122" s="37" t="b">
        <f>IFERROR(__xludf.DUMMYFUNCTION("if(isblank(A122),,REGEXMATCH(B122,""^((D ?I|I ?D) ?\+ ?(U ?I|I ?U))|((U ?I|I ?U) ?\+ ?(D ?I|I ?D)) *$""))"),FALSE)</f>
        <v>0</v>
      </c>
      <c r="AD122" s="37" t="b">
        <f>IFERROR(__xludf.DUMMYFUNCTION("if(isblank(A122),,REGEXMATCH(B122,""^I *vs\. I *$""))"),FALSE)</f>
        <v>0</v>
      </c>
      <c r="AE122" s="37" t="b">
        <f>IFERROR(__xludf.DUMMYFUNCTION("if(isblank(A122),,REGEXMATCH(B122,""(^I *vs\. D *$)|(^D *vs\. I *$)""))"),FALSE)</f>
        <v>0</v>
      </c>
      <c r="AF122" s="37" t="b">
        <f>IFERROR(__xludf.DUMMYFUNCTION("if(isblank(A122),,REGEXMATCH(B122,""(^I *vs\. U *$)|(^U *vs\. I *$)""))"),FALSE)</f>
        <v>0</v>
      </c>
      <c r="AG122" s="37" t="b">
        <f>IFERROR(__xludf.DUMMYFUNCTION("if(isblank(A122),,REGEXMATCH(B122,""^D *vs\. D *$""))"),FALSE)</f>
        <v>0</v>
      </c>
      <c r="AH122" s="37" t="b">
        <f>IFERROR(__xludf.DUMMYFUNCTION("if(isblank(A122),,REGEXMATCH(B122,""(^U *vs\. D *$)|(^D *vs\. U *$)""))"),TRUE)</f>
        <v>1</v>
      </c>
      <c r="AI122" s="37" t="b">
        <f>IFERROR(__xludf.DUMMYFUNCTION("if(isblank(A122),,REGEXMATCH(B122,""^U *vs\. U *$""))"),FALSE)</f>
        <v>0</v>
      </c>
      <c r="AJ122" s="37" t="b">
        <f>IFERROR(__xludf.DUMMYFUNCTION("if(isblank(A122),,REGEXMATCH(B122,""^((I ?vs\. ?(D ?I|I ?D))|((D ?I|I ?D) ?vs\. ?I)) *$""))"),FALSE)</f>
        <v>0</v>
      </c>
      <c r="AK122" s="37" t="b">
        <f>IFERROR(__xludf.DUMMYFUNCTION("if(isblank(A122),,REGEXMATCH(B122,""^((D ?vs\. ?(D ?I|I ?D))|((D ?I|I ?D) ?vs\. ?D)) *$""))"),FALSE)</f>
        <v>0</v>
      </c>
      <c r="AL122" s="37" t="b">
        <f>IFERROR(__xludf.DUMMYFUNCTION("if(isblank(A122),,REGEXMATCH(B122,""^((U ?vs\. ?(D ?I|I ?D))|((D ?I|I ?D) ?vs\. ?U)) *$""))"),FALSE)</f>
        <v>0</v>
      </c>
      <c r="AM122" s="37" t="b">
        <f>IFERROR(__xludf.DUMMYFUNCTION("if(isblank(A122),,REGEXMATCH(B122,""^((I ?vs\. ?(U ?I|I ?U))|((U ?I|I ?U) ?vs\. ?I)) *$""))"),FALSE)</f>
        <v>0</v>
      </c>
      <c r="AN122" s="37" t="b">
        <f>IFERROR(__xludf.DUMMYFUNCTION("if(isblank(A122),,REGEXMATCH(B122,""^((D ?vs\. ?(U ?I|I ?U))|((U ?I|I ?U) ?vs\. ?D)) *$""))"),FALSE)</f>
        <v>0</v>
      </c>
      <c r="AO122" s="37" t="b">
        <f>IFERROR(__xludf.DUMMYFUNCTION("if(isblank(A122),,REGEXMATCH(B122,""^((U ?vs\. ?(U ?I|I ?U))|((U ?I|I ?U) ?vs\. ?U)) *$""))"),FALSE)</f>
        <v>0</v>
      </c>
      <c r="AP122" s="37" t="b">
        <f>IFERROR(__xludf.DUMMYFUNCTION("if(isblank(A122),,REGEXMATCH(B122,""^((I ?vs\. ?(U ?D|D ?U))|((D ?U|U ?D) ?vs\. ?I)) *$""))"),FALSE)</f>
        <v>0</v>
      </c>
      <c r="AQ122" s="37" t="b">
        <f>IFERROR(__xludf.DUMMYFUNCTION("if(isblank(A122),,REGEXMATCH(B122,""^((D ?vs\. ?(U ?D|D ?U))|((D ?U|U ?D) ?vs\. ?D)) *$""))"),FALSE)</f>
        <v>0</v>
      </c>
      <c r="AR122" s="37" t="b">
        <f>IFERROR(__xludf.DUMMYFUNCTION("if(isblank(A122),,REGEXMATCH(B122,""^((U ?vs\. ?(U ?D|D ?U))|((D ?U|U ?D) ?vs\. ?U)) *$""))"),FALSE)</f>
        <v>0</v>
      </c>
      <c r="AS122" s="37" t="b">
        <f>IFERROR(__xludf.DUMMYFUNCTION("if(isblank(A122),,REGEXMATCH(B122,""^((D ?I|I ?D) ?vs\. ?(D ?I|I ?D)) *$""))"),FALSE)</f>
        <v>0</v>
      </c>
      <c r="AT122" s="37" t="b">
        <f>IFERROR(__xludf.DUMMYFUNCTION("if(isblank(A122),,REGEXMATCH(B122,""^((D ?I|I ?D) ?vs\. ?(U ?I|I ?U))|((U ?I|I ?U) ?vs\. ?(D ?I|I ?D)) *$""))"),FALSE)</f>
        <v>0</v>
      </c>
      <c r="AU122" s="37" t="b">
        <f>IFERROR(__xludf.DUMMYFUNCTION("if(isblank(A122),,REGEXMATCH(B122,""^((D ?I|I ?D) ?vs\. ?(U ?D|D ?U))|((U ?D|D ?U) ?vs\. ?(D ?I|I ?D)) *$""))"),FALSE)</f>
        <v>0</v>
      </c>
      <c r="AV122" s="37" t="b">
        <f>IFERROR(__xludf.DUMMYFUNCTION("if(isblank(A122),,REGEXMATCH(B122,""^((U ?I|I ?U) ?vs\. ?(U ?I|I ?U)) *$""))"),FALSE)</f>
        <v>0</v>
      </c>
    </row>
    <row r="123" ht="26.25" customHeight="1">
      <c r="A123" s="79" t="str">
        <f>Paper_Textual_Conflict!M123</f>
        <v>D vs. D I (.jsp)</v>
      </c>
      <c r="B123" s="37" t="str">
        <f>IFERROR(__xludf.DUMMYFUNCTION("if(isblank(A123),,regexextract(REGEXEXTRACT(A123,""^.*""),""^[^(]*""))"),"D vs. D I ")</f>
        <v>D vs. D I </v>
      </c>
      <c r="C123" s="37" t="b">
        <f>IFERROR(__xludf.DUMMYFUNCTION("if(isblank(A123),,REGEXMATCH(B123,"".*\+.*"") )"),FALSE)</f>
        <v>0</v>
      </c>
      <c r="D123" s="37" t="b">
        <f>IFERROR(__xludf.DUMMYFUNCTION("if(isblank(A123),,REGEXMATCH(B123,"".*vs.*"") )"),TRUE)</f>
        <v>1</v>
      </c>
      <c r="E123" s="37" t="b">
        <f>Paper_Textual_Conflict!H123</f>
        <v>1</v>
      </c>
      <c r="F123" s="37" t="str">
        <f>Paper_Textual_Conflict!Q123</f>
        <v>Non-Java</v>
      </c>
      <c r="G123" s="33">
        <v>123.0</v>
      </c>
      <c r="H123" s="37" t="b">
        <f>IFERROR(__xludf.DUMMYFUNCTION("if(isblank(A123),,REGEXMATCH(B123,""^I *\+ I *$""))"),FALSE)</f>
        <v>0</v>
      </c>
      <c r="I123" s="37" t="b">
        <f>IFERROR(__xludf.DUMMYFUNCTION("if(isblank(A123),,REGEXMATCH(B123,""(^I *\+ D *$)|(^D *\+ I *$)""))"),FALSE)</f>
        <v>0</v>
      </c>
      <c r="J123" s="37" t="b">
        <f>IFERROR(__xludf.DUMMYFUNCTION("if(isblank(A123),,REGEXMATCH(B123,""(^I *\+ U *$)|(^U *\+ I *$)""))"),FALSE)</f>
        <v>0</v>
      </c>
      <c r="K123" s="37" t="b">
        <f>IFERROR(__xludf.DUMMYFUNCTION("if(isblank(A123),,REGEXMATCH(B123,""(^I *\+ N *$)|(^N *\+ I *$)"") )"),FALSE)</f>
        <v>0</v>
      </c>
      <c r="L123" s="37" t="b">
        <f>IFERROR(__xludf.DUMMYFUNCTION("if(isblank(A123),,REGEXMATCH(B123,""^D *\+ D *$""))"),FALSE)</f>
        <v>0</v>
      </c>
      <c r="M123" s="37" t="b">
        <f>IFERROR(__xludf.DUMMYFUNCTION("if(isblank(A123),,REGEXMATCH(B123,""(^U *\+ D *$)|(^D *\+ U *$)""))"),FALSE)</f>
        <v>0</v>
      </c>
      <c r="N123" s="37" t="b">
        <f>IFERROR(__xludf.DUMMYFUNCTION("if(isblank(A123),,REGEXMATCH(B123,""(^N *\+ D *$)|(^D *\+ N *$)""))"),FALSE)</f>
        <v>0</v>
      </c>
      <c r="O123" s="37" t="b">
        <f>IFERROR(__xludf.DUMMYFUNCTION("if(isblank(A123),,REGEXMATCH(B123,""^U *\+ U *$""))"),FALSE)</f>
        <v>0</v>
      </c>
      <c r="P123" s="37" t="b">
        <f>IFERROR(__xludf.DUMMYFUNCTION("if(isblank(A123),,REGEXMATCH(B123,""(^U *\+ N *$)|(^N *\+ U *$)""))"),FALSE)</f>
        <v>0</v>
      </c>
      <c r="Q123" s="37" t="b">
        <f>IFERROR(__xludf.DUMMYFUNCTION("if(isblank(A123),,REGEXMATCH(B123,""^((I ?\+ ?(D ?I|I ?D))|((D ?I|I ?D) ?\+ ?I)) *$""))"),FALSE)</f>
        <v>0</v>
      </c>
      <c r="R123" s="37" t="b">
        <f>IFERROR(__xludf.DUMMYFUNCTION("if(isblank(A123),,REGEXMATCH(B123,""^((D ?\+ ?(D ?I|I ?D))|((D ?I|I ?D) ?\+ ?D)) *$""))"),FALSE)</f>
        <v>0</v>
      </c>
      <c r="S123" s="37" t="b">
        <f>IFERROR(__xludf.DUMMYFUNCTION("if(isblank(A123),,REGEXMATCH(B123,""^((U ?\+ ?(D ?I|I ?D))|((D ?I|I ?D) ?\+ ?U)) *$""))"),FALSE)</f>
        <v>0</v>
      </c>
      <c r="T123" s="37" t="b">
        <f>IFERROR(__xludf.DUMMYFUNCTION("if(isblank(A123),,REGEXMATCH(B123,""^((N ?\+ ?(D ?I|I ?D))|((D ?I|I ?D) ?\+ ?N)) *$""))"),FALSE)</f>
        <v>0</v>
      </c>
      <c r="U123" s="37" t="b">
        <f>IFERROR(__xludf.DUMMYFUNCTION("if(isblank(A123),,REGEXMATCH(B123,""^((I ?\+ ?(U ?I|I ?U))|((I ?U|U ?I) ?\+ ?I)) *$""))"),FALSE)</f>
        <v>0</v>
      </c>
      <c r="V123" s="37" t="b">
        <f>IFERROR(__xludf.DUMMYFUNCTION("if(isblank(A123),,REGEXMATCH(B123,""^((D ?\+ ?(U ?I|I ?U))|((I ?U|U ?I) ?\+ ?D)) *$""))"),FALSE)</f>
        <v>0</v>
      </c>
      <c r="W123" s="37" t="b">
        <f>IFERROR(__xludf.DUMMYFUNCTION("if(isblank(A123),,REGEXMATCH(B123,""^((U ?\+ ?(U ?I|I ?U))|((I ?U|U ?I) ?\+ ?U)) *$""))"),FALSE)</f>
        <v>0</v>
      </c>
      <c r="X123" s="37" t="b">
        <f>IFERROR(__xludf.DUMMYFUNCTION("if(isblank(A123),,REGEXMATCH(B123,""^((N ?\+ ?(U ?I|I ?U))|((I ?U|U ?I) ?\+ ?N)) *$""))"),FALSE)</f>
        <v>0</v>
      </c>
      <c r="Y123" s="37" t="b">
        <f>IFERROR(__xludf.DUMMYFUNCTION("if(isblank(A123),,REGEXMATCH(B123,""^((I ?\+ ?(U ?D|D ?U))|((D ?U|U ?D) ?\+ ?I)) *$""))"),FALSE)</f>
        <v>0</v>
      </c>
      <c r="Z123" s="37" t="b">
        <f>IFERROR(__xludf.DUMMYFUNCTION("if(isblank(A123),,REGEXMATCH(B123,""^((D ?\+ ?(U ?D|D ?U))|((D ?U|U ?D) ?\+ ?D)) *$""))"),FALSE)</f>
        <v>0</v>
      </c>
      <c r="AA123" s="37" t="b">
        <f>IFERROR(__xludf.DUMMYFUNCTION("if(isblank(A123),,REGEXMATCH(B123,""^((U ?\+ ?(U ?D|D ?U))|((D ?U|U ?D) ?\+ ?U)) *$""))"),FALSE)</f>
        <v>0</v>
      </c>
      <c r="AB123" s="37" t="b">
        <f>IFERROR(__xludf.DUMMYFUNCTION("if(isblank(A123),,REGEXMATCH(B123,""^((D ?I|I ?D) ?\+ ?(D ?I|I ?D)) *$""))"),FALSE)</f>
        <v>0</v>
      </c>
      <c r="AC123" s="37" t="b">
        <f>IFERROR(__xludf.DUMMYFUNCTION("if(isblank(A123),,REGEXMATCH(B123,""^((D ?I|I ?D) ?\+ ?(U ?I|I ?U))|((U ?I|I ?U) ?\+ ?(D ?I|I ?D)) *$""))"),FALSE)</f>
        <v>0</v>
      </c>
      <c r="AD123" s="37" t="b">
        <f>IFERROR(__xludf.DUMMYFUNCTION("if(isblank(A123),,REGEXMATCH(B123,""^I *vs\. I *$""))"),FALSE)</f>
        <v>0</v>
      </c>
      <c r="AE123" s="37" t="b">
        <f>IFERROR(__xludf.DUMMYFUNCTION("if(isblank(A123),,REGEXMATCH(B123,""(^I *vs\. D *$)|(^D *vs\. I *$)""))"),FALSE)</f>
        <v>0</v>
      </c>
      <c r="AF123" s="37" t="b">
        <f>IFERROR(__xludf.DUMMYFUNCTION("if(isblank(A123),,REGEXMATCH(B123,""(^I *vs\. U *$)|(^U *vs\. I *$)""))"),FALSE)</f>
        <v>0</v>
      </c>
      <c r="AG123" s="37" t="b">
        <f>IFERROR(__xludf.DUMMYFUNCTION("if(isblank(A123),,REGEXMATCH(B123,""^D *vs\. D *$""))"),FALSE)</f>
        <v>0</v>
      </c>
      <c r="AH123" s="37" t="b">
        <f>IFERROR(__xludf.DUMMYFUNCTION("if(isblank(A123),,REGEXMATCH(B123,""(^U *vs\. D *$)|(^D *vs\. U *$)""))"),FALSE)</f>
        <v>0</v>
      </c>
      <c r="AI123" s="37" t="b">
        <f>IFERROR(__xludf.DUMMYFUNCTION("if(isblank(A123),,REGEXMATCH(B123,""^U *vs\. U *$""))"),FALSE)</f>
        <v>0</v>
      </c>
      <c r="AJ123" s="37" t="b">
        <f>IFERROR(__xludf.DUMMYFUNCTION("if(isblank(A123),,REGEXMATCH(B123,""^((I ?vs\. ?(D ?I|I ?D))|((D ?I|I ?D) ?vs\. ?I)) *$""))"),FALSE)</f>
        <v>0</v>
      </c>
      <c r="AK123" s="37" t="b">
        <f>IFERROR(__xludf.DUMMYFUNCTION("if(isblank(A123),,REGEXMATCH(B123,""^((D ?vs\. ?(D ?I|I ?D))|((D ?I|I ?D) ?vs\. ?D)) *$""))"),TRUE)</f>
        <v>1</v>
      </c>
      <c r="AL123" s="37" t="b">
        <f>IFERROR(__xludf.DUMMYFUNCTION("if(isblank(A123),,REGEXMATCH(B123,""^((U ?vs\. ?(D ?I|I ?D))|((D ?I|I ?D) ?vs\. ?U)) *$""))"),FALSE)</f>
        <v>0</v>
      </c>
      <c r="AM123" s="37" t="b">
        <f>IFERROR(__xludf.DUMMYFUNCTION("if(isblank(A123),,REGEXMATCH(B123,""^((I ?vs\. ?(U ?I|I ?U))|((U ?I|I ?U) ?vs\. ?I)) *$""))"),FALSE)</f>
        <v>0</v>
      </c>
      <c r="AN123" s="37" t="b">
        <f>IFERROR(__xludf.DUMMYFUNCTION("if(isblank(A123),,REGEXMATCH(B123,""^((D ?vs\. ?(U ?I|I ?U))|((U ?I|I ?U) ?vs\. ?D)) *$""))"),FALSE)</f>
        <v>0</v>
      </c>
      <c r="AO123" s="37" t="b">
        <f>IFERROR(__xludf.DUMMYFUNCTION("if(isblank(A123),,REGEXMATCH(B123,""^((U ?vs\. ?(U ?I|I ?U))|((U ?I|I ?U) ?vs\. ?U)) *$""))"),FALSE)</f>
        <v>0</v>
      </c>
      <c r="AP123" s="37" t="b">
        <f>IFERROR(__xludf.DUMMYFUNCTION("if(isblank(A123),,REGEXMATCH(B123,""^((I ?vs\. ?(U ?D|D ?U))|((D ?U|U ?D) ?vs\. ?I)) *$""))"),FALSE)</f>
        <v>0</v>
      </c>
      <c r="AQ123" s="37" t="b">
        <f>IFERROR(__xludf.DUMMYFUNCTION("if(isblank(A123),,REGEXMATCH(B123,""^((D ?vs\. ?(U ?D|D ?U))|((D ?U|U ?D) ?vs\. ?D)) *$""))"),FALSE)</f>
        <v>0</v>
      </c>
      <c r="AR123" s="37" t="b">
        <f>IFERROR(__xludf.DUMMYFUNCTION("if(isblank(A123),,REGEXMATCH(B123,""^((U ?vs\. ?(U ?D|D ?U))|((D ?U|U ?D) ?vs\. ?U)) *$""))"),FALSE)</f>
        <v>0</v>
      </c>
      <c r="AS123" s="37" t="b">
        <f>IFERROR(__xludf.DUMMYFUNCTION("if(isblank(A123),,REGEXMATCH(B123,""^((D ?I|I ?D) ?vs\. ?(D ?I|I ?D)) *$""))"),FALSE)</f>
        <v>0</v>
      </c>
      <c r="AT123" s="37" t="b">
        <f>IFERROR(__xludf.DUMMYFUNCTION("if(isblank(A123),,REGEXMATCH(B123,""^((D ?I|I ?D) ?vs\. ?(U ?I|I ?U))|((U ?I|I ?U) ?vs\. ?(D ?I|I ?D)) *$""))"),FALSE)</f>
        <v>0</v>
      </c>
      <c r="AU123" s="37" t="b">
        <f>IFERROR(__xludf.DUMMYFUNCTION("if(isblank(A123),,REGEXMATCH(B123,""^((D ?I|I ?D) ?vs\. ?(U ?D|D ?U))|((U ?D|D ?U) ?vs\. ?(D ?I|I ?D)) *$""))"),FALSE)</f>
        <v>0</v>
      </c>
      <c r="AV123" s="37" t="b">
        <f>IFERROR(__xludf.DUMMYFUNCTION("if(isblank(A123),,REGEXMATCH(B123,""^((U ?I|I ?U) ?vs\. ?(U ?I|I ?U)) *$""))"),FALSE)</f>
        <v>0</v>
      </c>
    </row>
    <row r="124" ht="26.25" customHeight="1">
      <c r="A124" s="79" t="str">
        <f>Paper_Textual_Conflict!M124</f>
        <v>U vs. I (folder rename vs. file insertion)</v>
      </c>
      <c r="B124" s="37" t="str">
        <f>IFERROR(__xludf.DUMMYFUNCTION("if(isblank(A124),,regexextract(REGEXEXTRACT(A124,""^.*""),""^[^(]*""))"),"U vs. I ")</f>
        <v>U vs. I </v>
      </c>
      <c r="C124" s="37" t="b">
        <f>IFERROR(__xludf.DUMMYFUNCTION("if(isblank(A124),,REGEXMATCH(B124,"".*\+.*"") )"),FALSE)</f>
        <v>0</v>
      </c>
      <c r="D124" s="37" t="b">
        <f>IFERROR(__xludf.DUMMYFUNCTION("if(isblank(A124),,REGEXMATCH(B124,"".*vs.*"") )"),TRUE)</f>
        <v>1</v>
      </c>
      <c r="E124" s="37" t="b">
        <f>Paper_Textual_Conflict!H124</f>
        <v>1</v>
      </c>
      <c r="F124" s="37" t="str">
        <f>Paper_Textual_Conflict!Q124</f>
        <v>Java</v>
      </c>
      <c r="G124" s="33">
        <v>124.0</v>
      </c>
      <c r="H124" s="37" t="b">
        <f>IFERROR(__xludf.DUMMYFUNCTION("if(isblank(A124),,REGEXMATCH(B124,""^I *\+ I *$""))"),FALSE)</f>
        <v>0</v>
      </c>
      <c r="I124" s="37" t="b">
        <f>IFERROR(__xludf.DUMMYFUNCTION("if(isblank(A124),,REGEXMATCH(B124,""(^I *\+ D *$)|(^D *\+ I *$)""))"),FALSE)</f>
        <v>0</v>
      </c>
      <c r="J124" s="37" t="b">
        <f>IFERROR(__xludf.DUMMYFUNCTION("if(isblank(A124),,REGEXMATCH(B124,""(^I *\+ U *$)|(^U *\+ I *$)""))"),FALSE)</f>
        <v>0</v>
      </c>
      <c r="K124" s="37" t="b">
        <f>IFERROR(__xludf.DUMMYFUNCTION("if(isblank(A124),,REGEXMATCH(B124,""(^I *\+ N *$)|(^N *\+ I *$)"") )"),FALSE)</f>
        <v>0</v>
      </c>
      <c r="L124" s="37" t="b">
        <f>IFERROR(__xludf.DUMMYFUNCTION("if(isblank(A124),,REGEXMATCH(B124,""^D *\+ D *$""))"),FALSE)</f>
        <v>0</v>
      </c>
      <c r="M124" s="37" t="b">
        <f>IFERROR(__xludf.DUMMYFUNCTION("if(isblank(A124),,REGEXMATCH(B124,""(^U *\+ D *$)|(^D *\+ U *$)""))"),FALSE)</f>
        <v>0</v>
      </c>
      <c r="N124" s="37" t="b">
        <f>IFERROR(__xludf.DUMMYFUNCTION("if(isblank(A124),,REGEXMATCH(B124,""(^N *\+ D *$)|(^D *\+ N *$)""))"),FALSE)</f>
        <v>0</v>
      </c>
      <c r="O124" s="37" t="b">
        <f>IFERROR(__xludf.DUMMYFUNCTION("if(isblank(A124),,REGEXMATCH(B124,""^U *\+ U *$""))"),FALSE)</f>
        <v>0</v>
      </c>
      <c r="P124" s="37" t="b">
        <f>IFERROR(__xludf.DUMMYFUNCTION("if(isblank(A124),,REGEXMATCH(B124,""(^U *\+ N *$)|(^N *\+ U *$)""))"),FALSE)</f>
        <v>0</v>
      </c>
      <c r="Q124" s="37" t="b">
        <f>IFERROR(__xludf.DUMMYFUNCTION("if(isblank(A124),,REGEXMATCH(B124,""^((I ?\+ ?(D ?I|I ?D))|((D ?I|I ?D) ?\+ ?I)) *$""))"),FALSE)</f>
        <v>0</v>
      </c>
      <c r="R124" s="37" t="b">
        <f>IFERROR(__xludf.DUMMYFUNCTION("if(isblank(A124),,REGEXMATCH(B124,""^((D ?\+ ?(D ?I|I ?D))|((D ?I|I ?D) ?\+ ?D)) *$""))"),FALSE)</f>
        <v>0</v>
      </c>
      <c r="S124" s="37" t="b">
        <f>IFERROR(__xludf.DUMMYFUNCTION("if(isblank(A124),,REGEXMATCH(B124,""^((U ?\+ ?(D ?I|I ?D))|((D ?I|I ?D) ?\+ ?U)) *$""))"),FALSE)</f>
        <v>0</v>
      </c>
      <c r="T124" s="37" t="b">
        <f>IFERROR(__xludf.DUMMYFUNCTION("if(isblank(A124),,REGEXMATCH(B124,""^((N ?\+ ?(D ?I|I ?D))|((D ?I|I ?D) ?\+ ?N)) *$""))"),FALSE)</f>
        <v>0</v>
      </c>
      <c r="U124" s="37" t="b">
        <f>IFERROR(__xludf.DUMMYFUNCTION("if(isblank(A124),,REGEXMATCH(B124,""^((I ?\+ ?(U ?I|I ?U))|((I ?U|U ?I) ?\+ ?I)) *$""))"),FALSE)</f>
        <v>0</v>
      </c>
      <c r="V124" s="37" t="b">
        <f>IFERROR(__xludf.DUMMYFUNCTION("if(isblank(A124),,REGEXMATCH(B124,""^((D ?\+ ?(U ?I|I ?U))|((I ?U|U ?I) ?\+ ?D)) *$""))"),FALSE)</f>
        <v>0</v>
      </c>
      <c r="W124" s="37" t="b">
        <f>IFERROR(__xludf.DUMMYFUNCTION("if(isblank(A124),,REGEXMATCH(B124,""^((U ?\+ ?(U ?I|I ?U))|((I ?U|U ?I) ?\+ ?U)) *$""))"),FALSE)</f>
        <v>0</v>
      </c>
      <c r="X124" s="37" t="b">
        <f>IFERROR(__xludf.DUMMYFUNCTION("if(isblank(A124),,REGEXMATCH(B124,""^((N ?\+ ?(U ?I|I ?U))|((I ?U|U ?I) ?\+ ?N)) *$""))"),FALSE)</f>
        <v>0</v>
      </c>
      <c r="Y124" s="37" t="b">
        <f>IFERROR(__xludf.DUMMYFUNCTION("if(isblank(A124),,REGEXMATCH(B124,""^((I ?\+ ?(U ?D|D ?U))|((D ?U|U ?D) ?\+ ?I)) *$""))"),FALSE)</f>
        <v>0</v>
      </c>
      <c r="Z124" s="37" t="b">
        <f>IFERROR(__xludf.DUMMYFUNCTION("if(isblank(A124),,REGEXMATCH(B124,""^((D ?\+ ?(U ?D|D ?U))|((D ?U|U ?D) ?\+ ?D)) *$""))"),FALSE)</f>
        <v>0</v>
      </c>
      <c r="AA124" s="37" t="b">
        <f>IFERROR(__xludf.DUMMYFUNCTION("if(isblank(A124),,REGEXMATCH(B124,""^((U ?\+ ?(U ?D|D ?U))|((D ?U|U ?D) ?\+ ?U)) *$""))"),FALSE)</f>
        <v>0</v>
      </c>
      <c r="AB124" s="37" t="b">
        <f>IFERROR(__xludf.DUMMYFUNCTION("if(isblank(A124),,REGEXMATCH(B124,""^((D ?I|I ?D) ?\+ ?(D ?I|I ?D)) *$""))"),FALSE)</f>
        <v>0</v>
      </c>
      <c r="AC124" s="37" t="b">
        <f>IFERROR(__xludf.DUMMYFUNCTION("if(isblank(A124),,REGEXMATCH(B124,""^((D ?I|I ?D) ?\+ ?(U ?I|I ?U))|((U ?I|I ?U) ?\+ ?(D ?I|I ?D)) *$""))"),FALSE)</f>
        <v>0</v>
      </c>
      <c r="AD124" s="37" t="b">
        <f>IFERROR(__xludf.DUMMYFUNCTION("if(isblank(A124),,REGEXMATCH(B124,""^I *vs\. I *$""))"),FALSE)</f>
        <v>0</v>
      </c>
      <c r="AE124" s="37" t="b">
        <f>IFERROR(__xludf.DUMMYFUNCTION("if(isblank(A124),,REGEXMATCH(B124,""(^I *vs\. D *$)|(^D *vs\. I *$)""))"),FALSE)</f>
        <v>0</v>
      </c>
      <c r="AF124" s="37" t="b">
        <f>IFERROR(__xludf.DUMMYFUNCTION("if(isblank(A124),,REGEXMATCH(B124,""(^I *vs\. U *$)|(^U *vs\. I *$)""))"),TRUE)</f>
        <v>1</v>
      </c>
      <c r="AG124" s="37" t="b">
        <f>IFERROR(__xludf.DUMMYFUNCTION("if(isblank(A124),,REGEXMATCH(B124,""^D *vs\. D *$""))"),FALSE)</f>
        <v>0</v>
      </c>
      <c r="AH124" s="37" t="b">
        <f>IFERROR(__xludf.DUMMYFUNCTION("if(isblank(A124),,REGEXMATCH(B124,""(^U *vs\. D *$)|(^D *vs\. U *$)""))"),FALSE)</f>
        <v>0</v>
      </c>
      <c r="AI124" s="37" t="b">
        <f>IFERROR(__xludf.DUMMYFUNCTION("if(isblank(A124),,REGEXMATCH(B124,""^U *vs\. U *$""))"),FALSE)</f>
        <v>0</v>
      </c>
      <c r="AJ124" s="37" t="b">
        <f>IFERROR(__xludf.DUMMYFUNCTION("if(isblank(A124),,REGEXMATCH(B124,""^((I ?vs\. ?(D ?I|I ?D))|((D ?I|I ?D) ?vs\. ?I)) *$""))"),FALSE)</f>
        <v>0</v>
      </c>
      <c r="AK124" s="37" t="b">
        <f>IFERROR(__xludf.DUMMYFUNCTION("if(isblank(A124),,REGEXMATCH(B124,""^((D ?vs\. ?(D ?I|I ?D))|((D ?I|I ?D) ?vs\. ?D)) *$""))"),FALSE)</f>
        <v>0</v>
      </c>
      <c r="AL124" s="37" t="b">
        <f>IFERROR(__xludf.DUMMYFUNCTION("if(isblank(A124),,REGEXMATCH(B124,""^((U ?vs\. ?(D ?I|I ?D))|((D ?I|I ?D) ?vs\. ?U)) *$""))"),FALSE)</f>
        <v>0</v>
      </c>
      <c r="AM124" s="37" t="b">
        <f>IFERROR(__xludf.DUMMYFUNCTION("if(isblank(A124),,REGEXMATCH(B124,""^((I ?vs\. ?(U ?I|I ?U))|((U ?I|I ?U) ?vs\. ?I)) *$""))"),FALSE)</f>
        <v>0</v>
      </c>
      <c r="AN124" s="37" t="b">
        <f>IFERROR(__xludf.DUMMYFUNCTION("if(isblank(A124),,REGEXMATCH(B124,""^((D ?vs\. ?(U ?I|I ?U))|((U ?I|I ?U) ?vs\. ?D)) *$""))"),FALSE)</f>
        <v>0</v>
      </c>
      <c r="AO124" s="37" t="b">
        <f>IFERROR(__xludf.DUMMYFUNCTION("if(isblank(A124),,REGEXMATCH(B124,""^((U ?vs\. ?(U ?I|I ?U))|((U ?I|I ?U) ?vs\. ?U)) *$""))"),FALSE)</f>
        <v>0</v>
      </c>
      <c r="AP124" s="37" t="b">
        <f>IFERROR(__xludf.DUMMYFUNCTION("if(isblank(A124),,REGEXMATCH(B124,""^((I ?vs\. ?(U ?D|D ?U))|((D ?U|U ?D) ?vs\. ?I)) *$""))"),FALSE)</f>
        <v>0</v>
      </c>
      <c r="AQ124" s="37" t="b">
        <f>IFERROR(__xludf.DUMMYFUNCTION("if(isblank(A124),,REGEXMATCH(B124,""^((D ?vs\. ?(U ?D|D ?U))|((D ?U|U ?D) ?vs\. ?D)) *$""))"),FALSE)</f>
        <v>0</v>
      </c>
      <c r="AR124" s="37" t="b">
        <f>IFERROR(__xludf.DUMMYFUNCTION("if(isblank(A124),,REGEXMATCH(B124,""^((U ?vs\. ?(U ?D|D ?U))|((D ?U|U ?D) ?vs\. ?U)) *$""))"),FALSE)</f>
        <v>0</v>
      </c>
      <c r="AS124" s="37" t="b">
        <f>IFERROR(__xludf.DUMMYFUNCTION("if(isblank(A124),,REGEXMATCH(B124,""^((D ?I|I ?D) ?vs\. ?(D ?I|I ?D)) *$""))"),FALSE)</f>
        <v>0</v>
      </c>
      <c r="AT124" s="37" t="b">
        <f>IFERROR(__xludf.DUMMYFUNCTION("if(isblank(A124),,REGEXMATCH(B124,""^((D ?I|I ?D) ?vs\. ?(U ?I|I ?U))|((U ?I|I ?U) ?vs\. ?(D ?I|I ?D)) *$""))"),FALSE)</f>
        <v>0</v>
      </c>
      <c r="AU124" s="37" t="b">
        <f>IFERROR(__xludf.DUMMYFUNCTION("if(isblank(A124),,REGEXMATCH(B124,""^((D ?I|I ?D) ?vs\. ?(U ?D|D ?U))|((U ?D|D ?U) ?vs\. ?(D ?I|I ?D)) *$""))"),FALSE)</f>
        <v>0</v>
      </c>
      <c r="AV124" s="37" t="b">
        <f>IFERROR(__xludf.DUMMYFUNCTION("if(isblank(A124),,REGEXMATCH(B124,""^((U ?I|I ?U) ?vs\. ?(U ?I|I ?U)) *$""))"),FALSE)</f>
        <v>0</v>
      </c>
    </row>
    <row r="125" ht="26.25" customHeight="1">
      <c r="A125" s="79" t="str">
        <f>Paper_Textual_Conflict!M125</f>
        <v>I + N
L includes R
Origin(U I vs. U)</v>
      </c>
      <c r="B125" s="37" t="str">
        <f>IFERROR(__xludf.DUMMYFUNCTION("if(isblank(A125),,regexextract(REGEXEXTRACT(A125,""^.*""),""^[^(]*""))"),"I + N")</f>
        <v>I + N</v>
      </c>
      <c r="C125" s="37" t="b">
        <f>IFERROR(__xludf.DUMMYFUNCTION("if(isblank(A125),,REGEXMATCH(B125,"".*\+.*"") )"),TRUE)</f>
        <v>1</v>
      </c>
      <c r="D125" s="37" t="b">
        <f>IFERROR(__xludf.DUMMYFUNCTION("if(isblank(A125),,REGEXMATCH(B125,"".*vs.*"") )"),FALSE)</f>
        <v>0</v>
      </c>
      <c r="E125" s="37" t="b">
        <f>Paper_Textual_Conflict!H125</f>
        <v>0</v>
      </c>
      <c r="F125" s="37" t="str">
        <f>Paper_Textual_Conflict!Q125</f>
        <v>Java</v>
      </c>
      <c r="G125" s="33">
        <v>125.0</v>
      </c>
      <c r="H125" s="37" t="b">
        <f>IFERROR(__xludf.DUMMYFUNCTION("if(isblank(A125),,REGEXMATCH(B125,""^I *\+ I *$""))"),FALSE)</f>
        <v>0</v>
      </c>
      <c r="I125" s="37" t="b">
        <f>IFERROR(__xludf.DUMMYFUNCTION("if(isblank(A125),,REGEXMATCH(B125,""(^I *\+ D *$)|(^D *\+ I *$)""))"),FALSE)</f>
        <v>0</v>
      </c>
      <c r="J125" s="37" t="b">
        <f>IFERROR(__xludf.DUMMYFUNCTION("if(isblank(A125),,REGEXMATCH(B125,""(^I *\+ U *$)|(^U *\+ I *$)""))"),FALSE)</f>
        <v>0</v>
      </c>
      <c r="K125" s="37" t="b">
        <f>IFERROR(__xludf.DUMMYFUNCTION("if(isblank(A125),,REGEXMATCH(B125,""(^I *\+ N *$)|(^N *\+ I *$)"") )"),TRUE)</f>
        <v>1</v>
      </c>
      <c r="L125" s="37" t="b">
        <f>IFERROR(__xludf.DUMMYFUNCTION("if(isblank(A125),,REGEXMATCH(B125,""^D *\+ D *$""))"),FALSE)</f>
        <v>0</v>
      </c>
      <c r="M125" s="37" t="b">
        <f>IFERROR(__xludf.DUMMYFUNCTION("if(isblank(A125),,REGEXMATCH(B125,""(^U *\+ D *$)|(^D *\+ U *$)""))"),FALSE)</f>
        <v>0</v>
      </c>
      <c r="N125" s="37" t="b">
        <f>IFERROR(__xludf.DUMMYFUNCTION("if(isblank(A125),,REGEXMATCH(B125,""(^N *\+ D *$)|(^D *\+ N *$)""))"),FALSE)</f>
        <v>0</v>
      </c>
      <c r="O125" s="37" t="b">
        <f>IFERROR(__xludf.DUMMYFUNCTION("if(isblank(A125),,REGEXMATCH(B125,""^U *\+ U *$""))"),FALSE)</f>
        <v>0</v>
      </c>
      <c r="P125" s="37" t="b">
        <f>IFERROR(__xludf.DUMMYFUNCTION("if(isblank(A125),,REGEXMATCH(B125,""(^U *\+ N *$)|(^N *\+ U *$)""))"),FALSE)</f>
        <v>0</v>
      </c>
      <c r="Q125" s="37" t="b">
        <f>IFERROR(__xludf.DUMMYFUNCTION("if(isblank(A125),,REGEXMATCH(B125,""^((I ?\+ ?(D ?I|I ?D))|((D ?I|I ?D) ?\+ ?I)) *$""))"),FALSE)</f>
        <v>0</v>
      </c>
      <c r="R125" s="37" t="b">
        <f>IFERROR(__xludf.DUMMYFUNCTION("if(isblank(A125),,REGEXMATCH(B125,""^((D ?\+ ?(D ?I|I ?D))|((D ?I|I ?D) ?\+ ?D)) *$""))"),FALSE)</f>
        <v>0</v>
      </c>
      <c r="S125" s="37" t="b">
        <f>IFERROR(__xludf.DUMMYFUNCTION("if(isblank(A125),,REGEXMATCH(B125,""^((U ?\+ ?(D ?I|I ?D))|((D ?I|I ?D) ?\+ ?U)) *$""))"),FALSE)</f>
        <v>0</v>
      </c>
      <c r="T125" s="37" t="b">
        <f>IFERROR(__xludf.DUMMYFUNCTION("if(isblank(A125),,REGEXMATCH(B125,""^((N ?\+ ?(D ?I|I ?D))|((D ?I|I ?D) ?\+ ?N)) *$""))"),FALSE)</f>
        <v>0</v>
      </c>
      <c r="U125" s="37" t="b">
        <f>IFERROR(__xludf.DUMMYFUNCTION("if(isblank(A125),,REGEXMATCH(B125,""^((I ?\+ ?(U ?I|I ?U))|((I ?U|U ?I) ?\+ ?I)) *$""))"),FALSE)</f>
        <v>0</v>
      </c>
      <c r="V125" s="37" t="b">
        <f>IFERROR(__xludf.DUMMYFUNCTION("if(isblank(A125),,REGEXMATCH(B125,""^((D ?\+ ?(U ?I|I ?U))|((I ?U|U ?I) ?\+ ?D)) *$""))"),FALSE)</f>
        <v>0</v>
      </c>
      <c r="W125" s="37" t="b">
        <f>IFERROR(__xludf.DUMMYFUNCTION("if(isblank(A125),,REGEXMATCH(B125,""^((U ?\+ ?(U ?I|I ?U))|((I ?U|U ?I) ?\+ ?U)) *$""))"),FALSE)</f>
        <v>0</v>
      </c>
      <c r="X125" s="37" t="b">
        <f>IFERROR(__xludf.DUMMYFUNCTION("if(isblank(A125),,REGEXMATCH(B125,""^((N ?\+ ?(U ?I|I ?U))|((I ?U|U ?I) ?\+ ?N)) *$""))"),FALSE)</f>
        <v>0</v>
      </c>
      <c r="Y125" s="37" t="b">
        <f>IFERROR(__xludf.DUMMYFUNCTION("if(isblank(A125),,REGEXMATCH(B125,""^((I ?\+ ?(U ?D|D ?U))|((D ?U|U ?D) ?\+ ?I)) *$""))"),FALSE)</f>
        <v>0</v>
      </c>
      <c r="Z125" s="37" t="b">
        <f>IFERROR(__xludf.DUMMYFUNCTION("if(isblank(A125),,REGEXMATCH(B125,""^((D ?\+ ?(U ?D|D ?U))|((D ?U|U ?D) ?\+ ?D)) *$""))"),FALSE)</f>
        <v>0</v>
      </c>
      <c r="AA125" s="37" t="b">
        <f>IFERROR(__xludf.DUMMYFUNCTION("if(isblank(A125),,REGEXMATCH(B125,""^((U ?\+ ?(U ?D|D ?U))|((D ?U|U ?D) ?\+ ?U)) *$""))"),FALSE)</f>
        <v>0</v>
      </c>
      <c r="AB125" s="37" t="b">
        <f>IFERROR(__xludf.DUMMYFUNCTION("if(isblank(A125),,REGEXMATCH(B125,""^((D ?I|I ?D) ?\+ ?(D ?I|I ?D)) *$""))"),FALSE)</f>
        <v>0</v>
      </c>
      <c r="AC125" s="37" t="b">
        <f>IFERROR(__xludf.DUMMYFUNCTION("if(isblank(A125),,REGEXMATCH(B125,""^((D ?I|I ?D) ?\+ ?(U ?I|I ?U))|((U ?I|I ?U) ?\+ ?(D ?I|I ?D)) *$""))"),FALSE)</f>
        <v>0</v>
      </c>
      <c r="AD125" s="37" t="b">
        <f>IFERROR(__xludf.DUMMYFUNCTION("if(isblank(A125),,REGEXMATCH(B125,""^I *vs\. I *$""))"),FALSE)</f>
        <v>0</v>
      </c>
      <c r="AE125" s="37" t="b">
        <f>IFERROR(__xludf.DUMMYFUNCTION("if(isblank(A125),,REGEXMATCH(B125,""(^I *vs\. D *$)|(^D *vs\. I *$)""))"),FALSE)</f>
        <v>0</v>
      </c>
      <c r="AF125" s="37" t="b">
        <f>IFERROR(__xludf.DUMMYFUNCTION("if(isblank(A125),,REGEXMATCH(B125,""(^I *vs\. U *$)|(^U *vs\. I *$)""))"),FALSE)</f>
        <v>0</v>
      </c>
      <c r="AG125" s="37" t="b">
        <f>IFERROR(__xludf.DUMMYFUNCTION("if(isblank(A125),,REGEXMATCH(B125,""^D *vs\. D *$""))"),FALSE)</f>
        <v>0</v>
      </c>
      <c r="AH125" s="37" t="b">
        <f>IFERROR(__xludf.DUMMYFUNCTION("if(isblank(A125),,REGEXMATCH(B125,""(^U *vs\. D *$)|(^D *vs\. U *$)""))"),FALSE)</f>
        <v>0</v>
      </c>
      <c r="AI125" s="37" t="b">
        <f>IFERROR(__xludf.DUMMYFUNCTION("if(isblank(A125),,REGEXMATCH(B125,""^U *vs\. U *$""))"),FALSE)</f>
        <v>0</v>
      </c>
      <c r="AJ125" s="37" t="b">
        <f>IFERROR(__xludf.DUMMYFUNCTION("if(isblank(A125),,REGEXMATCH(B125,""^((I ?vs\. ?(D ?I|I ?D))|((D ?I|I ?D) ?vs\. ?I)) *$""))"),FALSE)</f>
        <v>0</v>
      </c>
      <c r="AK125" s="37" t="b">
        <f>IFERROR(__xludf.DUMMYFUNCTION("if(isblank(A125),,REGEXMATCH(B125,""^((D ?vs\. ?(D ?I|I ?D))|((D ?I|I ?D) ?vs\. ?D)) *$""))"),FALSE)</f>
        <v>0</v>
      </c>
      <c r="AL125" s="37" t="b">
        <f>IFERROR(__xludf.DUMMYFUNCTION("if(isblank(A125),,REGEXMATCH(B125,""^((U ?vs\. ?(D ?I|I ?D))|((D ?I|I ?D) ?vs\. ?U)) *$""))"),FALSE)</f>
        <v>0</v>
      </c>
      <c r="AM125" s="37" t="b">
        <f>IFERROR(__xludf.DUMMYFUNCTION("if(isblank(A125),,REGEXMATCH(B125,""^((I ?vs\. ?(U ?I|I ?U))|((U ?I|I ?U) ?vs\. ?I)) *$""))"),FALSE)</f>
        <v>0</v>
      </c>
      <c r="AN125" s="37" t="b">
        <f>IFERROR(__xludf.DUMMYFUNCTION("if(isblank(A125),,REGEXMATCH(B125,""^((D ?vs\. ?(U ?I|I ?U))|((U ?I|I ?U) ?vs\. ?D)) *$""))"),FALSE)</f>
        <v>0</v>
      </c>
      <c r="AO125" s="37" t="b">
        <f>IFERROR(__xludf.DUMMYFUNCTION("if(isblank(A125),,REGEXMATCH(B125,""^((U ?vs\. ?(U ?I|I ?U))|((U ?I|I ?U) ?vs\. ?U)) *$""))"),FALSE)</f>
        <v>0</v>
      </c>
      <c r="AP125" s="37" t="b">
        <f>IFERROR(__xludf.DUMMYFUNCTION("if(isblank(A125),,REGEXMATCH(B125,""^((I ?vs\. ?(U ?D|D ?U))|((D ?U|U ?D) ?vs\. ?I)) *$""))"),FALSE)</f>
        <v>0</v>
      </c>
      <c r="AQ125" s="37" t="b">
        <f>IFERROR(__xludf.DUMMYFUNCTION("if(isblank(A125),,REGEXMATCH(B125,""^((D ?vs\. ?(U ?D|D ?U))|((D ?U|U ?D) ?vs\. ?D)) *$""))"),FALSE)</f>
        <v>0</v>
      </c>
      <c r="AR125" s="37" t="b">
        <f>IFERROR(__xludf.DUMMYFUNCTION("if(isblank(A125),,REGEXMATCH(B125,""^((U ?vs\. ?(U ?D|D ?U))|((D ?U|U ?D) ?vs\. ?U)) *$""))"),FALSE)</f>
        <v>0</v>
      </c>
      <c r="AS125" s="37" t="b">
        <f>IFERROR(__xludf.DUMMYFUNCTION("if(isblank(A125),,REGEXMATCH(B125,""^((D ?I|I ?D) ?vs\. ?(D ?I|I ?D)) *$""))"),FALSE)</f>
        <v>0</v>
      </c>
      <c r="AT125" s="37" t="b">
        <f>IFERROR(__xludf.DUMMYFUNCTION("if(isblank(A125),,REGEXMATCH(B125,""^((D ?I|I ?D) ?vs\. ?(U ?I|I ?U))|((U ?I|I ?U) ?vs\. ?(D ?I|I ?D)) *$""))"),FALSE)</f>
        <v>0</v>
      </c>
      <c r="AU125" s="37" t="b">
        <f>IFERROR(__xludf.DUMMYFUNCTION("if(isblank(A125),,REGEXMATCH(B125,""^((D ?I|I ?D) ?vs\. ?(U ?D|D ?U))|((U ?D|D ?U) ?vs\. ?(D ?I|I ?D)) *$""))"),FALSE)</f>
        <v>0</v>
      </c>
      <c r="AV125" s="37" t="b">
        <f>IFERROR(__xludf.DUMMYFUNCTION("if(isblank(A125),,REGEXMATCH(B125,""^((U ?I|I ?U) ?vs\. ?(U ?I|I ?U)) *$""))"),FALSE)</f>
        <v>0</v>
      </c>
    </row>
    <row r="126" ht="26.25" customHeight="1">
      <c r="A126" s="79" t="str">
        <f>Paper_Textual_Conflict!M126</f>
        <v>U + U</v>
      </c>
      <c r="B126" s="37" t="str">
        <f>IFERROR(__xludf.DUMMYFUNCTION("if(isblank(A126),,regexextract(REGEXEXTRACT(A126,""^.*""),""^[^(]*""))"),"U + U")</f>
        <v>U + U</v>
      </c>
      <c r="C126" s="37" t="b">
        <f>IFERROR(__xludf.DUMMYFUNCTION("if(isblank(A126),,REGEXMATCH(B126,"".*\+.*"") )"),TRUE)</f>
        <v>1</v>
      </c>
      <c r="D126" s="37" t="b">
        <f>IFERROR(__xludf.DUMMYFUNCTION("if(isblank(A126),,REGEXMATCH(B126,"".*vs.*"") )"),FALSE)</f>
        <v>0</v>
      </c>
      <c r="E126" s="37" t="b">
        <f>Paper_Textual_Conflict!H126</f>
        <v>0</v>
      </c>
      <c r="F126" s="37" t="str">
        <f>Paper_Textual_Conflict!Q126</f>
        <v>Java</v>
      </c>
      <c r="G126" s="33">
        <v>126.0</v>
      </c>
      <c r="H126" s="37" t="b">
        <f>IFERROR(__xludf.DUMMYFUNCTION("if(isblank(A126),,REGEXMATCH(B126,""^I *\+ I *$""))"),FALSE)</f>
        <v>0</v>
      </c>
      <c r="I126" s="37" t="b">
        <f>IFERROR(__xludf.DUMMYFUNCTION("if(isblank(A126),,REGEXMATCH(B126,""(^I *\+ D *$)|(^D *\+ I *$)""))"),FALSE)</f>
        <v>0</v>
      </c>
      <c r="J126" s="37" t="b">
        <f>IFERROR(__xludf.DUMMYFUNCTION("if(isblank(A126),,REGEXMATCH(B126,""(^I *\+ U *$)|(^U *\+ I *$)""))"),FALSE)</f>
        <v>0</v>
      </c>
      <c r="K126" s="37" t="b">
        <f>IFERROR(__xludf.DUMMYFUNCTION("if(isblank(A126),,REGEXMATCH(B126,""(^I *\+ N *$)|(^N *\+ I *$)"") )"),FALSE)</f>
        <v>0</v>
      </c>
      <c r="L126" s="37" t="b">
        <f>IFERROR(__xludf.DUMMYFUNCTION("if(isblank(A126),,REGEXMATCH(B126,""^D *\+ D *$""))"),FALSE)</f>
        <v>0</v>
      </c>
      <c r="M126" s="37" t="b">
        <f>IFERROR(__xludf.DUMMYFUNCTION("if(isblank(A126),,REGEXMATCH(B126,""(^U *\+ D *$)|(^D *\+ U *$)""))"),FALSE)</f>
        <v>0</v>
      </c>
      <c r="N126" s="37" t="b">
        <f>IFERROR(__xludf.DUMMYFUNCTION("if(isblank(A126),,REGEXMATCH(B126,""(^N *\+ D *$)|(^D *\+ N *$)""))"),FALSE)</f>
        <v>0</v>
      </c>
      <c r="O126" s="37" t="b">
        <f>IFERROR(__xludf.DUMMYFUNCTION("if(isblank(A126),,REGEXMATCH(B126,""^U *\+ U *$""))"),TRUE)</f>
        <v>1</v>
      </c>
      <c r="P126" s="37" t="b">
        <f>IFERROR(__xludf.DUMMYFUNCTION("if(isblank(A126),,REGEXMATCH(B126,""(^U *\+ N *$)|(^N *\+ U *$)""))"),FALSE)</f>
        <v>0</v>
      </c>
      <c r="Q126" s="37" t="b">
        <f>IFERROR(__xludf.DUMMYFUNCTION("if(isblank(A126),,REGEXMATCH(B126,""^((I ?\+ ?(D ?I|I ?D))|((D ?I|I ?D) ?\+ ?I)) *$""))"),FALSE)</f>
        <v>0</v>
      </c>
      <c r="R126" s="37" t="b">
        <f>IFERROR(__xludf.DUMMYFUNCTION("if(isblank(A126),,REGEXMATCH(B126,""^((D ?\+ ?(D ?I|I ?D))|((D ?I|I ?D) ?\+ ?D)) *$""))"),FALSE)</f>
        <v>0</v>
      </c>
      <c r="S126" s="37" t="b">
        <f>IFERROR(__xludf.DUMMYFUNCTION("if(isblank(A126),,REGEXMATCH(B126,""^((U ?\+ ?(D ?I|I ?D))|((D ?I|I ?D) ?\+ ?U)) *$""))"),FALSE)</f>
        <v>0</v>
      </c>
      <c r="T126" s="37" t="b">
        <f>IFERROR(__xludf.DUMMYFUNCTION("if(isblank(A126),,REGEXMATCH(B126,""^((N ?\+ ?(D ?I|I ?D))|((D ?I|I ?D) ?\+ ?N)) *$""))"),FALSE)</f>
        <v>0</v>
      </c>
      <c r="U126" s="37" t="b">
        <f>IFERROR(__xludf.DUMMYFUNCTION("if(isblank(A126),,REGEXMATCH(B126,""^((I ?\+ ?(U ?I|I ?U))|((I ?U|U ?I) ?\+ ?I)) *$""))"),FALSE)</f>
        <v>0</v>
      </c>
      <c r="V126" s="37" t="b">
        <f>IFERROR(__xludf.DUMMYFUNCTION("if(isblank(A126),,REGEXMATCH(B126,""^((D ?\+ ?(U ?I|I ?U))|((I ?U|U ?I) ?\+ ?D)) *$""))"),FALSE)</f>
        <v>0</v>
      </c>
      <c r="W126" s="37" t="b">
        <f>IFERROR(__xludf.DUMMYFUNCTION("if(isblank(A126),,REGEXMATCH(B126,""^((U ?\+ ?(U ?I|I ?U))|((I ?U|U ?I) ?\+ ?U)) *$""))"),FALSE)</f>
        <v>0</v>
      </c>
      <c r="X126" s="37" t="b">
        <f>IFERROR(__xludf.DUMMYFUNCTION("if(isblank(A126),,REGEXMATCH(B126,""^((N ?\+ ?(U ?I|I ?U))|((I ?U|U ?I) ?\+ ?N)) *$""))"),FALSE)</f>
        <v>0</v>
      </c>
      <c r="Y126" s="37" t="b">
        <f>IFERROR(__xludf.DUMMYFUNCTION("if(isblank(A126),,REGEXMATCH(B126,""^((I ?\+ ?(U ?D|D ?U))|((D ?U|U ?D) ?\+ ?I)) *$""))"),FALSE)</f>
        <v>0</v>
      </c>
      <c r="Z126" s="37" t="b">
        <f>IFERROR(__xludf.DUMMYFUNCTION("if(isblank(A126),,REGEXMATCH(B126,""^((D ?\+ ?(U ?D|D ?U))|((D ?U|U ?D) ?\+ ?D)) *$""))"),FALSE)</f>
        <v>0</v>
      </c>
      <c r="AA126" s="37" t="b">
        <f>IFERROR(__xludf.DUMMYFUNCTION("if(isblank(A126),,REGEXMATCH(B126,""^((U ?\+ ?(U ?D|D ?U))|((D ?U|U ?D) ?\+ ?U)) *$""))"),FALSE)</f>
        <v>0</v>
      </c>
      <c r="AB126" s="37" t="b">
        <f>IFERROR(__xludf.DUMMYFUNCTION("if(isblank(A126),,REGEXMATCH(B126,""^((D ?I|I ?D) ?\+ ?(D ?I|I ?D)) *$""))"),FALSE)</f>
        <v>0</v>
      </c>
      <c r="AC126" s="37" t="b">
        <f>IFERROR(__xludf.DUMMYFUNCTION("if(isblank(A126),,REGEXMATCH(B126,""^((D ?I|I ?D) ?\+ ?(U ?I|I ?U))|((U ?I|I ?U) ?\+ ?(D ?I|I ?D)) *$""))"),FALSE)</f>
        <v>0</v>
      </c>
      <c r="AD126" s="37" t="b">
        <f>IFERROR(__xludf.DUMMYFUNCTION("if(isblank(A126),,REGEXMATCH(B126,""^I *vs\. I *$""))"),FALSE)</f>
        <v>0</v>
      </c>
      <c r="AE126" s="37" t="b">
        <f>IFERROR(__xludf.DUMMYFUNCTION("if(isblank(A126),,REGEXMATCH(B126,""(^I *vs\. D *$)|(^D *vs\. I *$)""))"),FALSE)</f>
        <v>0</v>
      </c>
      <c r="AF126" s="37" t="b">
        <f>IFERROR(__xludf.DUMMYFUNCTION("if(isblank(A126),,REGEXMATCH(B126,""(^I *vs\. U *$)|(^U *vs\. I *$)""))"),FALSE)</f>
        <v>0</v>
      </c>
      <c r="AG126" s="37" t="b">
        <f>IFERROR(__xludf.DUMMYFUNCTION("if(isblank(A126),,REGEXMATCH(B126,""^D *vs\. D *$""))"),FALSE)</f>
        <v>0</v>
      </c>
      <c r="AH126" s="37" t="b">
        <f>IFERROR(__xludf.DUMMYFUNCTION("if(isblank(A126),,REGEXMATCH(B126,""(^U *vs\. D *$)|(^D *vs\. U *$)""))"),FALSE)</f>
        <v>0</v>
      </c>
      <c r="AI126" s="37" t="b">
        <f>IFERROR(__xludf.DUMMYFUNCTION("if(isblank(A126),,REGEXMATCH(B126,""^U *vs\. U *$""))"),FALSE)</f>
        <v>0</v>
      </c>
      <c r="AJ126" s="37" t="b">
        <f>IFERROR(__xludf.DUMMYFUNCTION("if(isblank(A126),,REGEXMATCH(B126,""^((I ?vs\. ?(D ?I|I ?D))|((D ?I|I ?D) ?vs\. ?I)) *$""))"),FALSE)</f>
        <v>0</v>
      </c>
      <c r="AK126" s="37" t="b">
        <f>IFERROR(__xludf.DUMMYFUNCTION("if(isblank(A126),,REGEXMATCH(B126,""^((D ?vs\. ?(D ?I|I ?D))|((D ?I|I ?D) ?vs\. ?D)) *$""))"),FALSE)</f>
        <v>0</v>
      </c>
      <c r="AL126" s="37" t="b">
        <f>IFERROR(__xludf.DUMMYFUNCTION("if(isblank(A126),,REGEXMATCH(B126,""^((U ?vs\. ?(D ?I|I ?D))|((D ?I|I ?D) ?vs\. ?U)) *$""))"),FALSE)</f>
        <v>0</v>
      </c>
      <c r="AM126" s="37" t="b">
        <f>IFERROR(__xludf.DUMMYFUNCTION("if(isblank(A126),,REGEXMATCH(B126,""^((I ?vs\. ?(U ?I|I ?U))|((U ?I|I ?U) ?vs\. ?I)) *$""))"),FALSE)</f>
        <v>0</v>
      </c>
      <c r="AN126" s="37" t="b">
        <f>IFERROR(__xludf.DUMMYFUNCTION("if(isblank(A126),,REGEXMATCH(B126,""^((D ?vs\. ?(U ?I|I ?U))|((U ?I|I ?U) ?vs\. ?D)) *$""))"),FALSE)</f>
        <v>0</v>
      </c>
      <c r="AO126" s="37" t="b">
        <f>IFERROR(__xludf.DUMMYFUNCTION("if(isblank(A126),,REGEXMATCH(B126,""^((U ?vs\. ?(U ?I|I ?U))|((U ?I|I ?U) ?vs\. ?U)) *$""))"),FALSE)</f>
        <v>0</v>
      </c>
      <c r="AP126" s="37" t="b">
        <f>IFERROR(__xludf.DUMMYFUNCTION("if(isblank(A126),,REGEXMATCH(B126,""^((I ?vs\. ?(U ?D|D ?U))|((D ?U|U ?D) ?vs\. ?I)) *$""))"),FALSE)</f>
        <v>0</v>
      </c>
      <c r="AQ126" s="37" t="b">
        <f>IFERROR(__xludf.DUMMYFUNCTION("if(isblank(A126),,REGEXMATCH(B126,""^((D ?vs\. ?(U ?D|D ?U))|((D ?U|U ?D) ?vs\. ?D)) *$""))"),FALSE)</f>
        <v>0</v>
      </c>
      <c r="AR126" s="37" t="b">
        <f>IFERROR(__xludf.DUMMYFUNCTION("if(isblank(A126),,REGEXMATCH(B126,""^((U ?vs\. ?(U ?D|D ?U))|((D ?U|U ?D) ?vs\. ?U)) *$""))"),FALSE)</f>
        <v>0</v>
      </c>
      <c r="AS126" s="37" t="b">
        <f>IFERROR(__xludf.DUMMYFUNCTION("if(isblank(A126),,REGEXMATCH(B126,""^((D ?I|I ?D) ?vs\. ?(D ?I|I ?D)) *$""))"),FALSE)</f>
        <v>0</v>
      </c>
      <c r="AT126" s="37" t="b">
        <f>IFERROR(__xludf.DUMMYFUNCTION("if(isblank(A126),,REGEXMATCH(B126,""^((D ?I|I ?D) ?vs\. ?(U ?I|I ?U))|((U ?I|I ?U) ?vs\. ?(D ?I|I ?D)) *$""))"),FALSE)</f>
        <v>0</v>
      </c>
      <c r="AU126" s="37" t="b">
        <f>IFERROR(__xludf.DUMMYFUNCTION("if(isblank(A126),,REGEXMATCH(B126,""^((D ?I|I ?D) ?vs\. ?(U ?D|D ?U))|((U ?D|D ?U) ?vs\. ?(D ?I|I ?D)) *$""))"),FALSE)</f>
        <v>0</v>
      </c>
      <c r="AV126" s="37" t="b">
        <f>IFERROR(__xludf.DUMMYFUNCTION("if(isblank(A126),,REGEXMATCH(B126,""^((U ?I|I ?U) ?vs\. ?(U ?I|I ?U)) *$""))"),FALSE)</f>
        <v>0</v>
      </c>
    </row>
    <row r="127" ht="26.25" customHeight="1">
      <c r="A127" s="79" t="str">
        <f>Paper_Textual_Conflict!M127</f>
        <v>I + N
L includes R
Origin(U I vs. U)</v>
      </c>
      <c r="B127" s="37" t="str">
        <f>IFERROR(__xludf.DUMMYFUNCTION("if(isblank(A127),,regexextract(REGEXEXTRACT(A127,""^.*""),""^[^(]*""))"),"I + N")</f>
        <v>I + N</v>
      </c>
      <c r="C127" s="37" t="b">
        <f>IFERROR(__xludf.DUMMYFUNCTION("if(isblank(A127),,REGEXMATCH(B127,"".*\+.*"") )"),TRUE)</f>
        <v>1</v>
      </c>
      <c r="D127" s="37" t="b">
        <f>IFERROR(__xludf.DUMMYFUNCTION("if(isblank(A127),,REGEXMATCH(B127,"".*vs.*"") )"),FALSE)</f>
        <v>0</v>
      </c>
      <c r="E127" s="37" t="b">
        <f>Paper_Textual_Conflict!H127</f>
        <v>0</v>
      </c>
      <c r="F127" s="37" t="str">
        <f>Paper_Textual_Conflict!Q127</f>
        <v>Non-Java</v>
      </c>
      <c r="G127" s="33">
        <v>127.0</v>
      </c>
      <c r="H127" s="37" t="b">
        <f>IFERROR(__xludf.DUMMYFUNCTION("if(isblank(A127),,REGEXMATCH(B127,""^I *\+ I *$""))"),FALSE)</f>
        <v>0</v>
      </c>
      <c r="I127" s="37" t="b">
        <f>IFERROR(__xludf.DUMMYFUNCTION("if(isblank(A127),,REGEXMATCH(B127,""(^I *\+ D *$)|(^D *\+ I *$)""))"),FALSE)</f>
        <v>0</v>
      </c>
      <c r="J127" s="37" t="b">
        <f>IFERROR(__xludf.DUMMYFUNCTION("if(isblank(A127),,REGEXMATCH(B127,""(^I *\+ U *$)|(^U *\+ I *$)""))"),FALSE)</f>
        <v>0</v>
      </c>
      <c r="K127" s="37" t="b">
        <f>IFERROR(__xludf.DUMMYFUNCTION("if(isblank(A127),,REGEXMATCH(B127,""(^I *\+ N *$)|(^N *\+ I *$)"") )"),TRUE)</f>
        <v>1</v>
      </c>
      <c r="L127" s="37" t="b">
        <f>IFERROR(__xludf.DUMMYFUNCTION("if(isblank(A127),,REGEXMATCH(B127,""^D *\+ D *$""))"),FALSE)</f>
        <v>0</v>
      </c>
      <c r="M127" s="37" t="b">
        <f>IFERROR(__xludf.DUMMYFUNCTION("if(isblank(A127),,REGEXMATCH(B127,""(^U *\+ D *$)|(^D *\+ U *$)""))"),FALSE)</f>
        <v>0</v>
      </c>
      <c r="N127" s="37" t="b">
        <f>IFERROR(__xludf.DUMMYFUNCTION("if(isblank(A127),,REGEXMATCH(B127,""(^N *\+ D *$)|(^D *\+ N *$)""))"),FALSE)</f>
        <v>0</v>
      </c>
      <c r="O127" s="37" t="b">
        <f>IFERROR(__xludf.DUMMYFUNCTION("if(isblank(A127),,REGEXMATCH(B127,""^U *\+ U *$""))"),FALSE)</f>
        <v>0</v>
      </c>
      <c r="P127" s="37" t="b">
        <f>IFERROR(__xludf.DUMMYFUNCTION("if(isblank(A127),,REGEXMATCH(B127,""(^U *\+ N *$)|(^N *\+ U *$)""))"),FALSE)</f>
        <v>0</v>
      </c>
      <c r="Q127" s="37" t="b">
        <f>IFERROR(__xludf.DUMMYFUNCTION("if(isblank(A127),,REGEXMATCH(B127,""^((I ?\+ ?(D ?I|I ?D))|((D ?I|I ?D) ?\+ ?I)) *$""))"),FALSE)</f>
        <v>0</v>
      </c>
      <c r="R127" s="37" t="b">
        <f>IFERROR(__xludf.DUMMYFUNCTION("if(isblank(A127),,REGEXMATCH(B127,""^((D ?\+ ?(D ?I|I ?D))|((D ?I|I ?D) ?\+ ?D)) *$""))"),FALSE)</f>
        <v>0</v>
      </c>
      <c r="S127" s="37" t="b">
        <f>IFERROR(__xludf.DUMMYFUNCTION("if(isblank(A127),,REGEXMATCH(B127,""^((U ?\+ ?(D ?I|I ?D))|((D ?I|I ?D) ?\+ ?U)) *$""))"),FALSE)</f>
        <v>0</v>
      </c>
      <c r="T127" s="37" t="b">
        <f>IFERROR(__xludf.DUMMYFUNCTION("if(isblank(A127),,REGEXMATCH(B127,""^((N ?\+ ?(D ?I|I ?D))|((D ?I|I ?D) ?\+ ?N)) *$""))"),FALSE)</f>
        <v>0</v>
      </c>
      <c r="U127" s="37" t="b">
        <f>IFERROR(__xludf.DUMMYFUNCTION("if(isblank(A127),,REGEXMATCH(B127,""^((I ?\+ ?(U ?I|I ?U))|((I ?U|U ?I) ?\+ ?I)) *$""))"),FALSE)</f>
        <v>0</v>
      </c>
      <c r="V127" s="37" t="b">
        <f>IFERROR(__xludf.DUMMYFUNCTION("if(isblank(A127),,REGEXMATCH(B127,""^((D ?\+ ?(U ?I|I ?U))|((I ?U|U ?I) ?\+ ?D)) *$""))"),FALSE)</f>
        <v>0</v>
      </c>
      <c r="W127" s="37" t="b">
        <f>IFERROR(__xludf.DUMMYFUNCTION("if(isblank(A127),,REGEXMATCH(B127,""^((U ?\+ ?(U ?I|I ?U))|((I ?U|U ?I) ?\+ ?U)) *$""))"),FALSE)</f>
        <v>0</v>
      </c>
      <c r="X127" s="37" t="b">
        <f>IFERROR(__xludf.DUMMYFUNCTION("if(isblank(A127),,REGEXMATCH(B127,""^((N ?\+ ?(U ?I|I ?U))|((I ?U|U ?I) ?\+ ?N)) *$""))"),FALSE)</f>
        <v>0</v>
      </c>
      <c r="Y127" s="37" t="b">
        <f>IFERROR(__xludf.DUMMYFUNCTION("if(isblank(A127),,REGEXMATCH(B127,""^((I ?\+ ?(U ?D|D ?U))|((D ?U|U ?D) ?\+ ?I)) *$""))"),FALSE)</f>
        <v>0</v>
      </c>
      <c r="Z127" s="37" t="b">
        <f>IFERROR(__xludf.DUMMYFUNCTION("if(isblank(A127),,REGEXMATCH(B127,""^((D ?\+ ?(U ?D|D ?U))|((D ?U|U ?D) ?\+ ?D)) *$""))"),FALSE)</f>
        <v>0</v>
      </c>
      <c r="AA127" s="37" t="b">
        <f>IFERROR(__xludf.DUMMYFUNCTION("if(isblank(A127),,REGEXMATCH(B127,""^((U ?\+ ?(U ?D|D ?U))|((D ?U|U ?D) ?\+ ?U)) *$""))"),FALSE)</f>
        <v>0</v>
      </c>
      <c r="AB127" s="37" t="b">
        <f>IFERROR(__xludf.DUMMYFUNCTION("if(isblank(A127),,REGEXMATCH(B127,""^((D ?I|I ?D) ?\+ ?(D ?I|I ?D)) *$""))"),FALSE)</f>
        <v>0</v>
      </c>
      <c r="AC127" s="37" t="b">
        <f>IFERROR(__xludf.DUMMYFUNCTION("if(isblank(A127),,REGEXMATCH(B127,""^((D ?I|I ?D) ?\+ ?(U ?I|I ?U))|((U ?I|I ?U) ?\+ ?(D ?I|I ?D)) *$""))"),FALSE)</f>
        <v>0</v>
      </c>
      <c r="AD127" s="37" t="b">
        <f>IFERROR(__xludf.DUMMYFUNCTION("if(isblank(A127),,REGEXMATCH(B127,""^I *vs\. I *$""))"),FALSE)</f>
        <v>0</v>
      </c>
      <c r="AE127" s="37" t="b">
        <f>IFERROR(__xludf.DUMMYFUNCTION("if(isblank(A127),,REGEXMATCH(B127,""(^I *vs\. D *$)|(^D *vs\. I *$)""))"),FALSE)</f>
        <v>0</v>
      </c>
      <c r="AF127" s="37" t="b">
        <f>IFERROR(__xludf.DUMMYFUNCTION("if(isblank(A127),,REGEXMATCH(B127,""(^I *vs\. U *$)|(^U *vs\. I *$)""))"),FALSE)</f>
        <v>0</v>
      </c>
      <c r="AG127" s="37" t="b">
        <f>IFERROR(__xludf.DUMMYFUNCTION("if(isblank(A127),,REGEXMATCH(B127,""^D *vs\. D *$""))"),FALSE)</f>
        <v>0</v>
      </c>
      <c r="AH127" s="37" t="b">
        <f>IFERROR(__xludf.DUMMYFUNCTION("if(isblank(A127),,REGEXMATCH(B127,""(^U *vs\. D *$)|(^D *vs\. U *$)""))"),FALSE)</f>
        <v>0</v>
      </c>
      <c r="AI127" s="37" t="b">
        <f>IFERROR(__xludf.DUMMYFUNCTION("if(isblank(A127),,REGEXMATCH(B127,""^U *vs\. U *$""))"),FALSE)</f>
        <v>0</v>
      </c>
      <c r="AJ127" s="37" t="b">
        <f>IFERROR(__xludf.DUMMYFUNCTION("if(isblank(A127),,REGEXMATCH(B127,""^((I ?vs\. ?(D ?I|I ?D))|((D ?I|I ?D) ?vs\. ?I)) *$""))"),FALSE)</f>
        <v>0</v>
      </c>
      <c r="AK127" s="37" t="b">
        <f>IFERROR(__xludf.DUMMYFUNCTION("if(isblank(A127),,REGEXMATCH(B127,""^((D ?vs\. ?(D ?I|I ?D))|((D ?I|I ?D) ?vs\. ?D)) *$""))"),FALSE)</f>
        <v>0</v>
      </c>
      <c r="AL127" s="37" t="b">
        <f>IFERROR(__xludf.DUMMYFUNCTION("if(isblank(A127),,REGEXMATCH(B127,""^((U ?vs\. ?(D ?I|I ?D))|((D ?I|I ?D) ?vs\. ?U)) *$""))"),FALSE)</f>
        <v>0</v>
      </c>
      <c r="AM127" s="37" t="b">
        <f>IFERROR(__xludf.DUMMYFUNCTION("if(isblank(A127),,REGEXMATCH(B127,""^((I ?vs\. ?(U ?I|I ?U))|((U ?I|I ?U) ?vs\. ?I)) *$""))"),FALSE)</f>
        <v>0</v>
      </c>
      <c r="AN127" s="37" t="b">
        <f>IFERROR(__xludf.DUMMYFUNCTION("if(isblank(A127),,REGEXMATCH(B127,""^((D ?vs\. ?(U ?I|I ?U))|((U ?I|I ?U) ?vs\. ?D)) *$""))"),FALSE)</f>
        <v>0</v>
      </c>
      <c r="AO127" s="37" t="b">
        <f>IFERROR(__xludf.DUMMYFUNCTION("if(isblank(A127),,REGEXMATCH(B127,""^((U ?vs\. ?(U ?I|I ?U))|((U ?I|I ?U) ?vs\. ?U)) *$""))"),FALSE)</f>
        <v>0</v>
      </c>
      <c r="AP127" s="37" t="b">
        <f>IFERROR(__xludf.DUMMYFUNCTION("if(isblank(A127),,REGEXMATCH(B127,""^((I ?vs\. ?(U ?D|D ?U))|((D ?U|U ?D) ?vs\. ?I)) *$""))"),FALSE)</f>
        <v>0</v>
      </c>
      <c r="AQ127" s="37" t="b">
        <f>IFERROR(__xludf.DUMMYFUNCTION("if(isblank(A127),,REGEXMATCH(B127,""^((D ?vs\. ?(U ?D|D ?U))|((D ?U|U ?D) ?vs\. ?D)) *$""))"),FALSE)</f>
        <v>0</v>
      </c>
      <c r="AR127" s="37" t="b">
        <f>IFERROR(__xludf.DUMMYFUNCTION("if(isblank(A127),,REGEXMATCH(B127,""^((U ?vs\. ?(U ?D|D ?U))|((D ?U|U ?D) ?vs\. ?U)) *$""))"),FALSE)</f>
        <v>0</v>
      </c>
      <c r="AS127" s="37" t="b">
        <f>IFERROR(__xludf.DUMMYFUNCTION("if(isblank(A127),,REGEXMATCH(B127,""^((D ?I|I ?D) ?vs\. ?(D ?I|I ?D)) *$""))"),FALSE)</f>
        <v>0</v>
      </c>
      <c r="AT127" s="37" t="b">
        <f>IFERROR(__xludf.DUMMYFUNCTION("if(isblank(A127),,REGEXMATCH(B127,""^((D ?I|I ?D) ?vs\. ?(U ?I|I ?U))|((U ?I|I ?U) ?vs\. ?(D ?I|I ?D)) *$""))"),FALSE)</f>
        <v>0</v>
      </c>
      <c r="AU127" s="37" t="b">
        <f>IFERROR(__xludf.DUMMYFUNCTION("if(isblank(A127),,REGEXMATCH(B127,""^((D ?I|I ?D) ?vs\. ?(U ?D|D ?U))|((U ?D|D ?U) ?vs\. ?(D ?I|I ?D)) *$""))"),FALSE)</f>
        <v>0</v>
      </c>
      <c r="AV127" s="37" t="b">
        <f>IFERROR(__xludf.DUMMYFUNCTION("if(isblank(A127),,REGEXMATCH(B127,""^((U ?I|I ?U) ?vs\. ?(U ?I|I ?U)) *$""))"),FALSE)</f>
        <v>0</v>
      </c>
    </row>
    <row r="128" ht="26.25" customHeight="1">
      <c r="A128" s="79" t="str">
        <f>Paper_Textual_Conflict!M128</f>
        <v>D I + I
Origin(I vs. I)
left just inserts a new line at the end of file. So the "\ No newline at end of file" will be removed.</v>
      </c>
      <c r="B128" s="37" t="str">
        <f>IFERROR(__xludf.DUMMYFUNCTION("if(isblank(A128),,regexextract(REGEXEXTRACT(A128,""^.*""),""^[^(]*""))"),"D I + I")</f>
        <v>D I + I</v>
      </c>
      <c r="C128" s="37" t="b">
        <f>IFERROR(__xludf.DUMMYFUNCTION("if(isblank(A128),,REGEXMATCH(B128,"".*\+.*"") )"),TRUE)</f>
        <v>1</v>
      </c>
      <c r="D128" s="37" t="b">
        <f>IFERROR(__xludf.DUMMYFUNCTION("if(isblank(A128),,REGEXMATCH(B128,"".*vs.*"") )"),FALSE)</f>
        <v>0</v>
      </c>
      <c r="E128" s="37" t="b">
        <f>Paper_Textual_Conflict!H128</f>
        <v>0</v>
      </c>
      <c r="F128" s="37" t="str">
        <f>Paper_Textual_Conflict!Q128</f>
        <v>Java</v>
      </c>
      <c r="G128" s="33">
        <v>128.0</v>
      </c>
      <c r="H128" s="37" t="b">
        <f>IFERROR(__xludf.DUMMYFUNCTION("if(isblank(A128),,REGEXMATCH(B128,""^I *\+ I *$""))"),FALSE)</f>
        <v>0</v>
      </c>
      <c r="I128" s="37" t="b">
        <f>IFERROR(__xludf.DUMMYFUNCTION("if(isblank(A128),,REGEXMATCH(B128,""(^I *\+ D *$)|(^D *\+ I *$)""))"),FALSE)</f>
        <v>0</v>
      </c>
      <c r="J128" s="37" t="b">
        <f>IFERROR(__xludf.DUMMYFUNCTION("if(isblank(A128),,REGEXMATCH(B128,""(^I *\+ U *$)|(^U *\+ I *$)""))"),FALSE)</f>
        <v>0</v>
      </c>
      <c r="K128" s="37" t="b">
        <f>IFERROR(__xludf.DUMMYFUNCTION("if(isblank(A128),,REGEXMATCH(B128,""(^I *\+ N *$)|(^N *\+ I *$)"") )"),FALSE)</f>
        <v>0</v>
      </c>
      <c r="L128" s="37" t="b">
        <f>IFERROR(__xludf.DUMMYFUNCTION("if(isblank(A128),,REGEXMATCH(B128,""^D *\+ D *$""))"),FALSE)</f>
        <v>0</v>
      </c>
      <c r="M128" s="37" t="b">
        <f>IFERROR(__xludf.DUMMYFUNCTION("if(isblank(A128),,REGEXMATCH(B128,""(^U *\+ D *$)|(^D *\+ U *$)""))"),FALSE)</f>
        <v>0</v>
      </c>
      <c r="N128" s="37" t="b">
        <f>IFERROR(__xludf.DUMMYFUNCTION("if(isblank(A128),,REGEXMATCH(B128,""(^N *\+ D *$)|(^D *\+ N *$)""))"),FALSE)</f>
        <v>0</v>
      </c>
      <c r="O128" s="37" t="b">
        <f>IFERROR(__xludf.DUMMYFUNCTION("if(isblank(A128),,REGEXMATCH(B128,""^U *\+ U *$""))"),FALSE)</f>
        <v>0</v>
      </c>
      <c r="P128" s="37" t="b">
        <f>IFERROR(__xludf.DUMMYFUNCTION("if(isblank(A128),,REGEXMATCH(B128,""(^U *\+ N *$)|(^N *\+ U *$)""))"),FALSE)</f>
        <v>0</v>
      </c>
      <c r="Q128" s="37" t="b">
        <f>IFERROR(__xludf.DUMMYFUNCTION("if(isblank(A128),,REGEXMATCH(B128,""^((I ?\+ ?(D ?I|I ?D))|((D ?I|I ?D) ?\+ ?I)) *$""))"),TRUE)</f>
        <v>1</v>
      </c>
      <c r="R128" s="37" t="b">
        <f>IFERROR(__xludf.DUMMYFUNCTION("if(isblank(A128),,REGEXMATCH(B128,""^((D ?\+ ?(D ?I|I ?D))|((D ?I|I ?D) ?\+ ?D)) *$""))"),FALSE)</f>
        <v>0</v>
      </c>
      <c r="S128" s="37" t="b">
        <f>IFERROR(__xludf.DUMMYFUNCTION("if(isblank(A128),,REGEXMATCH(B128,""^((U ?\+ ?(D ?I|I ?D))|((D ?I|I ?D) ?\+ ?U)) *$""))"),FALSE)</f>
        <v>0</v>
      </c>
      <c r="T128" s="37" t="b">
        <f>IFERROR(__xludf.DUMMYFUNCTION("if(isblank(A128),,REGEXMATCH(B128,""^((N ?\+ ?(D ?I|I ?D))|((D ?I|I ?D) ?\+ ?N)) *$""))"),FALSE)</f>
        <v>0</v>
      </c>
      <c r="U128" s="37" t="b">
        <f>IFERROR(__xludf.DUMMYFUNCTION("if(isblank(A128),,REGEXMATCH(B128,""^((I ?\+ ?(U ?I|I ?U))|((I ?U|U ?I) ?\+ ?I)) *$""))"),FALSE)</f>
        <v>0</v>
      </c>
      <c r="V128" s="37" t="b">
        <f>IFERROR(__xludf.DUMMYFUNCTION("if(isblank(A128),,REGEXMATCH(B128,""^((D ?\+ ?(U ?I|I ?U))|((I ?U|U ?I) ?\+ ?D)) *$""))"),FALSE)</f>
        <v>0</v>
      </c>
      <c r="W128" s="37" t="b">
        <f>IFERROR(__xludf.DUMMYFUNCTION("if(isblank(A128),,REGEXMATCH(B128,""^((U ?\+ ?(U ?I|I ?U))|((I ?U|U ?I) ?\+ ?U)) *$""))"),FALSE)</f>
        <v>0</v>
      </c>
      <c r="X128" s="37" t="b">
        <f>IFERROR(__xludf.DUMMYFUNCTION("if(isblank(A128),,REGEXMATCH(B128,""^((N ?\+ ?(U ?I|I ?U))|((I ?U|U ?I) ?\+ ?N)) *$""))"),FALSE)</f>
        <v>0</v>
      </c>
      <c r="Y128" s="37" t="b">
        <f>IFERROR(__xludf.DUMMYFUNCTION("if(isblank(A128),,REGEXMATCH(B128,""^((I ?\+ ?(U ?D|D ?U))|((D ?U|U ?D) ?\+ ?I)) *$""))"),FALSE)</f>
        <v>0</v>
      </c>
      <c r="Z128" s="37" t="b">
        <f>IFERROR(__xludf.DUMMYFUNCTION("if(isblank(A128),,REGEXMATCH(B128,""^((D ?\+ ?(U ?D|D ?U))|((D ?U|U ?D) ?\+ ?D)) *$""))"),FALSE)</f>
        <v>0</v>
      </c>
      <c r="AA128" s="37" t="b">
        <f>IFERROR(__xludf.DUMMYFUNCTION("if(isblank(A128),,REGEXMATCH(B128,""^((U ?\+ ?(U ?D|D ?U))|((D ?U|U ?D) ?\+ ?U)) *$""))"),FALSE)</f>
        <v>0</v>
      </c>
      <c r="AB128" s="37" t="b">
        <f>IFERROR(__xludf.DUMMYFUNCTION("if(isblank(A128),,REGEXMATCH(B128,""^((D ?I|I ?D) ?\+ ?(D ?I|I ?D)) *$""))"),FALSE)</f>
        <v>0</v>
      </c>
      <c r="AC128" s="37" t="b">
        <f>IFERROR(__xludf.DUMMYFUNCTION("if(isblank(A128),,REGEXMATCH(B128,""^((D ?I|I ?D) ?\+ ?(U ?I|I ?U))|((U ?I|I ?U) ?\+ ?(D ?I|I ?D)) *$""))"),FALSE)</f>
        <v>0</v>
      </c>
      <c r="AD128" s="37" t="b">
        <f>IFERROR(__xludf.DUMMYFUNCTION("if(isblank(A128),,REGEXMATCH(B128,""^I *vs\. I *$""))"),FALSE)</f>
        <v>0</v>
      </c>
      <c r="AE128" s="37" t="b">
        <f>IFERROR(__xludf.DUMMYFUNCTION("if(isblank(A128),,REGEXMATCH(B128,""(^I *vs\. D *$)|(^D *vs\. I *$)""))"),FALSE)</f>
        <v>0</v>
      </c>
      <c r="AF128" s="37" t="b">
        <f>IFERROR(__xludf.DUMMYFUNCTION("if(isblank(A128),,REGEXMATCH(B128,""(^I *vs\. U *$)|(^U *vs\. I *$)""))"),FALSE)</f>
        <v>0</v>
      </c>
      <c r="AG128" s="37" t="b">
        <f>IFERROR(__xludf.DUMMYFUNCTION("if(isblank(A128),,REGEXMATCH(B128,""^D *vs\. D *$""))"),FALSE)</f>
        <v>0</v>
      </c>
      <c r="AH128" s="37" t="b">
        <f>IFERROR(__xludf.DUMMYFUNCTION("if(isblank(A128),,REGEXMATCH(B128,""(^U *vs\. D *$)|(^D *vs\. U *$)""))"),FALSE)</f>
        <v>0</v>
      </c>
      <c r="AI128" s="37" t="b">
        <f>IFERROR(__xludf.DUMMYFUNCTION("if(isblank(A128),,REGEXMATCH(B128,""^U *vs\. U *$""))"),FALSE)</f>
        <v>0</v>
      </c>
      <c r="AJ128" s="37" t="b">
        <f>IFERROR(__xludf.DUMMYFUNCTION("if(isblank(A128),,REGEXMATCH(B128,""^((I ?vs\. ?(D ?I|I ?D))|((D ?I|I ?D) ?vs\. ?I)) *$""))"),FALSE)</f>
        <v>0</v>
      </c>
      <c r="AK128" s="37" t="b">
        <f>IFERROR(__xludf.DUMMYFUNCTION("if(isblank(A128),,REGEXMATCH(B128,""^((D ?vs\. ?(D ?I|I ?D))|((D ?I|I ?D) ?vs\. ?D)) *$""))"),FALSE)</f>
        <v>0</v>
      </c>
      <c r="AL128" s="37" t="b">
        <f>IFERROR(__xludf.DUMMYFUNCTION("if(isblank(A128),,REGEXMATCH(B128,""^((U ?vs\. ?(D ?I|I ?D))|((D ?I|I ?D) ?vs\. ?U)) *$""))"),FALSE)</f>
        <v>0</v>
      </c>
      <c r="AM128" s="37" t="b">
        <f>IFERROR(__xludf.DUMMYFUNCTION("if(isblank(A128),,REGEXMATCH(B128,""^((I ?vs\. ?(U ?I|I ?U))|((U ?I|I ?U) ?vs\. ?I)) *$""))"),FALSE)</f>
        <v>0</v>
      </c>
      <c r="AN128" s="37" t="b">
        <f>IFERROR(__xludf.DUMMYFUNCTION("if(isblank(A128),,REGEXMATCH(B128,""^((D ?vs\. ?(U ?I|I ?U))|((U ?I|I ?U) ?vs\. ?D)) *$""))"),FALSE)</f>
        <v>0</v>
      </c>
      <c r="AO128" s="37" t="b">
        <f>IFERROR(__xludf.DUMMYFUNCTION("if(isblank(A128),,REGEXMATCH(B128,""^((U ?vs\. ?(U ?I|I ?U))|((U ?I|I ?U) ?vs\. ?U)) *$""))"),FALSE)</f>
        <v>0</v>
      </c>
      <c r="AP128" s="37" t="b">
        <f>IFERROR(__xludf.DUMMYFUNCTION("if(isblank(A128),,REGEXMATCH(B128,""^((I ?vs\. ?(U ?D|D ?U))|((D ?U|U ?D) ?vs\. ?I)) *$""))"),FALSE)</f>
        <v>0</v>
      </c>
      <c r="AQ128" s="37" t="b">
        <f>IFERROR(__xludf.DUMMYFUNCTION("if(isblank(A128),,REGEXMATCH(B128,""^((D ?vs\. ?(U ?D|D ?U))|((D ?U|U ?D) ?vs\. ?D)) *$""))"),FALSE)</f>
        <v>0</v>
      </c>
      <c r="AR128" s="37" t="b">
        <f>IFERROR(__xludf.DUMMYFUNCTION("if(isblank(A128),,REGEXMATCH(B128,""^((U ?vs\. ?(U ?D|D ?U))|((D ?U|U ?D) ?vs\. ?U)) *$""))"),FALSE)</f>
        <v>0</v>
      </c>
      <c r="AS128" s="37" t="b">
        <f>IFERROR(__xludf.DUMMYFUNCTION("if(isblank(A128),,REGEXMATCH(B128,""^((D ?I|I ?D) ?vs\. ?(D ?I|I ?D)) *$""))"),FALSE)</f>
        <v>0</v>
      </c>
      <c r="AT128" s="37" t="b">
        <f>IFERROR(__xludf.DUMMYFUNCTION("if(isblank(A128),,REGEXMATCH(B128,""^((D ?I|I ?D) ?vs\. ?(U ?I|I ?U))|((U ?I|I ?U) ?vs\. ?(D ?I|I ?D)) *$""))"),FALSE)</f>
        <v>0</v>
      </c>
      <c r="AU128" s="37" t="b">
        <f>IFERROR(__xludf.DUMMYFUNCTION("if(isblank(A128),,REGEXMATCH(B128,""^((D ?I|I ?D) ?vs\. ?(U ?D|D ?U))|((U ?D|D ?U) ?vs\. ?(D ?I|I ?D)) *$""))"),FALSE)</f>
        <v>0</v>
      </c>
      <c r="AV128" s="37" t="b">
        <f>IFERROR(__xludf.DUMMYFUNCTION("if(isblank(A128),,REGEXMATCH(B128,""^((U ?I|I ?U) ?vs\. ?(U ?I|I ?U)) *$""))"),FALSE)</f>
        <v>0</v>
      </c>
    </row>
    <row r="129" ht="26.25" customHeight="1">
      <c r="A129" s="79" t="str">
        <f>Paper_Textual_Conflict!M129</f>
        <v>D I vs. I
Actually wrong match
The 1st insertion in left not conflict. The 2nd insertion in left report conflict</v>
      </c>
      <c r="B129" s="37" t="str">
        <f>IFERROR(__xludf.DUMMYFUNCTION("if(isblank(A129),,regexextract(REGEXEXTRACT(A129,""^.*""),""^[^(]*""))"),"D I vs. I")</f>
        <v>D I vs. I</v>
      </c>
      <c r="C129" s="37" t="b">
        <f>IFERROR(__xludf.DUMMYFUNCTION("if(isblank(A129),,REGEXMATCH(B129,"".*\+.*"") )"),FALSE)</f>
        <v>0</v>
      </c>
      <c r="D129" s="37" t="b">
        <f>IFERROR(__xludf.DUMMYFUNCTION("if(isblank(A129),,REGEXMATCH(B129,"".*vs.*"") )"),TRUE)</f>
        <v>1</v>
      </c>
      <c r="E129" s="37" t="b">
        <f>Paper_Textual_Conflict!H129</f>
        <v>1</v>
      </c>
      <c r="F129" s="37" t="str">
        <f>Paper_Textual_Conflict!Q129</f>
        <v>Java</v>
      </c>
      <c r="G129" s="33">
        <v>129.0</v>
      </c>
      <c r="H129" s="37" t="b">
        <f>IFERROR(__xludf.DUMMYFUNCTION("if(isblank(A129),,REGEXMATCH(B129,""^I *\+ I *$""))"),FALSE)</f>
        <v>0</v>
      </c>
      <c r="I129" s="37" t="b">
        <f>IFERROR(__xludf.DUMMYFUNCTION("if(isblank(A129),,REGEXMATCH(B129,""(^I *\+ D *$)|(^D *\+ I *$)""))"),FALSE)</f>
        <v>0</v>
      </c>
      <c r="J129" s="37" t="b">
        <f>IFERROR(__xludf.DUMMYFUNCTION("if(isblank(A129),,REGEXMATCH(B129,""(^I *\+ U *$)|(^U *\+ I *$)""))"),FALSE)</f>
        <v>0</v>
      </c>
      <c r="K129" s="37" t="b">
        <f>IFERROR(__xludf.DUMMYFUNCTION("if(isblank(A129),,REGEXMATCH(B129,""(^I *\+ N *$)|(^N *\+ I *$)"") )"),FALSE)</f>
        <v>0</v>
      </c>
      <c r="L129" s="37" t="b">
        <f>IFERROR(__xludf.DUMMYFUNCTION("if(isblank(A129),,REGEXMATCH(B129,""^D *\+ D *$""))"),FALSE)</f>
        <v>0</v>
      </c>
      <c r="M129" s="37" t="b">
        <f>IFERROR(__xludf.DUMMYFUNCTION("if(isblank(A129),,REGEXMATCH(B129,""(^U *\+ D *$)|(^D *\+ U *$)""))"),FALSE)</f>
        <v>0</v>
      </c>
      <c r="N129" s="37" t="b">
        <f>IFERROR(__xludf.DUMMYFUNCTION("if(isblank(A129),,REGEXMATCH(B129,""(^N *\+ D *$)|(^D *\+ N *$)""))"),FALSE)</f>
        <v>0</v>
      </c>
      <c r="O129" s="37" t="b">
        <f>IFERROR(__xludf.DUMMYFUNCTION("if(isblank(A129),,REGEXMATCH(B129,""^U *\+ U *$""))"),FALSE)</f>
        <v>0</v>
      </c>
      <c r="P129" s="37" t="b">
        <f>IFERROR(__xludf.DUMMYFUNCTION("if(isblank(A129),,REGEXMATCH(B129,""(^U *\+ N *$)|(^N *\+ U *$)""))"),FALSE)</f>
        <v>0</v>
      </c>
      <c r="Q129" s="37" t="b">
        <f>IFERROR(__xludf.DUMMYFUNCTION("if(isblank(A129),,REGEXMATCH(B129,""^((I ?\+ ?(D ?I|I ?D))|((D ?I|I ?D) ?\+ ?I)) *$""))"),FALSE)</f>
        <v>0</v>
      </c>
      <c r="R129" s="37" t="b">
        <f>IFERROR(__xludf.DUMMYFUNCTION("if(isblank(A129),,REGEXMATCH(B129,""^((D ?\+ ?(D ?I|I ?D))|((D ?I|I ?D) ?\+ ?D)) *$""))"),FALSE)</f>
        <v>0</v>
      </c>
      <c r="S129" s="37" t="b">
        <f>IFERROR(__xludf.DUMMYFUNCTION("if(isblank(A129),,REGEXMATCH(B129,""^((U ?\+ ?(D ?I|I ?D))|((D ?I|I ?D) ?\+ ?U)) *$""))"),FALSE)</f>
        <v>0</v>
      </c>
      <c r="T129" s="37" t="b">
        <f>IFERROR(__xludf.DUMMYFUNCTION("if(isblank(A129),,REGEXMATCH(B129,""^((N ?\+ ?(D ?I|I ?D))|((D ?I|I ?D) ?\+ ?N)) *$""))"),FALSE)</f>
        <v>0</v>
      </c>
      <c r="U129" s="37" t="b">
        <f>IFERROR(__xludf.DUMMYFUNCTION("if(isblank(A129),,REGEXMATCH(B129,""^((I ?\+ ?(U ?I|I ?U))|((I ?U|U ?I) ?\+ ?I)) *$""))"),FALSE)</f>
        <v>0</v>
      </c>
      <c r="V129" s="37" t="b">
        <f>IFERROR(__xludf.DUMMYFUNCTION("if(isblank(A129),,REGEXMATCH(B129,""^((D ?\+ ?(U ?I|I ?U))|((I ?U|U ?I) ?\+ ?D)) *$""))"),FALSE)</f>
        <v>0</v>
      </c>
      <c r="W129" s="37" t="b">
        <f>IFERROR(__xludf.DUMMYFUNCTION("if(isblank(A129),,REGEXMATCH(B129,""^((U ?\+ ?(U ?I|I ?U))|((I ?U|U ?I) ?\+ ?U)) *$""))"),FALSE)</f>
        <v>0</v>
      </c>
      <c r="X129" s="37" t="b">
        <f>IFERROR(__xludf.DUMMYFUNCTION("if(isblank(A129),,REGEXMATCH(B129,""^((N ?\+ ?(U ?I|I ?U))|((I ?U|U ?I) ?\+ ?N)) *$""))"),FALSE)</f>
        <v>0</v>
      </c>
      <c r="Y129" s="37" t="b">
        <f>IFERROR(__xludf.DUMMYFUNCTION("if(isblank(A129),,REGEXMATCH(B129,""^((I ?\+ ?(U ?D|D ?U))|((D ?U|U ?D) ?\+ ?I)) *$""))"),FALSE)</f>
        <v>0</v>
      </c>
      <c r="Z129" s="37" t="b">
        <f>IFERROR(__xludf.DUMMYFUNCTION("if(isblank(A129),,REGEXMATCH(B129,""^((D ?\+ ?(U ?D|D ?U))|((D ?U|U ?D) ?\+ ?D)) *$""))"),FALSE)</f>
        <v>0</v>
      </c>
      <c r="AA129" s="37" t="b">
        <f>IFERROR(__xludf.DUMMYFUNCTION("if(isblank(A129),,REGEXMATCH(B129,""^((U ?\+ ?(U ?D|D ?U))|((D ?U|U ?D) ?\+ ?U)) *$""))"),FALSE)</f>
        <v>0</v>
      </c>
      <c r="AB129" s="37" t="b">
        <f>IFERROR(__xludf.DUMMYFUNCTION("if(isblank(A129),,REGEXMATCH(B129,""^((D ?I|I ?D) ?\+ ?(D ?I|I ?D)) *$""))"),FALSE)</f>
        <v>0</v>
      </c>
      <c r="AC129" s="37" t="b">
        <f>IFERROR(__xludf.DUMMYFUNCTION("if(isblank(A129),,REGEXMATCH(B129,""^((D ?I|I ?D) ?\+ ?(U ?I|I ?U))|((U ?I|I ?U) ?\+ ?(D ?I|I ?D)) *$""))"),FALSE)</f>
        <v>0</v>
      </c>
      <c r="AD129" s="37" t="b">
        <f>IFERROR(__xludf.DUMMYFUNCTION("if(isblank(A129),,REGEXMATCH(B129,""^I *vs\. I *$""))"),FALSE)</f>
        <v>0</v>
      </c>
      <c r="AE129" s="37" t="b">
        <f>IFERROR(__xludf.DUMMYFUNCTION("if(isblank(A129),,REGEXMATCH(B129,""(^I *vs\. D *$)|(^D *vs\. I *$)""))"),FALSE)</f>
        <v>0</v>
      </c>
      <c r="AF129" s="37" t="b">
        <f>IFERROR(__xludf.DUMMYFUNCTION("if(isblank(A129),,REGEXMATCH(B129,""(^I *vs\. U *$)|(^U *vs\. I *$)""))"),FALSE)</f>
        <v>0</v>
      </c>
      <c r="AG129" s="37" t="b">
        <f>IFERROR(__xludf.DUMMYFUNCTION("if(isblank(A129),,REGEXMATCH(B129,""^D *vs\. D *$""))"),FALSE)</f>
        <v>0</v>
      </c>
      <c r="AH129" s="37" t="b">
        <f>IFERROR(__xludf.DUMMYFUNCTION("if(isblank(A129),,REGEXMATCH(B129,""(^U *vs\. D *$)|(^D *vs\. U *$)""))"),FALSE)</f>
        <v>0</v>
      </c>
      <c r="AI129" s="37" t="b">
        <f>IFERROR(__xludf.DUMMYFUNCTION("if(isblank(A129),,REGEXMATCH(B129,""^U *vs\. U *$""))"),FALSE)</f>
        <v>0</v>
      </c>
      <c r="AJ129" s="37" t="b">
        <f>IFERROR(__xludf.DUMMYFUNCTION("if(isblank(A129),,REGEXMATCH(B129,""^((I ?vs\. ?(D ?I|I ?D))|((D ?I|I ?D) ?vs\. ?I)) *$""))"),TRUE)</f>
        <v>1</v>
      </c>
      <c r="AK129" s="37" t="b">
        <f>IFERROR(__xludf.DUMMYFUNCTION("if(isblank(A129),,REGEXMATCH(B129,""^((D ?vs\. ?(D ?I|I ?D))|((D ?I|I ?D) ?vs\. ?D)) *$""))"),FALSE)</f>
        <v>0</v>
      </c>
      <c r="AL129" s="37" t="b">
        <f>IFERROR(__xludf.DUMMYFUNCTION("if(isblank(A129),,REGEXMATCH(B129,""^((U ?vs\. ?(D ?I|I ?D))|((D ?I|I ?D) ?vs\. ?U)) *$""))"),FALSE)</f>
        <v>0</v>
      </c>
      <c r="AM129" s="37" t="b">
        <f>IFERROR(__xludf.DUMMYFUNCTION("if(isblank(A129),,REGEXMATCH(B129,""^((I ?vs\. ?(U ?I|I ?U))|((U ?I|I ?U) ?vs\. ?I)) *$""))"),FALSE)</f>
        <v>0</v>
      </c>
      <c r="AN129" s="37" t="b">
        <f>IFERROR(__xludf.DUMMYFUNCTION("if(isblank(A129),,REGEXMATCH(B129,""^((D ?vs\. ?(U ?I|I ?U))|((U ?I|I ?U) ?vs\. ?D)) *$""))"),FALSE)</f>
        <v>0</v>
      </c>
      <c r="AO129" s="37" t="b">
        <f>IFERROR(__xludf.DUMMYFUNCTION("if(isblank(A129),,REGEXMATCH(B129,""^((U ?vs\. ?(U ?I|I ?U))|((U ?I|I ?U) ?vs\. ?U)) *$""))"),FALSE)</f>
        <v>0</v>
      </c>
      <c r="AP129" s="37" t="b">
        <f>IFERROR(__xludf.DUMMYFUNCTION("if(isblank(A129),,REGEXMATCH(B129,""^((I ?vs\. ?(U ?D|D ?U))|((D ?U|U ?D) ?vs\. ?I)) *$""))"),FALSE)</f>
        <v>0</v>
      </c>
      <c r="AQ129" s="37" t="b">
        <f>IFERROR(__xludf.DUMMYFUNCTION("if(isblank(A129),,REGEXMATCH(B129,""^((D ?vs\. ?(U ?D|D ?U))|((D ?U|U ?D) ?vs\. ?D)) *$""))"),FALSE)</f>
        <v>0</v>
      </c>
      <c r="AR129" s="37" t="b">
        <f>IFERROR(__xludf.DUMMYFUNCTION("if(isblank(A129),,REGEXMATCH(B129,""^((U ?vs\. ?(U ?D|D ?U))|((D ?U|U ?D) ?vs\. ?U)) *$""))"),FALSE)</f>
        <v>0</v>
      </c>
      <c r="AS129" s="37" t="b">
        <f>IFERROR(__xludf.DUMMYFUNCTION("if(isblank(A129),,REGEXMATCH(B129,""^((D ?I|I ?D) ?vs\. ?(D ?I|I ?D)) *$""))"),FALSE)</f>
        <v>0</v>
      </c>
      <c r="AT129" s="37" t="b">
        <f>IFERROR(__xludf.DUMMYFUNCTION("if(isblank(A129),,REGEXMATCH(B129,""^((D ?I|I ?D) ?vs\. ?(U ?I|I ?U))|((U ?I|I ?U) ?vs\. ?(D ?I|I ?D)) *$""))"),FALSE)</f>
        <v>0</v>
      </c>
      <c r="AU129" s="37" t="b">
        <f>IFERROR(__xludf.DUMMYFUNCTION("if(isblank(A129),,REGEXMATCH(B129,""^((D ?I|I ?D) ?vs\. ?(U ?D|D ?U))|((U ?D|D ?U) ?vs\. ?(D ?I|I ?D)) *$""))"),FALSE)</f>
        <v>0</v>
      </c>
      <c r="AV129" s="37" t="b">
        <f>IFERROR(__xludf.DUMMYFUNCTION("if(isblank(A129),,REGEXMATCH(B129,""^((U ?I|I ?U) ?vs\. ?(U ?I|I ?U)) *$""))"),FALSE)</f>
        <v>0</v>
      </c>
    </row>
    <row r="130" ht="26.25" customHeight="1">
      <c r="A130" s="79" t="str">
        <f>Paper_Textual_Conflict!M130</f>
        <v>D I + U
Origin(D I vs. U)</v>
      </c>
      <c r="B130" s="37" t="str">
        <f>IFERROR(__xludf.DUMMYFUNCTION("if(isblank(A130),,regexextract(REGEXEXTRACT(A130,""^.*""),""^[^(]*""))"),"D I + U")</f>
        <v>D I + U</v>
      </c>
      <c r="C130" s="37" t="b">
        <f>IFERROR(__xludf.DUMMYFUNCTION("if(isblank(A130),,REGEXMATCH(B130,"".*\+.*"") )"),TRUE)</f>
        <v>1</v>
      </c>
      <c r="D130" s="37" t="b">
        <f>IFERROR(__xludf.DUMMYFUNCTION("if(isblank(A130),,REGEXMATCH(B130,"".*vs.*"") )"),FALSE)</f>
        <v>0</v>
      </c>
      <c r="E130" s="37" t="b">
        <f>Paper_Textual_Conflict!H130</f>
        <v>0</v>
      </c>
      <c r="F130" s="37" t="str">
        <f>Paper_Textual_Conflict!Q130</f>
        <v>Java</v>
      </c>
      <c r="G130" s="33">
        <v>130.0</v>
      </c>
      <c r="H130" s="37" t="b">
        <f>IFERROR(__xludf.DUMMYFUNCTION("if(isblank(A130),,REGEXMATCH(B130,""^I *\+ I *$""))"),FALSE)</f>
        <v>0</v>
      </c>
      <c r="I130" s="37" t="b">
        <f>IFERROR(__xludf.DUMMYFUNCTION("if(isblank(A130),,REGEXMATCH(B130,""(^I *\+ D *$)|(^D *\+ I *$)""))"),FALSE)</f>
        <v>0</v>
      </c>
      <c r="J130" s="37" t="b">
        <f>IFERROR(__xludf.DUMMYFUNCTION("if(isblank(A130),,REGEXMATCH(B130,""(^I *\+ U *$)|(^U *\+ I *$)""))"),FALSE)</f>
        <v>0</v>
      </c>
      <c r="K130" s="37" t="b">
        <f>IFERROR(__xludf.DUMMYFUNCTION("if(isblank(A130),,REGEXMATCH(B130,""(^I *\+ N *$)|(^N *\+ I *$)"") )"),FALSE)</f>
        <v>0</v>
      </c>
      <c r="L130" s="37" t="b">
        <f>IFERROR(__xludf.DUMMYFUNCTION("if(isblank(A130),,REGEXMATCH(B130,""^D *\+ D *$""))"),FALSE)</f>
        <v>0</v>
      </c>
      <c r="M130" s="37" t="b">
        <f>IFERROR(__xludf.DUMMYFUNCTION("if(isblank(A130),,REGEXMATCH(B130,""(^U *\+ D *$)|(^D *\+ U *$)""))"),FALSE)</f>
        <v>0</v>
      </c>
      <c r="N130" s="37" t="b">
        <f>IFERROR(__xludf.DUMMYFUNCTION("if(isblank(A130),,REGEXMATCH(B130,""(^N *\+ D *$)|(^D *\+ N *$)""))"),FALSE)</f>
        <v>0</v>
      </c>
      <c r="O130" s="37" t="b">
        <f>IFERROR(__xludf.DUMMYFUNCTION("if(isblank(A130),,REGEXMATCH(B130,""^U *\+ U *$""))"),FALSE)</f>
        <v>0</v>
      </c>
      <c r="P130" s="37" t="b">
        <f>IFERROR(__xludf.DUMMYFUNCTION("if(isblank(A130),,REGEXMATCH(B130,""(^U *\+ N *$)|(^N *\+ U *$)""))"),FALSE)</f>
        <v>0</v>
      </c>
      <c r="Q130" s="37" t="b">
        <f>IFERROR(__xludf.DUMMYFUNCTION("if(isblank(A130),,REGEXMATCH(B130,""^((I ?\+ ?(D ?I|I ?D))|((D ?I|I ?D) ?\+ ?I)) *$""))"),FALSE)</f>
        <v>0</v>
      </c>
      <c r="R130" s="37" t="b">
        <f>IFERROR(__xludf.DUMMYFUNCTION("if(isblank(A130),,REGEXMATCH(B130,""^((D ?\+ ?(D ?I|I ?D))|((D ?I|I ?D) ?\+ ?D)) *$""))"),FALSE)</f>
        <v>0</v>
      </c>
      <c r="S130" s="37" t="b">
        <f>IFERROR(__xludf.DUMMYFUNCTION("if(isblank(A130),,REGEXMATCH(B130,""^((U ?\+ ?(D ?I|I ?D))|((D ?I|I ?D) ?\+ ?U)) *$""))"),TRUE)</f>
        <v>1</v>
      </c>
      <c r="T130" s="37" t="b">
        <f>IFERROR(__xludf.DUMMYFUNCTION("if(isblank(A130),,REGEXMATCH(B130,""^((N ?\+ ?(D ?I|I ?D))|((D ?I|I ?D) ?\+ ?N)) *$""))"),FALSE)</f>
        <v>0</v>
      </c>
      <c r="U130" s="37" t="b">
        <f>IFERROR(__xludf.DUMMYFUNCTION("if(isblank(A130),,REGEXMATCH(B130,""^((I ?\+ ?(U ?I|I ?U))|((I ?U|U ?I) ?\+ ?I)) *$""))"),FALSE)</f>
        <v>0</v>
      </c>
      <c r="V130" s="37" t="b">
        <f>IFERROR(__xludf.DUMMYFUNCTION("if(isblank(A130),,REGEXMATCH(B130,""^((D ?\+ ?(U ?I|I ?U))|((I ?U|U ?I) ?\+ ?D)) *$""))"),FALSE)</f>
        <v>0</v>
      </c>
      <c r="W130" s="37" t="b">
        <f>IFERROR(__xludf.DUMMYFUNCTION("if(isblank(A130),,REGEXMATCH(B130,""^((U ?\+ ?(U ?I|I ?U))|((I ?U|U ?I) ?\+ ?U)) *$""))"),FALSE)</f>
        <v>0</v>
      </c>
      <c r="X130" s="37" t="b">
        <f>IFERROR(__xludf.DUMMYFUNCTION("if(isblank(A130),,REGEXMATCH(B130,""^((N ?\+ ?(U ?I|I ?U))|((I ?U|U ?I) ?\+ ?N)) *$""))"),FALSE)</f>
        <v>0</v>
      </c>
      <c r="Y130" s="37" t="b">
        <f>IFERROR(__xludf.DUMMYFUNCTION("if(isblank(A130),,REGEXMATCH(B130,""^((I ?\+ ?(U ?D|D ?U))|((D ?U|U ?D) ?\+ ?I)) *$""))"),FALSE)</f>
        <v>0</v>
      </c>
      <c r="Z130" s="37" t="b">
        <f>IFERROR(__xludf.DUMMYFUNCTION("if(isblank(A130),,REGEXMATCH(B130,""^((D ?\+ ?(U ?D|D ?U))|((D ?U|U ?D) ?\+ ?D)) *$""))"),FALSE)</f>
        <v>0</v>
      </c>
      <c r="AA130" s="37" t="b">
        <f>IFERROR(__xludf.DUMMYFUNCTION("if(isblank(A130),,REGEXMATCH(B130,""^((U ?\+ ?(U ?D|D ?U))|((D ?U|U ?D) ?\+ ?U)) *$""))"),FALSE)</f>
        <v>0</v>
      </c>
      <c r="AB130" s="37" t="b">
        <f>IFERROR(__xludf.DUMMYFUNCTION("if(isblank(A130),,REGEXMATCH(B130,""^((D ?I|I ?D) ?\+ ?(D ?I|I ?D)) *$""))"),FALSE)</f>
        <v>0</v>
      </c>
      <c r="AC130" s="37" t="b">
        <f>IFERROR(__xludf.DUMMYFUNCTION("if(isblank(A130),,REGEXMATCH(B130,""^((D ?I|I ?D) ?\+ ?(U ?I|I ?U))|((U ?I|I ?U) ?\+ ?(D ?I|I ?D)) *$""))"),FALSE)</f>
        <v>0</v>
      </c>
      <c r="AD130" s="37" t="b">
        <f>IFERROR(__xludf.DUMMYFUNCTION("if(isblank(A130),,REGEXMATCH(B130,""^I *vs\. I *$""))"),FALSE)</f>
        <v>0</v>
      </c>
      <c r="AE130" s="37" t="b">
        <f>IFERROR(__xludf.DUMMYFUNCTION("if(isblank(A130),,REGEXMATCH(B130,""(^I *vs\. D *$)|(^D *vs\. I *$)""))"),FALSE)</f>
        <v>0</v>
      </c>
      <c r="AF130" s="37" t="b">
        <f>IFERROR(__xludf.DUMMYFUNCTION("if(isblank(A130),,REGEXMATCH(B130,""(^I *vs\. U *$)|(^U *vs\. I *$)""))"),FALSE)</f>
        <v>0</v>
      </c>
      <c r="AG130" s="37" t="b">
        <f>IFERROR(__xludf.DUMMYFUNCTION("if(isblank(A130),,REGEXMATCH(B130,""^D *vs\. D *$""))"),FALSE)</f>
        <v>0</v>
      </c>
      <c r="AH130" s="37" t="b">
        <f>IFERROR(__xludf.DUMMYFUNCTION("if(isblank(A130),,REGEXMATCH(B130,""(^U *vs\. D *$)|(^D *vs\. U *$)""))"),FALSE)</f>
        <v>0</v>
      </c>
      <c r="AI130" s="37" t="b">
        <f>IFERROR(__xludf.DUMMYFUNCTION("if(isblank(A130),,REGEXMATCH(B130,""^U *vs\. U *$""))"),FALSE)</f>
        <v>0</v>
      </c>
      <c r="AJ130" s="37" t="b">
        <f>IFERROR(__xludf.DUMMYFUNCTION("if(isblank(A130),,REGEXMATCH(B130,""^((I ?vs\. ?(D ?I|I ?D))|((D ?I|I ?D) ?vs\. ?I)) *$""))"),FALSE)</f>
        <v>0</v>
      </c>
      <c r="AK130" s="37" t="b">
        <f>IFERROR(__xludf.DUMMYFUNCTION("if(isblank(A130),,REGEXMATCH(B130,""^((D ?vs\. ?(D ?I|I ?D))|((D ?I|I ?D) ?vs\. ?D)) *$""))"),FALSE)</f>
        <v>0</v>
      </c>
      <c r="AL130" s="37" t="b">
        <f>IFERROR(__xludf.DUMMYFUNCTION("if(isblank(A130),,REGEXMATCH(B130,""^((U ?vs\. ?(D ?I|I ?D))|((D ?I|I ?D) ?vs\. ?U)) *$""))"),FALSE)</f>
        <v>0</v>
      </c>
      <c r="AM130" s="37" t="b">
        <f>IFERROR(__xludf.DUMMYFUNCTION("if(isblank(A130),,REGEXMATCH(B130,""^((I ?vs\. ?(U ?I|I ?U))|((U ?I|I ?U) ?vs\. ?I)) *$""))"),FALSE)</f>
        <v>0</v>
      </c>
      <c r="AN130" s="37" t="b">
        <f>IFERROR(__xludf.DUMMYFUNCTION("if(isblank(A130),,REGEXMATCH(B130,""^((D ?vs\. ?(U ?I|I ?U))|((U ?I|I ?U) ?vs\. ?D)) *$""))"),FALSE)</f>
        <v>0</v>
      </c>
      <c r="AO130" s="37" t="b">
        <f>IFERROR(__xludf.DUMMYFUNCTION("if(isblank(A130),,REGEXMATCH(B130,""^((U ?vs\. ?(U ?I|I ?U))|((U ?I|I ?U) ?vs\. ?U)) *$""))"),FALSE)</f>
        <v>0</v>
      </c>
      <c r="AP130" s="37" t="b">
        <f>IFERROR(__xludf.DUMMYFUNCTION("if(isblank(A130),,REGEXMATCH(B130,""^((I ?vs\. ?(U ?D|D ?U))|((D ?U|U ?D) ?vs\. ?I)) *$""))"),FALSE)</f>
        <v>0</v>
      </c>
      <c r="AQ130" s="37" t="b">
        <f>IFERROR(__xludf.DUMMYFUNCTION("if(isblank(A130),,REGEXMATCH(B130,""^((D ?vs\. ?(U ?D|D ?U))|((D ?U|U ?D) ?vs\. ?D)) *$""))"),FALSE)</f>
        <v>0</v>
      </c>
      <c r="AR130" s="37" t="b">
        <f>IFERROR(__xludf.DUMMYFUNCTION("if(isblank(A130),,REGEXMATCH(B130,""^((U ?vs\. ?(U ?D|D ?U))|((D ?U|U ?D) ?vs\. ?U)) *$""))"),FALSE)</f>
        <v>0</v>
      </c>
      <c r="AS130" s="37" t="b">
        <f>IFERROR(__xludf.DUMMYFUNCTION("if(isblank(A130),,REGEXMATCH(B130,""^((D ?I|I ?D) ?vs\. ?(D ?I|I ?D)) *$""))"),FALSE)</f>
        <v>0</v>
      </c>
      <c r="AT130" s="37" t="b">
        <f>IFERROR(__xludf.DUMMYFUNCTION("if(isblank(A130),,REGEXMATCH(B130,""^((D ?I|I ?D) ?vs\. ?(U ?I|I ?U))|((U ?I|I ?U) ?vs\. ?(D ?I|I ?D)) *$""))"),FALSE)</f>
        <v>0</v>
      </c>
      <c r="AU130" s="37" t="b">
        <f>IFERROR(__xludf.DUMMYFUNCTION("if(isblank(A130),,REGEXMATCH(B130,""^((D ?I|I ?D) ?vs\. ?(U ?D|D ?U))|((U ?D|D ?U) ?vs\. ?(D ?I|I ?D)) *$""))"),FALSE)</f>
        <v>0</v>
      </c>
      <c r="AV130" s="37" t="b">
        <f>IFERROR(__xludf.DUMMYFUNCTION("if(isblank(A130),,REGEXMATCH(B130,""^((U ?I|I ?U) ?vs\. ?(U ?I|I ?U)) *$""))"),FALSE)</f>
        <v>0</v>
      </c>
    </row>
    <row r="131" ht="26.25" customHeight="1">
      <c r="A131" s="79" t="str">
        <f>Paper_Textual_Conflict!M131</f>
        <v>I vs. I(.properties)</v>
      </c>
      <c r="B131" s="37" t="str">
        <f>IFERROR(__xludf.DUMMYFUNCTION("if(isblank(A131),,regexextract(REGEXEXTRACT(A131,""^.*""),""^[^(]*""))"),"I vs. I")</f>
        <v>I vs. I</v>
      </c>
      <c r="C131" s="37" t="b">
        <f>IFERROR(__xludf.DUMMYFUNCTION("if(isblank(A131),,REGEXMATCH(B131,"".*\+.*"") )"),FALSE)</f>
        <v>0</v>
      </c>
      <c r="D131" s="37" t="b">
        <f>IFERROR(__xludf.DUMMYFUNCTION("if(isblank(A131),,REGEXMATCH(B131,"".*vs.*"") )"),TRUE)</f>
        <v>1</v>
      </c>
      <c r="E131" s="37" t="b">
        <f>Paper_Textual_Conflict!H131</f>
        <v>1</v>
      </c>
      <c r="F131" s="37" t="str">
        <f>Paper_Textual_Conflict!Q131</f>
        <v>Non-Java</v>
      </c>
      <c r="G131" s="33">
        <v>131.0</v>
      </c>
      <c r="H131" s="37" t="b">
        <f>IFERROR(__xludf.DUMMYFUNCTION("if(isblank(A131),,REGEXMATCH(B131,""^I *\+ I *$""))"),FALSE)</f>
        <v>0</v>
      </c>
      <c r="I131" s="37" t="b">
        <f>IFERROR(__xludf.DUMMYFUNCTION("if(isblank(A131),,REGEXMATCH(B131,""(^I *\+ D *$)|(^D *\+ I *$)""))"),FALSE)</f>
        <v>0</v>
      </c>
      <c r="J131" s="37" t="b">
        <f>IFERROR(__xludf.DUMMYFUNCTION("if(isblank(A131),,REGEXMATCH(B131,""(^I *\+ U *$)|(^U *\+ I *$)""))"),FALSE)</f>
        <v>0</v>
      </c>
      <c r="K131" s="37" t="b">
        <f>IFERROR(__xludf.DUMMYFUNCTION("if(isblank(A131),,REGEXMATCH(B131,""(^I *\+ N *$)|(^N *\+ I *$)"") )"),FALSE)</f>
        <v>0</v>
      </c>
      <c r="L131" s="37" t="b">
        <f>IFERROR(__xludf.DUMMYFUNCTION("if(isblank(A131),,REGEXMATCH(B131,""^D *\+ D *$""))"),FALSE)</f>
        <v>0</v>
      </c>
      <c r="M131" s="37" t="b">
        <f>IFERROR(__xludf.DUMMYFUNCTION("if(isblank(A131),,REGEXMATCH(B131,""(^U *\+ D *$)|(^D *\+ U *$)""))"),FALSE)</f>
        <v>0</v>
      </c>
      <c r="N131" s="37" t="b">
        <f>IFERROR(__xludf.DUMMYFUNCTION("if(isblank(A131),,REGEXMATCH(B131,""(^N *\+ D *$)|(^D *\+ N *$)""))"),FALSE)</f>
        <v>0</v>
      </c>
      <c r="O131" s="37" t="b">
        <f>IFERROR(__xludf.DUMMYFUNCTION("if(isblank(A131),,REGEXMATCH(B131,""^U *\+ U *$""))"),FALSE)</f>
        <v>0</v>
      </c>
      <c r="P131" s="37" t="b">
        <f>IFERROR(__xludf.DUMMYFUNCTION("if(isblank(A131),,REGEXMATCH(B131,""(^U *\+ N *$)|(^N *\+ U *$)""))"),FALSE)</f>
        <v>0</v>
      </c>
      <c r="Q131" s="37" t="b">
        <f>IFERROR(__xludf.DUMMYFUNCTION("if(isblank(A131),,REGEXMATCH(B131,""^((I ?\+ ?(D ?I|I ?D))|((D ?I|I ?D) ?\+ ?I)) *$""))"),FALSE)</f>
        <v>0</v>
      </c>
      <c r="R131" s="37" t="b">
        <f>IFERROR(__xludf.DUMMYFUNCTION("if(isblank(A131),,REGEXMATCH(B131,""^((D ?\+ ?(D ?I|I ?D))|((D ?I|I ?D) ?\+ ?D)) *$""))"),FALSE)</f>
        <v>0</v>
      </c>
      <c r="S131" s="37" t="b">
        <f>IFERROR(__xludf.DUMMYFUNCTION("if(isblank(A131),,REGEXMATCH(B131,""^((U ?\+ ?(D ?I|I ?D))|((D ?I|I ?D) ?\+ ?U)) *$""))"),FALSE)</f>
        <v>0</v>
      </c>
      <c r="T131" s="37" t="b">
        <f>IFERROR(__xludf.DUMMYFUNCTION("if(isblank(A131),,REGEXMATCH(B131,""^((N ?\+ ?(D ?I|I ?D))|((D ?I|I ?D) ?\+ ?N)) *$""))"),FALSE)</f>
        <v>0</v>
      </c>
      <c r="U131" s="37" t="b">
        <f>IFERROR(__xludf.DUMMYFUNCTION("if(isblank(A131),,REGEXMATCH(B131,""^((I ?\+ ?(U ?I|I ?U))|((I ?U|U ?I) ?\+ ?I)) *$""))"),FALSE)</f>
        <v>0</v>
      </c>
      <c r="V131" s="37" t="b">
        <f>IFERROR(__xludf.DUMMYFUNCTION("if(isblank(A131),,REGEXMATCH(B131,""^((D ?\+ ?(U ?I|I ?U))|((I ?U|U ?I) ?\+ ?D)) *$""))"),FALSE)</f>
        <v>0</v>
      </c>
      <c r="W131" s="37" t="b">
        <f>IFERROR(__xludf.DUMMYFUNCTION("if(isblank(A131),,REGEXMATCH(B131,""^((U ?\+ ?(U ?I|I ?U))|((I ?U|U ?I) ?\+ ?U)) *$""))"),FALSE)</f>
        <v>0</v>
      </c>
      <c r="X131" s="37" t="b">
        <f>IFERROR(__xludf.DUMMYFUNCTION("if(isblank(A131),,REGEXMATCH(B131,""^((N ?\+ ?(U ?I|I ?U))|((I ?U|U ?I) ?\+ ?N)) *$""))"),FALSE)</f>
        <v>0</v>
      </c>
      <c r="Y131" s="37" t="b">
        <f>IFERROR(__xludf.DUMMYFUNCTION("if(isblank(A131),,REGEXMATCH(B131,""^((I ?\+ ?(U ?D|D ?U))|((D ?U|U ?D) ?\+ ?I)) *$""))"),FALSE)</f>
        <v>0</v>
      </c>
      <c r="Z131" s="37" t="b">
        <f>IFERROR(__xludf.DUMMYFUNCTION("if(isblank(A131),,REGEXMATCH(B131,""^((D ?\+ ?(U ?D|D ?U))|((D ?U|U ?D) ?\+ ?D)) *$""))"),FALSE)</f>
        <v>0</v>
      </c>
      <c r="AA131" s="37" t="b">
        <f>IFERROR(__xludf.DUMMYFUNCTION("if(isblank(A131),,REGEXMATCH(B131,""^((U ?\+ ?(U ?D|D ?U))|((D ?U|U ?D) ?\+ ?U)) *$""))"),FALSE)</f>
        <v>0</v>
      </c>
      <c r="AB131" s="37" t="b">
        <f>IFERROR(__xludf.DUMMYFUNCTION("if(isblank(A131),,REGEXMATCH(B131,""^((D ?I|I ?D) ?\+ ?(D ?I|I ?D)) *$""))"),FALSE)</f>
        <v>0</v>
      </c>
      <c r="AC131" s="37" t="b">
        <f>IFERROR(__xludf.DUMMYFUNCTION("if(isblank(A131),,REGEXMATCH(B131,""^((D ?I|I ?D) ?\+ ?(U ?I|I ?U))|((U ?I|I ?U) ?\+ ?(D ?I|I ?D)) *$""))"),FALSE)</f>
        <v>0</v>
      </c>
      <c r="AD131" s="37" t="b">
        <f>IFERROR(__xludf.DUMMYFUNCTION("if(isblank(A131),,REGEXMATCH(B131,""^I *vs\. I *$""))"),TRUE)</f>
        <v>1</v>
      </c>
      <c r="AE131" s="37" t="b">
        <f>IFERROR(__xludf.DUMMYFUNCTION("if(isblank(A131),,REGEXMATCH(B131,""(^I *vs\. D *$)|(^D *vs\. I *$)""))"),FALSE)</f>
        <v>0</v>
      </c>
      <c r="AF131" s="37" t="b">
        <f>IFERROR(__xludf.DUMMYFUNCTION("if(isblank(A131),,REGEXMATCH(B131,""(^I *vs\. U *$)|(^U *vs\. I *$)""))"),FALSE)</f>
        <v>0</v>
      </c>
      <c r="AG131" s="37" t="b">
        <f>IFERROR(__xludf.DUMMYFUNCTION("if(isblank(A131),,REGEXMATCH(B131,""^D *vs\. D *$""))"),FALSE)</f>
        <v>0</v>
      </c>
      <c r="AH131" s="37" t="b">
        <f>IFERROR(__xludf.DUMMYFUNCTION("if(isblank(A131),,REGEXMATCH(B131,""(^U *vs\. D *$)|(^D *vs\. U *$)""))"),FALSE)</f>
        <v>0</v>
      </c>
      <c r="AI131" s="37" t="b">
        <f>IFERROR(__xludf.DUMMYFUNCTION("if(isblank(A131),,REGEXMATCH(B131,""^U *vs\. U *$""))"),FALSE)</f>
        <v>0</v>
      </c>
      <c r="AJ131" s="37" t="b">
        <f>IFERROR(__xludf.DUMMYFUNCTION("if(isblank(A131),,REGEXMATCH(B131,""^((I ?vs\. ?(D ?I|I ?D))|((D ?I|I ?D) ?vs\. ?I)) *$""))"),FALSE)</f>
        <v>0</v>
      </c>
      <c r="AK131" s="37" t="b">
        <f>IFERROR(__xludf.DUMMYFUNCTION("if(isblank(A131),,REGEXMATCH(B131,""^((D ?vs\. ?(D ?I|I ?D))|((D ?I|I ?D) ?vs\. ?D)) *$""))"),FALSE)</f>
        <v>0</v>
      </c>
      <c r="AL131" s="37" t="b">
        <f>IFERROR(__xludf.DUMMYFUNCTION("if(isblank(A131),,REGEXMATCH(B131,""^((U ?vs\. ?(D ?I|I ?D))|((D ?I|I ?D) ?vs\. ?U)) *$""))"),FALSE)</f>
        <v>0</v>
      </c>
      <c r="AM131" s="37" t="b">
        <f>IFERROR(__xludf.DUMMYFUNCTION("if(isblank(A131),,REGEXMATCH(B131,""^((I ?vs\. ?(U ?I|I ?U))|((U ?I|I ?U) ?vs\. ?I)) *$""))"),FALSE)</f>
        <v>0</v>
      </c>
      <c r="AN131" s="37" t="b">
        <f>IFERROR(__xludf.DUMMYFUNCTION("if(isblank(A131),,REGEXMATCH(B131,""^((D ?vs\. ?(U ?I|I ?U))|((U ?I|I ?U) ?vs\. ?D)) *$""))"),FALSE)</f>
        <v>0</v>
      </c>
      <c r="AO131" s="37" t="b">
        <f>IFERROR(__xludf.DUMMYFUNCTION("if(isblank(A131),,REGEXMATCH(B131,""^((U ?vs\. ?(U ?I|I ?U))|((U ?I|I ?U) ?vs\. ?U)) *$""))"),FALSE)</f>
        <v>0</v>
      </c>
      <c r="AP131" s="37" t="b">
        <f>IFERROR(__xludf.DUMMYFUNCTION("if(isblank(A131),,REGEXMATCH(B131,""^((I ?vs\. ?(U ?D|D ?U))|((D ?U|U ?D) ?vs\. ?I)) *$""))"),FALSE)</f>
        <v>0</v>
      </c>
      <c r="AQ131" s="37" t="b">
        <f>IFERROR(__xludf.DUMMYFUNCTION("if(isblank(A131),,REGEXMATCH(B131,""^((D ?vs\. ?(U ?D|D ?U))|((D ?U|U ?D) ?vs\. ?D)) *$""))"),FALSE)</f>
        <v>0</v>
      </c>
      <c r="AR131" s="37" t="b">
        <f>IFERROR(__xludf.DUMMYFUNCTION("if(isblank(A131),,REGEXMATCH(B131,""^((U ?vs\. ?(U ?D|D ?U))|((D ?U|U ?D) ?vs\. ?U)) *$""))"),FALSE)</f>
        <v>0</v>
      </c>
      <c r="AS131" s="37" t="b">
        <f>IFERROR(__xludf.DUMMYFUNCTION("if(isblank(A131),,REGEXMATCH(B131,""^((D ?I|I ?D) ?vs\. ?(D ?I|I ?D)) *$""))"),FALSE)</f>
        <v>0</v>
      </c>
      <c r="AT131" s="37" t="b">
        <f>IFERROR(__xludf.DUMMYFUNCTION("if(isblank(A131),,REGEXMATCH(B131,""^((D ?I|I ?D) ?vs\. ?(U ?I|I ?U))|((U ?I|I ?U) ?vs\. ?(D ?I|I ?D)) *$""))"),FALSE)</f>
        <v>0</v>
      </c>
      <c r="AU131" s="37" t="b">
        <f>IFERROR(__xludf.DUMMYFUNCTION("if(isblank(A131),,REGEXMATCH(B131,""^((D ?I|I ?D) ?vs\. ?(U ?D|D ?U))|((U ?D|D ?U) ?vs\. ?(D ?I|I ?D)) *$""))"),FALSE)</f>
        <v>0</v>
      </c>
      <c r="AV131" s="37" t="b">
        <f>IFERROR(__xludf.DUMMYFUNCTION("if(isblank(A131),,REGEXMATCH(B131,""^((U ?I|I ?U) ?vs\. ?(U ?I|I ?U)) *$""))"),FALSE)</f>
        <v>0</v>
      </c>
    </row>
    <row r="132" ht="26.25" customHeight="1">
      <c r="A132" s="79" t="str">
        <f>Paper_Textual_Conflict!M132</f>
        <v>U + I (import)</v>
      </c>
      <c r="B132" s="37" t="str">
        <f>IFERROR(__xludf.DUMMYFUNCTION("if(isblank(A132),,regexextract(REGEXEXTRACT(A132,""^.*""),""^[^(]*""))"),"U + I ")</f>
        <v>U + I </v>
      </c>
      <c r="C132" s="37" t="b">
        <f>IFERROR(__xludf.DUMMYFUNCTION("if(isblank(A132),,REGEXMATCH(B132,"".*\+.*"") )"),TRUE)</f>
        <v>1</v>
      </c>
      <c r="D132" s="37" t="b">
        <f>IFERROR(__xludf.DUMMYFUNCTION("if(isblank(A132),,REGEXMATCH(B132,"".*vs.*"") )"),FALSE)</f>
        <v>0</v>
      </c>
      <c r="E132" s="37" t="b">
        <f>Paper_Textual_Conflict!H132</f>
        <v>0</v>
      </c>
      <c r="F132" s="37" t="str">
        <f>Paper_Textual_Conflict!Q132</f>
        <v>Java</v>
      </c>
      <c r="G132" s="33">
        <v>132.0</v>
      </c>
      <c r="H132" s="37" t="b">
        <f>IFERROR(__xludf.DUMMYFUNCTION("if(isblank(A132),,REGEXMATCH(B132,""^I *\+ I *$""))"),FALSE)</f>
        <v>0</v>
      </c>
      <c r="I132" s="37" t="b">
        <f>IFERROR(__xludf.DUMMYFUNCTION("if(isblank(A132),,REGEXMATCH(B132,""(^I *\+ D *$)|(^D *\+ I *$)""))"),FALSE)</f>
        <v>0</v>
      </c>
      <c r="J132" s="37" t="b">
        <f>IFERROR(__xludf.DUMMYFUNCTION("if(isblank(A132),,REGEXMATCH(B132,""(^I *\+ U *$)|(^U *\+ I *$)""))"),TRUE)</f>
        <v>1</v>
      </c>
      <c r="K132" s="37" t="b">
        <f>IFERROR(__xludf.DUMMYFUNCTION("if(isblank(A132),,REGEXMATCH(B132,""(^I *\+ N *$)|(^N *\+ I *$)"") )"),FALSE)</f>
        <v>0</v>
      </c>
      <c r="L132" s="37" t="b">
        <f>IFERROR(__xludf.DUMMYFUNCTION("if(isblank(A132),,REGEXMATCH(B132,""^D *\+ D *$""))"),FALSE)</f>
        <v>0</v>
      </c>
      <c r="M132" s="37" t="b">
        <f>IFERROR(__xludf.DUMMYFUNCTION("if(isblank(A132),,REGEXMATCH(B132,""(^U *\+ D *$)|(^D *\+ U *$)""))"),FALSE)</f>
        <v>0</v>
      </c>
      <c r="N132" s="37" t="b">
        <f>IFERROR(__xludf.DUMMYFUNCTION("if(isblank(A132),,REGEXMATCH(B132,""(^N *\+ D *$)|(^D *\+ N *$)""))"),FALSE)</f>
        <v>0</v>
      </c>
      <c r="O132" s="37" t="b">
        <f>IFERROR(__xludf.DUMMYFUNCTION("if(isblank(A132),,REGEXMATCH(B132,""^U *\+ U *$""))"),FALSE)</f>
        <v>0</v>
      </c>
      <c r="P132" s="37" t="b">
        <f>IFERROR(__xludf.DUMMYFUNCTION("if(isblank(A132),,REGEXMATCH(B132,""(^U *\+ N *$)|(^N *\+ U *$)""))"),FALSE)</f>
        <v>0</v>
      </c>
      <c r="Q132" s="37" t="b">
        <f>IFERROR(__xludf.DUMMYFUNCTION("if(isblank(A132),,REGEXMATCH(B132,""^((I ?\+ ?(D ?I|I ?D))|((D ?I|I ?D) ?\+ ?I)) *$""))"),FALSE)</f>
        <v>0</v>
      </c>
      <c r="R132" s="37" t="b">
        <f>IFERROR(__xludf.DUMMYFUNCTION("if(isblank(A132),,REGEXMATCH(B132,""^((D ?\+ ?(D ?I|I ?D))|((D ?I|I ?D) ?\+ ?D)) *$""))"),FALSE)</f>
        <v>0</v>
      </c>
      <c r="S132" s="37" t="b">
        <f>IFERROR(__xludf.DUMMYFUNCTION("if(isblank(A132),,REGEXMATCH(B132,""^((U ?\+ ?(D ?I|I ?D))|((D ?I|I ?D) ?\+ ?U)) *$""))"),FALSE)</f>
        <v>0</v>
      </c>
      <c r="T132" s="37" t="b">
        <f>IFERROR(__xludf.DUMMYFUNCTION("if(isblank(A132),,REGEXMATCH(B132,""^((N ?\+ ?(D ?I|I ?D))|((D ?I|I ?D) ?\+ ?N)) *$""))"),FALSE)</f>
        <v>0</v>
      </c>
      <c r="U132" s="37" t="b">
        <f>IFERROR(__xludf.DUMMYFUNCTION("if(isblank(A132),,REGEXMATCH(B132,""^((I ?\+ ?(U ?I|I ?U))|((I ?U|U ?I) ?\+ ?I)) *$""))"),FALSE)</f>
        <v>0</v>
      </c>
      <c r="V132" s="37" t="b">
        <f>IFERROR(__xludf.DUMMYFUNCTION("if(isblank(A132),,REGEXMATCH(B132,""^((D ?\+ ?(U ?I|I ?U))|((I ?U|U ?I) ?\+ ?D)) *$""))"),FALSE)</f>
        <v>0</v>
      </c>
      <c r="W132" s="37" t="b">
        <f>IFERROR(__xludf.DUMMYFUNCTION("if(isblank(A132),,REGEXMATCH(B132,""^((U ?\+ ?(U ?I|I ?U))|((I ?U|U ?I) ?\+ ?U)) *$""))"),FALSE)</f>
        <v>0</v>
      </c>
      <c r="X132" s="37" t="b">
        <f>IFERROR(__xludf.DUMMYFUNCTION("if(isblank(A132),,REGEXMATCH(B132,""^((N ?\+ ?(U ?I|I ?U))|((I ?U|U ?I) ?\+ ?N)) *$""))"),FALSE)</f>
        <v>0</v>
      </c>
      <c r="Y132" s="37" t="b">
        <f>IFERROR(__xludf.DUMMYFUNCTION("if(isblank(A132),,REGEXMATCH(B132,""^((I ?\+ ?(U ?D|D ?U))|((D ?U|U ?D) ?\+ ?I)) *$""))"),FALSE)</f>
        <v>0</v>
      </c>
      <c r="Z132" s="37" t="b">
        <f>IFERROR(__xludf.DUMMYFUNCTION("if(isblank(A132),,REGEXMATCH(B132,""^((D ?\+ ?(U ?D|D ?U))|((D ?U|U ?D) ?\+ ?D)) *$""))"),FALSE)</f>
        <v>0</v>
      </c>
      <c r="AA132" s="37" t="b">
        <f>IFERROR(__xludf.DUMMYFUNCTION("if(isblank(A132),,REGEXMATCH(B132,""^((U ?\+ ?(U ?D|D ?U))|((D ?U|U ?D) ?\+ ?U)) *$""))"),FALSE)</f>
        <v>0</v>
      </c>
      <c r="AB132" s="37" t="b">
        <f>IFERROR(__xludf.DUMMYFUNCTION("if(isblank(A132),,REGEXMATCH(B132,""^((D ?I|I ?D) ?\+ ?(D ?I|I ?D)) *$""))"),FALSE)</f>
        <v>0</v>
      </c>
      <c r="AC132" s="37" t="b">
        <f>IFERROR(__xludf.DUMMYFUNCTION("if(isblank(A132),,REGEXMATCH(B132,""^((D ?I|I ?D) ?\+ ?(U ?I|I ?U))|((U ?I|I ?U) ?\+ ?(D ?I|I ?D)) *$""))"),FALSE)</f>
        <v>0</v>
      </c>
      <c r="AD132" s="37" t="b">
        <f>IFERROR(__xludf.DUMMYFUNCTION("if(isblank(A132),,REGEXMATCH(B132,""^I *vs\. I *$""))"),FALSE)</f>
        <v>0</v>
      </c>
      <c r="AE132" s="37" t="b">
        <f>IFERROR(__xludf.DUMMYFUNCTION("if(isblank(A132),,REGEXMATCH(B132,""(^I *vs\. D *$)|(^D *vs\. I *$)""))"),FALSE)</f>
        <v>0</v>
      </c>
      <c r="AF132" s="37" t="b">
        <f>IFERROR(__xludf.DUMMYFUNCTION("if(isblank(A132),,REGEXMATCH(B132,""(^I *vs\. U *$)|(^U *vs\. I *$)""))"),FALSE)</f>
        <v>0</v>
      </c>
      <c r="AG132" s="37" t="b">
        <f>IFERROR(__xludf.DUMMYFUNCTION("if(isblank(A132),,REGEXMATCH(B132,""^D *vs\. D *$""))"),FALSE)</f>
        <v>0</v>
      </c>
      <c r="AH132" s="37" t="b">
        <f>IFERROR(__xludf.DUMMYFUNCTION("if(isblank(A132),,REGEXMATCH(B132,""(^U *vs\. D *$)|(^D *vs\. U *$)""))"),FALSE)</f>
        <v>0</v>
      </c>
      <c r="AI132" s="37" t="b">
        <f>IFERROR(__xludf.DUMMYFUNCTION("if(isblank(A132),,REGEXMATCH(B132,""^U *vs\. U *$""))"),FALSE)</f>
        <v>0</v>
      </c>
      <c r="AJ132" s="37" t="b">
        <f>IFERROR(__xludf.DUMMYFUNCTION("if(isblank(A132),,REGEXMATCH(B132,""^((I ?vs\. ?(D ?I|I ?D))|((D ?I|I ?D) ?vs\. ?I)) *$""))"),FALSE)</f>
        <v>0</v>
      </c>
      <c r="AK132" s="37" t="b">
        <f>IFERROR(__xludf.DUMMYFUNCTION("if(isblank(A132),,REGEXMATCH(B132,""^((D ?vs\. ?(D ?I|I ?D))|((D ?I|I ?D) ?vs\. ?D)) *$""))"),FALSE)</f>
        <v>0</v>
      </c>
      <c r="AL132" s="37" t="b">
        <f>IFERROR(__xludf.DUMMYFUNCTION("if(isblank(A132),,REGEXMATCH(B132,""^((U ?vs\. ?(D ?I|I ?D))|((D ?I|I ?D) ?vs\. ?U)) *$""))"),FALSE)</f>
        <v>0</v>
      </c>
      <c r="AM132" s="37" t="b">
        <f>IFERROR(__xludf.DUMMYFUNCTION("if(isblank(A132),,REGEXMATCH(B132,""^((I ?vs\. ?(U ?I|I ?U))|((U ?I|I ?U) ?vs\. ?I)) *$""))"),FALSE)</f>
        <v>0</v>
      </c>
      <c r="AN132" s="37" t="b">
        <f>IFERROR(__xludf.DUMMYFUNCTION("if(isblank(A132),,REGEXMATCH(B132,""^((D ?vs\. ?(U ?I|I ?U))|((U ?I|I ?U) ?vs\. ?D)) *$""))"),FALSE)</f>
        <v>0</v>
      </c>
      <c r="AO132" s="37" t="b">
        <f>IFERROR(__xludf.DUMMYFUNCTION("if(isblank(A132),,REGEXMATCH(B132,""^((U ?vs\. ?(U ?I|I ?U))|((U ?I|I ?U) ?vs\. ?U)) *$""))"),FALSE)</f>
        <v>0</v>
      </c>
      <c r="AP132" s="37" t="b">
        <f>IFERROR(__xludf.DUMMYFUNCTION("if(isblank(A132),,REGEXMATCH(B132,""^((I ?vs\. ?(U ?D|D ?U))|((D ?U|U ?D) ?vs\. ?I)) *$""))"),FALSE)</f>
        <v>0</v>
      </c>
      <c r="AQ132" s="37" t="b">
        <f>IFERROR(__xludf.DUMMYFUNCTION("if(isblank(A132),,REGEXMATCH(B132,""^((D ?vs\. ?(U ?D|D ?U))|((D ?U|U ?D) ?vs\. ?D)) *$""))"),FALSE)</f>
        <v>0</v>
      </c>
      <c r="AR132" s="37" t="b">
        <f>IFERROR(__xludf.DUMMYFUNCTION("if(isblank(A132),,REGEXMATCH(B132,""^((U ?vs\. ?(U ?D|D ?U))|((D ?U|U ?D) ?vs\. ?U)) *$""))"),FALSE)</f>
        <v>0</v>
      </c>
      <c r="AS132" s="37" t="b">
        <f>IFERROR(__xludf.DUMMYFUNCTION("if(isblank(A132),,REGEXMATCH(B132,""^((D ?I|I ?D) ?vs\. ?(D ?I|I ?D)) *$""))"),FALSE)</f>
        <v>0</v>
      </c>
      <c r="AT132" s="37" t="b">
        <f>IFERROR(__xludf.DUMMYFUNCTION("if(isblank(A132),,REGEXMATCH(B132,""^((D ?I|I ?D) ?vs\. ?(U ?I|I ?U))|((U ?I|I ?U) ?vs\. ?(D ?I|I ?D)) *$""))"),FALSE)</f>
        <v>0</v>
      </c>
      <c r="AU132" s="37" t="b">
        <f>IFERROR(__xludf.DUMMYFUNCTION("if(isblank(A132),,REGEXMATCH(B132,""^((D ?I|I ?D) ?vs\. ?(U ?D|D ?U))|((U ?D|D ?U) ?vs\. ?(D ?I|I ?D)) *$""))"),FALSE)</f>
        <v>0</v>
      </c>
      <c r="AV132" s="37" t="b">
        <f>IFERROR(__xludf.DUMMYFUNCTION("if(isblank(A132),,REGEXMATCH(B132,""^((U ?I|I ?U) ?vs\. ?(U ?I|I ?U)) *$""))"),FALSE)</f>
        <v>0</v>
      </c>
    </row>
    <row r="133" ht="26.25" customHeight="1">
      <c r="A133" s="79" t="str">
        <f>Paper_Textual_Conflict!M133</f>
        <v>D I vs. D (import, L includes R)</v>
      </c>
      <c r="B133" s="37" t="str">
        <f>IFERROR(__xludf.DUMMYFUNCTION("if(isblank(A133),,regexextract(REGEXEXTRACT(A133,""^.*""),""^[^(]*""))"),"D I vs. D ")</f>
        <v>D I vs. D </v>
      </c>
      <c r="C133" s="37" t="b">
        <f>IFERROR(__xludf.DUMMYFUNCTION("if(isblank(A133),,REGEXMATCH(B133,"".*\+.*"") )"),FALSE)</f>
        <v>0</v>
      </c>
      <c r="D133" s="37" t="b">
        <f>IFERROR(__xludf.DUMMYFUNCTION("if(isblank(A133),,REGEXMATCH(B133,"".*vs.*"") )"),TRUE)</f>
        <v>1</v>
      </c>
      <c r="E133" s="37" t="b">
        <f>Paper_Textual_Conflict!H133</f>
        <v>1</v>
      </c>
      <c r="F133" s="37" t="str">
        <f>Paper_Textual_Conflict!Q133</f>
        <v>Java</v>
      </c>
      <c r="G133" s="33">
        <v>133.0</v>
      </c>
      <c r="H133" s="37" t="b">
        <f>IFERROR(__xludf.DUMMYFUNCTION("if(isblank(A133),,REGEXMATCH(B133,""^I *\+ I *$""))"),FALSE)</f>
        <v>0</v>
      </c>
      <c r="I133" s="37" t="b">
        <f>IFERROR(__xludf.DUMMYFUNCTION("if(isblank(A133),,REGEXMATCH(B133,""(^I *\+ D *$)|(^D *\+ I *$)""))"),FALSE)</f>
        <v>0</v>
      </c>
      <c r="J133" s="37" t="b">
        <f>IFERROR(__xludf.DUMMYFUNCTION("if(isblank(A133),,REGEXMATCH(B133,""(^I *\+ U *$)|(^U *\+ I *$)""))"),FALSE)</f>
        <v>0</v>
      </c>
      <c r="K133" s="37" t="b">
        <f>IFERROR(__xludf.DUMMYFUNCTION("if(isblank(A133),,REGEXMATCH(B133,""(^I *\+ N *$)|(^N *\+ I *$)"") )"),FALSE)</f>
        <v>0</v>
      </c>
      <c r="L133" s="37" t="b">
        <f>IFERROR(__xludf.DUMMYFUNCTION("if(isblank(A133),,REGEXMATCH(B133,""^D *\+ D *$""))"),FALSE)</f>
        <v>0</v>
      </c>
      <c r="M133" s="37" t="b">
        <f>IFERROR(__xludf.DUMMYFUNCTION("if(isblank(A133),,REGEXMATCH(B133,""(^U *\+ D *$)|(^D *\+ U *$)""))"),FALSE)</f>
        <v>0</v>
      </c>
      <c r="N133" s="37" t="b">
        <f>IFERROR(__xludf.DUMMYFUNCTION("if(isblank(A133),,REGEXMATCH(B133,""(^N *\+ D *$)|(^D *\+ N *$)""))"),FALSE)</f>
        <v>0</v>
      </c>
      <c r="O133" s="37" t="b">
        <f>IFERROR(__xludf.DUMMYFUNCTION("if(isblank(A133),,REGEXMATCH(B133,""^U *\+ U *$""))"),FALSE)</f>
        <v>0</v>
      </c>
      <c r="P133" s="37" t="b">
        <f>IFERROR(__xludf.DUMMYFUNCTION("if(isblank(A133),,REGEXMATCH(B133,""(^U *\+ N *$)|(^N *\+ U *$)""))"),FALSE)</f>
        <v>0</v>
      </c>
      <c r="Q133" s="37" t="b">
        <f>IFERROR(__xludf.DUMMYFUNCTION("if(isblank(A133),,REGEXMATCH(B133,""^((I ?\+ ?(D ?I|I ?D))|((D ?I|I ?D) ?\+ ?I)) *$""))"),FALSE)</f>
        <v>0</v>
      </c>
      <c r="R133" s="37" t="b">
        <f>IFERROR(__xludf.DUMMYFUNCTION("if(isblank(A133),,REGEXMATCH(B133,""^((D ?\+ ?(D ?I|I ?D))|((D ?I|I ?D) ?\+ ?D)) *$""))"),FALSE)</f>
        <v>0</v>
      </c>
      <c r="S133" s="37" t="b">
        <f>IFERROR(__xludf.DUMMYFUNCTION("if(isblank(A133),,REGEXMATCH(B133,""^((U ?\+ ?(D ?I|I ?D))|((D ?I|I ?D) ?\+ ?U)) *$""))"),FALSE)</f>
        <v>0</v>
      </c>
      <c r="T133" s="37" t="b">
        <f>IFERROR(__xludf.DUMMYFUNCTION("if(isblank(A133),,REGEXMATCH(B133,""^((N ?\+ ?(D ?I|I ?D))|((D ?I|I ?D) ?\+ ?N)) *$""))"),FALSE)</f>
        <v>0</v>
      </c>
      <c r="U133" s="37" t="b">
        <f>IFERROR(__xludf.DUMMYFUNCTION("if(isblank(A133),,REGEXMATCH(B133,""^((I ?\+ ?(U ?I|I ?U))|((I ?U|U ?I) ?\+ ?I)) *$""))"),FALSE)</f>
        <v>0</v>
      </c>
      <c r="V133" s="37" t="b">
        <f>IFERROR(__xludf.DUMMYFUNCTION("if(isblank(A133),,REGEXMATCH(B133,""^((D ?\+ ?(U ?I|I ?U))|((I ?U|U ?I) ?\+ ?D)) *$""))"),FALSE)</f>
        <v>0</v>
      </c>
      <c r="W133" s="37" t="b">
        <f>IFERROR(__xludf.DUMMYFUNCTION("if(isblank(A133),,REGEXMATCH(B133,""^((U ?\+ ?(U ?I|I ?U))|((I ?U|U ?I) ?\+ ?U)) *$""))"),FALSE)</f>
        <v>0</v>
      </c>
      <c r="X133" s="37" t="b">
        <f>IFERROR(__xludf.DUMMYFUNCTION("if(isblank(A133),,REGEXMATCH(B133,""^((N ?\+ ?(U ?I|I ?U))|((I ?U|U ?I) ?\+ ?N)) *$""))"),FALSE)</f>
        <v>0</v>
      </c>
      <c r="Y133" s="37" t="b">
        <f>IFERROR(__xludf.DUMMYFUNCTION("if(isblank(A133),,REGEXMATCH(B133,""^((I ?\+ ?(U ?D|D ?U))|((D ?U|U ?D) ?\+ ?I)) *$""))"),FALSE)</f>
        <v>0</v>
      </c>
      <c r="Z133" s="37" t="b">
        <f>IFERROR(__xludf.DUMMYFUNCTION("if(isblank(A133),,REGEXMATCH(B133,""^((D ?\+ ?(U ?D|D ?U))|((D ?U|U ?D) ?\+ ?D)) *$""))"),FALSE)</f>
        <v>0</v>
      </c>
      <c r="AA133" s="37" t="b">
        <f>IFERROR(__xludf.DUMMYFUNCTION("if(isblank(A133),,REGEXMATCH(B133,""^((U ?\+ ?(U ?D|D ?U))|((D ?U|U ?D) ?\+ ?U)) *$""))"),FALSE)</f>
        <v>0</v>
      </c>
      <c r="AB133" s="37" t="b">
        <f>IFERROR(__xludf.DUMMYFUNCTION("if(isblank(A133),,REGEXMATCH(B133,""^((D ?I|I ?D) ?\+ ?(D ?I|I ?D)) *$""))"),FALSE)</f>
        <v>0</v>
      </c>
      <c r="AC133" s="37" t="b">
        <f>IFERROR(__xludf.DUMMYFUNCTION("if(isblank(A133),,REGEXMATCH(B133,""^((D ?I|I ?D) ?\+ ?(U ?I|I ?U))|((U ?I|I ?U) ?\+ ?(D ?I|I ?D)) *$""))"),FALSE)</f>
        <v>0</v>
      </c>
      <c r="AD133" s="37" t="b">
        <f>IFERROR(__xludf.DUMMYFUNCTION("if(isblank(A133),,REGEXMATCH(B133,""^I *vs\. I *$""))"),FALSE)</f>
        <v>0</v>
      </c>
      <c r="AE133" s="37" t="b">
        <f>IFERROR(__xludf.DUMMYFUNCTION("if(isblank(A133),,REGEXMATCH(B133,""(^I *vs\. D *$)|(^D *vs\. I *$)""))"),FALSE)</f>
        <v>0</v>
      </c>
      <c r="AF133" s="37" t="b">
        <f>IFERROR(__xludf.DUMMYFUNCTION("if(isblank(A133),,REGEXMATCH(B133,""(^I *vs\. U *$)|(^U *vs\. I *$)""))"),FALSE)</f>
        <v>0</v>
      </c>
      <c r="AG133" s="37" t="b">
        <f>IFERROR(__xludf.DUMMYFUNCTION("if(isblank(A133),,REGEXMATCH(B133,""^D *vs\. D *$""))"),FALSE)</f>
        <v>0</v>
      </c>
      <c r="AH133" s="37" t="b">
        <f>IFERROR(__xludf.DUMMYFUNCTION("if(isblank(A133),,REGEXMATCH(B133,""(^U *vs\. D *$)|(^D *vs\. U *$)""))"),FALSE)</f>
        <v>0</v>
      </c>
      <c r="AI133" s="37" t="b">
        <f>IFERROR(__xludf.DUMMYFUNCTION("if(isblank(A133),,REGEXMATCH(B133,""^U *vs\. U *$""))"),FALSE)</f>
        <v>0</v>
      </c>
      <c r="AJ133" s="37" t="b">
        <f>IFERROR(__xludf.DUMMYFUNCTION("if(isblank(A133),,REGEXMATCH(B133,""^((I ?vs\. ?(D ?I|I ?D))|((D ?I|I ?D) ?vs\. ?I)) *$""))"),FALSE)</f>
        <v>0</v>
      </c>
      <c r="AK133" s="37" t="b">
        <f>IFERROR(__xludf.DUMMYFUNCTION("if(isblank(A133),,REGEXMATCH(B133,""^((D ?vs\. ?(D ?I|I ?D))|((D ?I|I ?D) ?vs\. ?D)) *$""))"),TRUE)</f>
        <v>1</v>
      </c>
      <c r="AL133" s="37" t="b">
        <f>IFERROR(__xludf.DUMMYFUNCTION("if(isblank(A133),,REGEXMATCH(B133,""^((U ?vs\. ?(D ?I|I ?D))|((D ?I|I ?D) ?vs\. ?U)) *$""))"),FALSE)</f>
        <v>0</v>
      </c>
      <c r="AM133" s="37" t="b">
        <f>IFERROR(__xludf.DUMMYFUNCTION("if(isblank(A133),,REGEXMATCH(B133,""^((I ?vs\. ?(U ?I|I ?U))|((U ?I|I ?U) ?vs\. ?I)) *$""))"),FALSE)</f>
        <v>0</v>
      </c>
      <c r="AN133" s="37" t="b">
        <f>IFERROR(__xludf.DUMMYFUNCTION("if(isblank(A133),,REGEXMATCH(B133,""^((D ?vs\. ?(U ?I|I ?U))|((U ?I|I ?U) ?vs\. ?D)) *$""))"),FALSE)</f>
        <v>0</v>
      </c>
      <c r="AO133" s="37" t="b">
        <f>IFERROR(__xludf.DUMMYFUNCTION("if(isblank(A133),,REGEXMATCH(B133,""^((U ?vs\. ?(U ?I|I ?U))|((U ?I|I ?U) ?vs\. ?U)) *$""))"),FALSE)</f>
        <v>0</v>
      </c>
      <c r="AP133" s="37" t="b">
        <f>IFERROR(__xludf.DUMMYFUNCTION("if(isblank(A133),,REGEXMATCH(B133,""^((I ?vs\. ?(U ?D|D ?U))|((D ?U|U ?D) ?vs\. ?I)) *$""))"),FALSE)</f>
        <v>0</v>
      </c>
      <c r="AQ133" s="37" t="b">
        <f>IFERROR(__xludf.DUMMYFUNCTION("if(isblank(A133),,REGEXMATCH(B133,""^((D ?vs\. ?(U ?D|D ?U))|((D ?U|U ?D) ?vs\. ?D)) *$""))"),FALSE)</f>
        <v>0</v>
      </c>
      <c r="AR133" s="37" t="b">
        <f>IFERROR(__xludf.DUMMYFUNCTION("if(isblank(A133),,REGEXMATCH(B133,""^((U ?vs\. ?(U ?D|D ?U))|((D ?U|U ?D) ?vs\. ?U)) *$""))"),FALSE)</f>
        <v>0</v>
      </c>
      <c r="AS133" s="37" t="b">
        <f>IFERROR(__xludf.DUMMYFUNCTION("if(isblank(A133),,REGEXMATCH(B133,""^((D ?I|I ?D) ?vs\. ?(D ?I|I ?D)) *$""))"),FALSE)</f>
        <v>0</v>
      </c>
      <c r="AT133" s="37" t="b">
        <f>IFERROR(__xludf.DUMMYFUNCTION("if(isblank(A133),,REGEXMATCH(B133,""^((D ?I|I ?D) ?vs\. ?(U ?I|I ?U))|((U ?I|I ?U) ?vs\. ?(D ?I|I ?D)) *$""))"),FALSE)</f>
        <v>0</v>
      </c>
      <c r="AU133" s="37" t="b">
        <f>IFERROR(__xludf.DUMMYFUNCTION("if(isblank(A133),,REGEXMATCH(B133,""^((D ?I|I ?D) ?vs\. ?(U ?D|D ?U))|((U ?D|D ?U) ?vs\. ?(D ?I|I ?D)) *$""))"),FALSE)</f>
        <v>0</v>
      </c>
      <c r="AV133" s="37" t="b">
        <f>IFERROR(__xludf.DUMMYFUNCTION("if(isblank(A133),,REGEXMATCH(B133,""^((U ?I|I ?U) ?vs\. ?(U ?I|I ?U)) *$""))"),FALSE)</f>
        <v>0</v>
      </c>
    </row>
    <row r="134" ht="26.25" customHeight="1">
      <c r="A134" s="79" t="str">
        <f>Paper_Textual_Conflict!M134</f>
        <v>U vs. U (xml, version no) L &lt; R version</v>
      </c>
      <c r="B134" s="37" t="str">
        <f>IFERROR(__xludf.DUMMYFUNCTION("if(isblank(A134),,regexextract(REGEXEXTRACT(A134,""^.*""),""^[^(]*""))"),"U vs. U ")</f>
        <v>U vs. U </v>
      </c>
      <c r="C134" s="37" t="b">
        <f>IFERROR(__xludf.DUMMYFUNCTION("if(isblank(A134),,REGEXMATCH(B134,"".*\+.*"") )"),FALSE)</f>
        <v>0</v>
      </c>
      <c r="D134" s="37" t="b">
        <f>IFERROR(__xludf.DUMMYFUNCTION("if(isblank(A134),,REGEXMATCH(B134,"".*vs.*"") )"),TRUE)</f>
        <v>1</v>
      </c>
      <c r="E134" s="37" t="b">
        <f>Paper_Textual_Conflict!H134</f>
        <v>1</v>
      </c>
      <c r="F134" s="37" t="str">
        <f>Paper_Textual_Conflict!Q134</f>
        <v>Non-Java</v>
      </c>
      <c r="G134" s="33">
        <v>134.0</v>
      </c>
      <c r="H134" s="37" t="b">
        <f>IFERROR(__xludf.DUMMYFUNCTION("if(isblank(A134),,REGEXMATCH(B134,""^I *\+ I *$""))"),FALSE)</f>
        <v>0</v>
      </c>
      <c r="I134" s="37" t="b">
        <f>IFERROR(__xludf.DUMMYFUNCTION("if(isblank(A134),,REGEXMATCH(B134,""(^I *\+ D *$)|(^D *\+ I *$)""))"),FALSE)</f>
        <v>0</v>
      </c>
      <c r="J134" s="37" t="b">
        <f>IFERROR(__xludf.DUMMYFUNCTION("if(isblank(A134),,REGEXMATCH(B134,""(^I *\+ U *$)|(^U *\+ I *$)""))"),FALSE)</f>
        <v>0</v>
      </c>
      <c r="K134" s="37" t="b">
        <f>IFERROR(__xludf.DUMMYFUNCTION("if(isblank(A134),,REGEXMATCH(B134,""(^I *\+ N *$)|(^N *\+ I *$)"") )"),FALSE)</f>
        <v>0</v>
      </c>
      <c r="L134" s="37" t="b">
        <f>IFERROR(__xludf.DUMMYFUNCTION("if(isblank(A134),,REGEXMATCH(B134,""^D *\+ D *$""))"),FALSE)</f>
        <v>0</v>
      </c>
      <c r="M134" s="37" t="b">
        <f>IFERROR(__xludf.DUMMYFUNCTION("if(isblank(A134),,REGEXMATCH(B134,""(^U *\+ D *$)|(^D *\+ U *$)""))"),FALSE)</f>
        <v>0</v>
      </c>
      <c r="N134" s="37" t="b">
        <f>IFERROR(__xludf.DUMMYFUNCTION("if(isblank(A134),,REGEXMATCH(B134,""(^N *\+ D *$)|(^D *\+ N *$)""))"),FALSE)</f>
        <v>0</v>
      </c>
      <c r="O134" s="37" t="b">
        <f>IFERROR(__xludf.DUMMYFUNCTION("if(isblank(A134),,REGEXMATCH(B134,""^U *\+ U *$""))"),FALSE)</f>
        <v>0</v>
      </c>
      <c r="P134" s="37" t="b">
        <f>IFERROR(__xludf.DUMMYFUNCTION("if(isblank(A134),,REGEXMATCH(B134,""(^U *\+ N *$)|(^N *\+ U *$)""))"),FALSE)</f>
        <v>0</v>
      </c>
      <c r="Q134" s="37" t="b">
        <f>IFERROR(__xludf.DUMMYFUNCTION("if(isblank(A134),,REGEXMATCH(B134,""^((I ?\+ ?(D ?I|I ?D))|((D ?I|I ?D) ?\+ ?I)) *$""))"),FALSE)</f>
        <v>0</v>
      </c>
      <c r="R134" s="37" t="b">
        <f>IFERROR(__xludf.DUMMYFUNCTION("if(isblank(A134),,REGEXMATCH(B134,""^((D ?\+ ?(D ?I|I ?D))|((D ?I|I ?D) ?\+ ?D)) *$""))"),FALSE)</f>
        <v>0</v>
      </c>
      <c r="S134" s="37" t="b">
        <f>IFERROR(__xludf.DUMMYFUNCTION("if(isblank(A134),,REGEXMATCH(B134,""^((U ?\+ ?(D ?I|I ?D))|((D ?I|I ?D) ?\+ ?U)) *$""))"),FALSE)</f>
        <v>0</v>
      </c>
      <c r="T134" s="37" t="b">
        <f>IFERROR(__xludf.DUMMYFUNCTION("if(isblank(A134),,REGEXMATCH(B134,""^((N ?\+ ?(D ?I|I ?D))|((D ?I|I ?D) ?\+ ?N)) *$""))"),FALSE)</f>
        <v>0</v>
      </c>
      <c r="U134" s="37" t="b">
        <f>IFERROR(__xludf.DUMMYFUNCTION("if(isblank(A134),,REGEXMATCH(B134,""^((I ?\+ ?(U ?I|I ?U))|((I ?U|U ?I) ?\+ ?I)) *$""))"),FALSE)</f>
        <v>0</v>
      </c>
      <c r="V134" s="37" t="b">
        <f>IFERROR(__xludf.DUMMYFUNCTION("if(isblank(A134),,REGEXMATCH(B134,""^((D ?\+ ?(U ?I|I ?U))|((I ?U|U ?I) ?\+ ?D)) *$""))"),FALSE)</f>
        <v>0</v>
      </c>
      <c r="W134" s="37" t="b">
        <f>IFERROR(__xludf.DUMMYFUNCTION("if(isblank(A134),,REGEXMATCH(B134,""^((U ?\+ ?(U ?I|I ?U))|((I ?U|U ?I) ?\+ ?U)) *$""))"),FALSE)</f>
        <v>0</v>
      </c>
      <c r="X134" s="37" t="b">
        <f>IFERROR(__xludf.DUMMYFUNCTION("if(isblank(A134),,REGEXMATCH(B134,""^((N ?\+ ?(U ?I|I ?U))|((I ?U|U ?I) ?\+ ?N)) *$""))"),FALSE)</f>
        <v>0</v>
      </c>
      <c r="Y134" s="37" t="b">
        <f>IFERROR(__xludf.DUMMYFUNCTION("if(isblank(A134),,REGEXMATCH(B134,""^((I ?\+ ?(U ?D|D ?U))|((D ?U|U ?D) ?\+ ?I)) *$""))"),FALSE)</f>
        <v>0</v>
      </c>
      <c r="Z134" s="37" t="b">
        <f>IFERROR(__xludf.DUMMYFUNCTION("if(isblank(A134),,REGEXMATCH(B134,""^((D ?\+ ?(U ?D|D ?U))|((D ?U|U ?D) ?\+ ?D)) *$""))"),FALSE)</f>
        <v>0</v>
      </c>
      <c r="AA134" s="37" t="b">
        <f>IFERROR(__xludf.DUMMYFUNCTION("if(isblank(A134),,REGEXMATCH(B134,""^((U ?\+ ?(U ?D|D ?U))|((D ?U|U ?D) ?\+ ?U)) *$""))"),FALSE)</f>
        <v>0</v>
      </c>
      <c r="AB134" s="37" t="b">
        <f>IFERROR(__xludf.DUMMYFUNCTION("if(isblank(A134),,REGEXMATCH(B134,""^((D ?I|I ?D) ?\+ ?(D ?I|I ?D)) *$""))"),FALSE)</f>
        <v>0</v>
      </c>
      <c r="AC134" s="37" t="b">
        <f>IFERROR(__xludf.DUMMYFUNCTION("if(isblank(A134),,REGEXMATCH(B134,""^((D ?I|I ?D) ?\+ ?(U ?I|I ?U))|((U ?I|I ?U) ?\+ ?(D ?I|I ?D)) *$""))"),FALSE)</f>
        <v>0</v>
      </c>
      <c r="AD134" s="37" t="b">
        <f>IFERROR(__xludf.DUMMYFUNCTION("if(isblank(A134),,REGEXMATCH(B134,""^I *vs\. I *$""))"),FALSE)</f>
        <v>0</v>
      </c>
      <c r="AE134" s="37" t="b">
        <f>IFERROR(__xludf.DUMMYFUNCTION("if(isblank(A134),,REGEXMATCH(B134,""(^I *vs\. D *$)|(^D *vs\. I *$)""))"),FALSE)</f>
        <v>0</v>
      </c>
      <c r="AF134" s="37" t="b">
        <f>IFERROR(__xludf.DUMMYFUNCTION("if(isblank(A134),,REGEXMATCH(B134,""(^I *vs\. U *$)|(^U *vs\. I *$)""))"),FALSE)</f>
        <v>0</v>
      </c>
      <c r="AG134" s="37" t="b">
        <f>IFERROR(__xludf.DUMMYFUNCTION("if(isblank(A134),,REGEXMATCH(B134,""^D *vs\. D *$""))"),FALSE)</f>
        <v>0</v>
      </c>
      <c r="AH134" s="37" t="b">
        <f>IFERROR(__xludf.DUMMYFUNCTION("if(isblank(A134),,REGEXMATCH(B134,""(^U *vs\. D *$)|(^D *vs\. U *$)""))"),FALSE)</f>
        <v>0</v>
      </c>
      <c r="AI134" s="37" t="b">
        <f>IFERROR(__xludf.DUMMYFUNCTION("if(isblank(A134),,REGEXMATCH(B134,""^U *vs\. U *$""))"),TRUE)</f>
        <v>1</v>
      </c>
      <c r="AJ134" s="37" t="b">
        <f>IFERROR(__xludf.DUMMYFUNCTION("if(isblank(A134),,REGEXMATCH(B134,""^((I ?vs\. ?(D ?I|I ?D))|((D ?I|I ?D) ?vs\. ?I)) *$""))"),FALSE)</f>
        <v>0</v>
      </c>
      <c r="AK134" s="37" t="b">
        <f>IFERROR(__xludf.DUMMYFUNCTION("if(isblank(A134),,REGEXMATCH(B134,""^((D ?vs\. ?(D ?I|I ?D))|((D ?I|I ?D) ?vs\. ?D)) *$""))"),FALSE)</f>
        <v>0</v>
      </c>
      <c r="AL134" s="37" t="b">
        <f>IFERROR(__xludf.DUMMYFUNCTION("if(isblank(A134),,REGEXMATCH(B134,""^((U ?vs\. ?(D ?I|I ?D))|((D ?I|I ?D) ?vs\. ?U)) *$""))"),FALSE)</f>
        <v>0</v>
      </c>
      <c r="AM134" s="37" t="b">
        <f>IFERROR(__xludf.DUMMYFUNCTION("if(isblank(A134),,REGEXMATCH(B134,""^((I ?vs\. ?(U ?I|I ?U))|((U ?I|I ?U) ?vs\. ?I)) *$""))"),FALSE)</f>
        <v>0</v>
      </c>
      <c r="AN134" s="37" t="b">
        <f>IFERROR(__xludf.DUMMYFUNCTION("if(isblank(A134),,REGEXMATCH(B134,""^((D ?vs\. ?(U ?I|I ?U))|((U ?I|I ?U) ?vs\. ?D)) *$""))"),FALSE)</f>
        <v>0</v>
      </c>
      <c r="AO134" s="37" t="b">
        <f>IFERROR(__xludf.DUMMYFUNCTION("if(isblank(A134),,REGEXMATCH(B134,""^((U ?vs\. ?(U ?I|I ?U))|((U ?I|I ?U) ?vs\. ?U)) *$""))"),FALSE)</f>
        <v>0</v>
      </c>
      <c r="AP134" s="37" t="b">
        <f>IFERROR(__xludf.DUMMYFUNCTION("if(isblank(A134),,REGEXMATCH(B134,""^((I ?vs\. ?(U ?D|D ?U))|((D ?U|U ?D) ?vs\. ?I)) *$""))"),FALSE)</f>
        <v>0</v>
      </c>
      <c r="AQ134" s="37" t="b">
        <f>IFERROR(__xludf.DUMMYFUNCTION("if(isblank(A134),,REGEXMATCH(B134,""^((D ?vs\. ?(U ?D|D ?U))|((D ?U|U ?D) ?vs\. ?D)) *$""))"),FALSE)</f>
        <v>0</v>
      </c>
      <c r="AR134" s="37" t="b">
        <f>IFERROR(__xludf.DUMMYFUNCTION("if(isblank(A134),,REGEXMATCH(B134,""^((U ?vs\. ?(U ?D|D ?U))|((D ?U|U ?D) ?vs\. ?U)) *$""))"),FALSE)</f>
        <v>0</v>
      </c>
      <c r="AS134" s="37" t="b">
        <f>IFERROR(__xludf.DUMMYFUNCTION("if(isblank(A134),,REGEXMATCH(B134,""^((D ?I|I ?D) ?vs\. ?(D ?I|I ?D)) *$""))"),FALSE)</f>
        <v>0</v>
      </c>
      <c r="AT134" s="37" t="b">
        <f>IFERROR(__xludf.DUMMYFUNCTION("if(isblank(A134),,REGEXMATCH(B134,""^((D ?I|I ?D) ?vs\. ?(U ?I|I ?U))|((U ?I|I ?U) ?vs\. ?(D ?I|I ?D)) *$""))"),FALSE)</f>
        <v>0</v>
      </c>
      <c r="AU134" s="37" t="b">
        <f>IFERROR(__xludf.DUMMYFUNCTION("if(isblank(A134),,REGEXMATCH(B134,""^((D ?I|I ?D) ?vs\. ?(U ?D|D ?U))|((U ?D|D ?U) ?vs\. ?(D ?I|I ?D)) *$""))"),FALSE)</f>
        <v>0</v>
      </c>
      <c r="AV134" s="37" t="b">
        <f>IFERROR(__xludf.DUMMYFUNCTION("if(isblank(A134),,REGEXMATCH(B134,""^((U ?I|I ?U) ?vs\. ?(U ?I|I ?U)) *$""))"),FALSE)</f>
        <v>0</v>
      </c>
    </row>
    <row r="135" ht="26.25" customHeight="1">
      <c r="A135" s="79" t="str">
        <f>Paper_Textual_Conflict!M135</f>
        <v>U vs. D U (xml, L includes R)
Origin(D I vs. D I)</v>
      </c>
      <c r="B135" s="37" t="str">
        <f>IFERROR(__xludf.DUMMYFUNCTION("if(isblank(A135),,regexextract(REGEXEXTRACT(A135,""^.*""),""^[^(]*""))"),"U vs. D U ")</f>
        <v>U vs. D U </v>
      </c>
      <c r="C135" s="37" t="b">
        <f>IFERROR(__xludf.DUMMYFUNCTION("if(isblank(A135),,REGEXMATCH(B135,"".*\+.*"") )"),FALSE)</f>
        <v>0</v>
      </c>
      <c r="D135" s="37" t="b">
        <f>IFERROR(__xludf.DUMMYFUNCTION("if(isblank(A135),,REGEXMATCH(B135,"".*vs.*"") )"),TRUE)</f>
        <v>1</v>
      </c>
      <c r="E135" s="37" t="b">
        <f>Paper_Textual_Conflict!H135</f>
        <v>1</v>
      </c>
      <c r="F135" s="37" t="str">
        <f>Paper_Textual_Conflict!Q135</f>
        <v>Non-Java</v>
      </c>
      <c r="G135" s="33">
        <v>135.0</v>
      </c>
      <c r="H135" s="37" t="b">
        <f>IFERROR(__xludf.DUMMYFUNCTION("if(isblank(A135),,REGEXMATCH(B135,""^I *\+ I *$""))"),FALSE)</f>
        <v>0</v>
      </c>
      <c r="I135" s="37" t="b">
        <f>IFERROR(__xludf.DUMMYFUNCTION("if(isblank(A135),,REGEXMATCH(B135,""(^I *\+ D *$)|(^D *\+ I *$)""))"),FALSE)</f>
        <v>0</v>
      </c>
      <c r="J135" s="37" t="b">
        <f>IFERROR(__xludf.DUMMYFUNCTION("if(isblank(A135),,REGEXMATCH(B135,""(^I *\+ U *$)|(^U *\+ I *$)""))"),FALSE)</f>
        <v>0</v>
      </c>
      <c r="K135" s="37" t="b">
        <f>IFERROR(__xludf.DUMMYFUNCTION("if(isblank(A135),,REGEXMATCH(B135,""(^I *\+ N *$)|(^N *\+ I *$)"") )"),FALSE)</f>
        <v>0</v>
      </c>
      <c r="L135" s="37" t="b">
        <f>IFERROR(__xludf.DUMMYFUNCTION("if(isblank(A135),,REGEXMATCH(B135,""^D *\+ D *$""))"),FALSE)</f>
        <v>0</v>
      </c>
      <c r="M135" s="37" t="b">
        <f>IFERROR(__xludf.DUMMYFUNCTION("if(isblank(A135),,REGEXMATCH(B135,""(^U *\+ D *$)|(^D *\+ U *$)""))"),FALSE)</f>
        <v>0</v>
      </c>
      <c r="N135" s="37" t="b">
        <f>IFERROR(__xludf.DUMMYFUNCTION("if(isblank(A135),,REGEXMATCH(B135,""(^N *\+ D *$)|(^D *\+ N *$)""))"),FALSE)</f>
        <v>0</v>
      </c>
      <c r="O135" s="37" t="b">
        <f>IFERROR(__xludf.DUMMYFUNCTION("if(isblank(A135),,REGEXMATCH(B135,""^U *\+ U *$""))"),FALSE)</f>
        <v>0</v>
      </c>
      <c r="P135" s="37" t="b">
        <f>IFERROR(__xludf.DUMMYFUNCTION("if(isblank(A135),,REGEXMATCH(B135,""(^U *\+ N *$)|(^N *\+ U *$)""))"),FALSE)</f>
        <v>0</v>
      </c>
      <c r="Q135" s="37" t="b">
        <f>IFERROR(__xludf.DUMMYFUNCTION("if(isblank(A135),,REGEXMATCH(B135,""^((I ?\+ ?(D ?I|I ?D))|((D ?I|I ?D) ?\+ ?I)) *$""))"),FALSE)</f>
        <v>0</v>
      </c>
      <c r="R135" s="37" t="b">
        <f>IFERROR(__xludf.DUMMYFUNCTION("if(isblank(A135),,REGEXMATCH(B135,""^((D ?\+ ?(D ?I|I ?D))|((D ?I|I ?D) ?\+ ?D)) *$""))"),FALSE)</f>
        <v>0</v>
      </c>
      <c r="S135" s="37" t="b">
        <f>IFERROR(__xludf.DUMMYFUNCTION("if(isblank(A135),,REGEXMATCH(B135,""^((U ?\+ ?(D ?I|I ?D))|((D ?I|I ?D) ?\+ ?U)) *$""))"),FALSE)</f>
        <v>0</v>
      </c>
      <c r="T135" s="37" t="b">
        <f>IFERROR(__xludf.DUMMYFUNCTION("if(isblank(A135),,REGEXMATCH(B135,""^((N ?\+ ?(D ?I|I ?D))|((D ?I|I ?D) ?\+ ?N)) *$""))"),FALSE)</f>
        <v>0</v>
      </c>
      <c r="U135" s="37" t="b">
        <f>IFERROR(__xludf.DUMMYFUNCTION("if(isblank(A135),,REGEXMATCH(B135,""^((I ?\+ ?(U ?I|I ?U))|((I ?U|U ?I) ?\+ ?I)) *$""))"),FALSE)</f>
        <v>0</v>
      </c>
      <c r="V135" s="37" t="b">
        <f>IFERROR(__xludf.DUMMYFUNCTION("if(isblank(A135),,REGEXMATCH(B135,""^((D ?\+ ?(U ?I|I ?U))|((I ?U|U ?I) ?\+ ?D)) *$""))"),FALSE)</f>
        <v>0</v>
      </c>
      <c r="W135" s="37" t="b">
        <f>IFERROR(__xludf.DUMMYFUNCTION("if(isblank(A135),,REGEXMATCH(B135,""^((U ?\+ ?(U ?I|I ?U))|((I ?U|U ?I) ?\+ ?U)) *$""))"),FALSE)</f>
        <v>0</v>
      </c>
      <c r="X135" s="37" t="b">
        <f>IFERROR(__xludf.DUMMYFUNCTION("if(isblank(A135),,REGEXMATCH(B135,""^((N ?\+ ?(U ?I|I ?U))|((I ?U|U ?I) ?\+ ?N)) *$""))"),FALSE)</f>
        <v>0</v>
      </c>
      <c r="Y135" s="37" t="b">
        <f>IFERROR(__xludf.DUMMYFUNCTION("if(isblank(A135),,REGEXMATCH(B135,""^((I ?\+ ?(U ?D|D ?U))|((D ?U|U ?D) ?\+ ?I)) *$""))"),FALSE)</f>
        <v>0</v>
      </c>
      <c r="Z135" s="37" t="b">
        <f>IFERROR(__xludf.DUMMYFUNCTION("if(isblank(A135),,REGEXMATCH(B135,""^((D ?\+ ?(U ?D|D ?U))|((D ?U|U ?D) ?\+ ?D)) *$""))"),FALSE)</f>
        <v>0</v>
      </c>
      <c r="AA135" s="37" t="b">
        <f>IFERROR(__xludf.DUMMYFUNCTION("if(isblank(A135),,REGEXMATCH(B135,""^((U ?\+ ?(U ?D|D ?U))|((D ?U|U ?D) ?\+ ?U)) *$""))"),FALSE)</f>
        <v>0</v>
      </c>
      <c r="AB135" s="37" t="b">
        <f>IFERROR(__xludf.DUMMYFUNCTION("if(isblank(A135),,REGEXMATCH(B135,""^((D ?I|I ?D) ?\+ ?(D ?I|I ?D)) *$""))"),FALSE)</f>
        <v>0</v>
      </c>
      <c r="AC135" s="37" t="b">
        <f>IFERROR(__xludf.DUMMYFUNCTION("if(isblank(A135),,REGEXMATCH(B135,""^((D ?I|I ?D) ?\+ ?(U ?I|I ?U))|((U ?I|I ?U) ?\+ ?(D ?I|I ?D)) *$""))"),FALSE)</f>
        <v>0</v>
      </c>
      <c r="AD135" s="37" t="b">
        <f>IFERROR(__xludf.DUMMYFUNCTION("if(isblank(A135),,REGEXMATCH(B135,""^I *vs\. I *$""))"),FALSE)</f>
        <v>0</v>
      </c>
      <c r="AE135" s="37" t="b">
        <f>IFERROR(__xludf.DUMMYFUNCTION("if(isblank(A135),,REGEXMATCH(B135,""(^I *vs\. D *$)|(^D *vs\. I *$)""))"),FALSE)</f>
        <v>0</v>
      </c>
      <c r="AF135" s="37" t="b">
        <f>IFERROR(__xludf.DUMMYFUNCTION("if(isblank(A135),,REGEXMATCH(B135,""(^I *vs\. U *$)|(^U *vs\. I *$)""))"),FALSE)</f>
        <v>0</v>
      </c>
      <c r="AG135" s="37" t="b">
        <f>IFERROR(__xludf.DUMMYFUNCTION("if(isblank(A135),,REGEXMATCH(B135,""^D *vs\. D *$""))"),FALSE)</f>
        <v>0</v>
      </c>
      <c r="AH135" s="37" t="b">
        <f>IFERROR(__xludf.DUMMYFUNCTION("if(isblank(A135),,REGEXMATCH(B135,""(^U *vs\. D *$)|(^D *vs\. U *$)""))"),FALSE)</f>
        <v>0</v>
      </c>
      <c r="AI135" s="37" t="b">
        <f>IFERROR(__xludf.DUMMYFUNCTION("if(isblank(A135),,REGEXMATCH(B135,""^U *vs\. U *$""))"),FALSE)</f>
        <v>0</v>
      </c>
      <c r="AJ135" s="37" t="b">
        <f>IFERROR(__xludf.DUMMYFUNCTION("if(isblank(A135),,REGEXMATCH(B135,""^((I ?vs\. ?(D ?I|I ?D))|((D ?I|I ?D) ?vs\. ?I)) *$""))"),FALSE)</f>
        <v>0</v>
      </c>
      <c r="AK135" s="37" t="b">
        <f>IFERROR(__xludf.DUMMYFUNCTION("if(isblank(A135),,REGEXMATCH(B135,""^((D ?vs\. ?(D ?I|I ?D))|((D ?I|I ?D) ?vs\. ?D)) *$""))"),FALSE)</f>
        <v>0</v>
      </c>
      <c r="AL135" s="37" t="b">
        <f>IFERROR(__xludf.DUMMYFUNCTION("if(isblank(A135),,REGEXMATCH(B135,""^((U ?vs\. ?(D ?I|I ?D))|((D ?I|I ?D) ?vs\. ?U)) *$""))"),FALSE)</f>
        <v>0</v>
      </c>
      <c r="AM135" s="37" t="b">
        <f>IFERROR(__xludf.DUMMYFUNCTION("if(isblank(A135),,REGEXMATCH(B135,""^((I ?vs\. ?(U ?I|I ?U))|((U ?I|I ?U) ?vs\. ?I)) *$""))"),FALSE)</f>
        <v>0</v>
      </c>
      <c r="AN135" s="37" t="b">
        <f>IFERROR(__xludf.DUMMYFUNCTION("if(isblank(A135),,REGEXMATCH(B135,""^((D ?vs\. ?(U ?I|I ?U))|((U ?I|I ?U) ?vs\. ?D)) *$""))"),FALSE)</f>
        <v>0</v>
      </c>
      <c r="AO135" s="37" t="b">
        <f>IFERROR(__xludf.DUMMYFUNCTION("if(isblank(A135),,REGEXMATCH(B135,""^((U ?vs\. ?(U ?I|I ?U))|((U ?I|I ?U) ?vs\. ?U)) *$""))"),FALSE)</f>
        <v>0</v>
      </c>
      <c r="AP135" s="37" t="b">
        <f>IFERROR(__xludf.DUMMYFUNCTION("if(isblank(A135),,REGEXMATCH(B135,""^((I ?vs\. ?(U ?D|D ?U))|((D ?U|U ?D) ?vs\. ?I)) *$""))"),FALSE)</f>
        <v>0</v>
      </c>
      <c r="AQ135" s="37" t="b">
        <f>IFERROR(__xludf.DUMMYFUNCTION("if(isblank(A135),,REGEXMATCH(B135,""^((D ?vs\. ?(U ?D|D ?U))|((D ?U|U ?D) ?vs\. ?D)) *$""))"),FALSE)</f>
        <v>0</v>
      </c>
      <c r="AR135" s="37" t="b">
        <f>IFERROR(__xludf.DUMMYFUNCTION("if(isblank(A135),,REGEXMATCH(B135,""^((U ?vs\. ?(U ?D|D ?U))|((D ?U|U ?D) ?vs\. ?U)) *$""))"),TRUE)</f>
        <v>1</v>
      </c>
      <c r="AS135" s="37" t="b">
        <f>IFERROR(__xludf.DUMMYFUNCTION("if(isblank(A135),,REGEXMATCH(B135,""^((D ?I|I ?D) ?vs\. ?(D ?I|I ?D)) *$""))"),FALSE)</f>
        <v>0</v>
      </c>
      <c r="AT135" s="37" t="b">
        <f>IFERROR(__xludf.DUMMYFUNCTION("if(isblank(A135),,REGEXMATCH(B135,""^((D ?I|I ?D) ?vs\. ?(U ?I|I ?U))|((U ?I|I ?U) ?vs\. ?(D ?I|I ?D)) *$""))"),FALSE)</f>
        <v>0</v>
      </c>
      <c r="AU135" s="37" t="b">
        <f>IFERROR(__xludf.DUMMYFUNCTION("if(isblank(A135),,REGEXMATCH(B135,""^((D ?I|I ?D) ?vs\. ?(U ?D|D ?U))|((U ?D|D ?U) ?vs\. ?(D ?I|I ?D)) *$""))"),FALSE)</f>
        <v>0</v>
      </c>
      <c r="AV135" s="37" t="b">
        <f>IFERROR(__xludf.DUMMYFUNCTION("if(isblank(A135),,REGEXMATCH(B135,""^((U ?I|I ?U) ?vs\. ?(U ?I|I ?U)) *$""))"),FALSE)</f>
        <v>0</v>
      </c>
    </row>
    <row r="136" ht="26.25" customHeight="1">
      <c r="A136" s="79" t="str">
        <f>Paper_Textual_Conflict!M136</f>
        <v>I vs. I(xml)</v>
      </c>
      <c r="B136" s="37" t="str">
        <f>IFERROR(__xludf.DUMMYFUNCTION("if(isblank(A136),,regexextract(REGEXEXTRACT(A136,""^.*""),""^[^(]*""))"),"I vs. I")</f>
        <v>I vs. I</v>
      </c>
      <c r="C136" s="37" t="b">
        <f>IFERROR(__xludf.DUMMYFUNCTION("if(isblank(A136),,REGEXMATCH(B136,"".*\+.*"") )"),FALSE)</f>
        <v>0</v>
      </c>
      <c r="D136" s="37" t="b">
        <f>IFERROR(__xludf.DUMMYFUNCTION("if(isblank(A136),,REGEXMATCH(B136,"".*vs.*"") )"),TRUE)</f>
        <v>1</v>
      </c>
      <c r="E136" s="37" t="b">
        <f>Paper_Textual_Conflict!H136</f>
        <v>1</v>
      </c>
      <c r="F136" s="37" t="str">
        <f>Paper_Textual_Conflict!Q136</f>
        <v>Non-Java</v>
      </c>
      <c r="G136" s="33">
        <v>136.0</v>
      </c>
      <c r="H136" s="37" t="b">
        <f>IFERROR(__xludf.DUMMYFUNCTION("if(isblank(A136),,REGEXMATCH(B136,""^I *\+ I *$""))"),FALSE)</f>
        <v>0</v>
      </c>
      <c r="I136" s="37" t="b">
        <f>IFERROR(__xludf.DUMMYFUNCTION("if(isblank(A136),,REGEXMATCH(B136,""(^I *\+ D *$)|(^D *\+ I *$)""))"),FALSE)</f>
        <v>0</v>
      </c>
      <c r="J136" s="37" t="b">
        <f>IFERROR(__xludf.DUMMYFUNCTION("if(isblank(A136),,REGEXMATCH(B136,""(^I *\+ U *$)|(^U *\+ I *$)""))"),FALSE)</f>
        <v>0</v>
      </c>
      <c r="K136" s="37" t="b">
        <f>IFERROR(__xludf.DUMMYFUNCTION("if(isblank(A136),,REGEXMATCH(B136,""(^I *\+ N *$)|(^N *\+ I *$)"") )"),FALSE)</f>
        <v>0</v>
      </c>
      <c r="L136" s="37" t="b">
        <f>IFERROR(__xludf.DUMMYFUNCTION("if(isblank(A136),,REGEXMATCH(B136,""^D *\+ D *$""))"),FALSE)</f>
        <v>0</v>
      </c>
      <c r="M136" s="37" t="b">
        <f>IFERROR(__xludf.DUMMYFUNCTION("if(isblank(A136),,REGEXMATCH(B136,""(^U *\+ D *$)|(^D *\+ U *$)""))"),FALSE)</f>
        <v>0</v>
      </c>
      <c r="N136" s="37" t="b">
        <f>IFERROR(__xludf.DUMMYFUNCTION("if(isblank(A136),,REGEXMATCH(B136,""(^N *\+ D *$)|(^D *\+ N *$)""))"),FALSE)</f>
        <v>0</v>
      </c>
      <c r="O136" s="37" t="b">
        <f>IFERROR(__xludf.DUMMYFUNCTION("if(isblank(A136),,REGEXMATCH(B136,""^U *\+ U *$""))"),FALSE)</f>
        <v>0</v>
      </c>
      <c r="P136" s="37" t="b">
        <f>IFERROR(__xludf.DUMMYFUNCTION("if(isblank(A136),,REGEXMATCH(B136,""(^U *\+ N *$)|(^N *\+ U *$)""))"),FALSE)</f>
        <v>0</v>
      </c>
      <c r="Q136" s="37" t="b">
        <f>IFERROR(__xludf.DUMMYFUNCTION("if(isblank(A136),,REGEXMATCH(B136,""^((I ?\+ ?(D ?I|I ?D))|((D ?I|I ?D) ?\+ ?I)) *$""))"),FALSE)</f>
        <v>0</v>
      </c>
      <c r="R136" s="37" t="b">
        <f>IFERROR(__xludf.DUMMYFUNCTION("if(isblank(A136),,REGEXMATCH(B136,""^((D ?\+ ?(D ?I|I ?D))|((D ?I|I ?D) ?\+ ?D)) *$""))"),FALSE)</f>
        <v>0</v>
      </c>
      <c r="S136" s="37" t="b">
        <f>IFERROR(__xludf.DUMMYFUNCTION("if(isblank(A136),,REGEXMATCH(B136,""^((U ?\+ ?(D ?I|I ?D))|((D ?I|I ?D) ?\+ ?U)) *$""))"),FALSE)</f>
        <v>0</v>
      </c>
      <c r="T136" s="37" t="b">
        <f>IFERROR(__xludf.DUMMYFUNCTION("if(isblank(A136),,REGEXMATCH(B136,""^((N ?\+ ?(D ?I|I ?D))|((D ?I|I ?D) ?\+ ?N)) *$""))"),FALSE)</f>
        <v>0</v>
      </c>
      <c r="U136" s="37" t="b">
        <f>IFERROR(__xludf.DUMMYFUNCTION("if(isblank(A136),,REGEXMATCH(B136,""^((I ?\+ ?(U ?I|I ?U))|((I ?U|U ?I) ?\+ ?I)) *$""))"),FALSE)</f>
        <v>0</v>
      </c>
      <c r="V136" s="37" t="b">
        <f>IFERROR(__xludf.DUMMYFUNCTION("if(isblank(A136),,REGEXMATCH(B136,""^((D ?\+ ?(U ?I|I ?U))|((I ?U|U ?I) ?\+ ?D)) *$""))"),FALSE)</f>
        <v>0</v>
      </c>
      <c r="W136" s="37" t="b">
        <f>IFERROR(__xludf.DUMMYFUNCTION("if(isblank(A136),,REGEXMATCH(B136,""^((U ?\+ ?(U ?I|I ?U))|((I ?U|U ?I) ?\+ ?U)) *$""))"),FALSE)</f>
        <v>0</v>
      </c>
      <c r="X136" s="37" t="b">
        <f>IFERROR(__xludf.DUMMYFUNCTION("if(isblank(A136),,REGEXMATCH(B136,""^((N ?\+ ?(U ?I|I ?U))|((I ?U|U ?I) ?\+ ?N)) *$""))"),FALSE)</f>
        <v>0</v>
      </c>
      <c r="Y136" s="37" t="b">
        <f>IFERROR(__xludf.DUMMYFUNCTION("if(isblank(A136),,REGEXMATCH(B136,""^((I ?\+ ?(U ?D|D ?U))|((D ?U|U ?D) ?\+ ?I)) *$""))"),FALSE)</f>
        <v>0</v>
      </c>
      <c r="Z136" s="37" t="b">
        <f>IFERROR(__xludf.DUMMYFUNCTION("if(isblank(A136),,REGEXMATCH(B136,""^((D ?\+ ?(U ?D|D ?U))|((D ?U|U ?D) ?\+ ?D)) *$""))"),FALSE)</f>
        <v>0</v>
      </c>
      <c r="AA136" s="37" t="b">
        <f>IFERROR(__xludf.DUMMYFUNCTION("if(isblank(A136),,REGEXMATCH(B136,""^((U ?\+ ?(U ?D|D ?U))|((D ?U|U ?D) ?\+ ?U)) *$""))"),FALSE)</f>
        <v>0</v>
      </c>
      <c r="AB136" s="37" t="b">
        <f>IFERROR(__xludf.DUMMYFUNCTION("if(isblank(A136),,REGEXMATCH(B136,""^((D ?I|I ?D) ?\+ ?(D ?I|I ?D)) *$""))"),FALSE)</f>
        <v>0</v>
      </c>
      <c r="AC136" s="37" t="b">
        <f>IFERROR(__xludf.DUMMYFUNCTION("if(isblank(A136),,REGEXMATCH(B136,""^((D ?I|I ?D) ?\+ ?(U ?I|I ?U))|((U ?I|I ?U) ?\+ ?(D ?I|I ?D)) *$""))"),FALSE)</f>
        <v>0</v>
      </c>
      <c r="AD136" s="37" t="b">
        <f>IFERROR(__xludf.DUMMYFUNCTION("if(isblank(A136),,REGEXMATCH(B136,""^I *vs\. I *$""))"),TRUE)</f>
        <v>1</v>
      </c>
      <c r="AE136" s="37" t="b">
        <f>IFERROR(__xludf.DUMMYFUNCTION("if(isblank(A136),,REGEXMATCH(B136,""(^I *vs\. D *$)|(^D *vs\. I *$)""))"),FALSE)</f>
        <v>0</v>
      </c>
      <c r="AF136" s="37" t="b">
        <f>IFERROR(__xludf.DUMMYFUNCTION("if(isblank(A136),,REGEXMATCH(B136,""(^I *vs\. U *$)|(^U *vs\. I *$)""))"),FALSE)</f>
        <v>0</v>
      </c>
      <c r="AG136" s="37" t="b">
        <f>IFERROR(__xludf.DUMMYFUNCTION("if(isblank(A136),,REGEXMATCH(B136,""^D *vs\. D *$""))"),FALSE)</f>
        <v>0</v>
      </c>
      <c r="AH136" s="37" t="b">
        <f>IFERROR(__xludf.DUMMYFUNCTION("if(isblank(A136),,REGEXMATCH(B136,""(^U *vs\. D *$)|(^D *vs\. U *$)""))"),FALSE)</f>
        <v>0</v>
      </c>
      <c r="AI136" s="37" t="b">
        <f>IFERROR(__xludf.DUMMYFUNCTION("if(isblank(A136),,REGEXMATCH(B136,""^U *vs\. U *$""))"),FALSE)</f>
        <v>0</v>
      </c>
      <c r="AJ136" s="37" t="b">
        <f>IFERROR(__xludf.DUMMYFUNCTION("if(isblank(A136),,REGEXMATCH(B136,""^((I ?vs\. ?(D ?I|I ?D))|((D ?I|I ?D) ?vs\. ?I)) *$""))"),FALSE)</f>
        <v>0</v>
      </c>
      <c r="AK136" s="37" t="b">
        <f>IFERROR(__xludf.DUMMYFUNCTION("if(isblank(A136),,REGEXMATCH(B136,""^((D ?vs\. ?(D ?I|I ?D))|((D ?I|I ?D) ?vs\. ?D)) *$""))"),FALSE)</f>
        <v>0</v>
      </c>
      <c r="AL136" s="37" t="b">
        <f>IFERROR(__xludf.DUMMYFUNCTION("if(isblank(A136),,REGEXMATCH(B136,""^((U ?vs\. ?(D ?I|I ?D))|((D ?I|I ?D) ?vs\. ?U)) *$""))"),FALSE)</f>
        <v>0</v>
      </c>
      <c r="AM136" s="37" t="b">
        <f>IFERROR(__xludf.DUMMYFUNCTION("if(isblank(A136),,REGEXMATCH(B136,""^((I ?vs\. ?(U ?I|I ?U))|((U ?I|I ?U) ?vs\. ?I)) *$""))"),FALSE)</f>
        <v>0</v>
      </c>
      <c r="AN136" s="37" t="b">
        <f>IFERROR(__xludf.DUMMYFUNCTION("if(isblank(A136),,REGEXMATCH(B136,""^((D ?vs\. ?(U ?I|I ?U))|((U ?I|I ?U) ?vs\. ?D)) *$""))"),FALSE)</f>
        <v>0</v>
      </c>
      <c r="AO136" s="37" t="b">
        <f>IFERROR(__xludf.DUMMYFUNCTION("if(isblank(A136),,REGEXMATCH(B136,""^((U ?vs\. ?(U ?I|I ?U))|((U ?I|I ?U) ?vs\. ?U)) *$""))"),FALSE)</f>
        <v>0</v>
      </c>
      <c r="AP136" s="37" t="b">
        <f>IFERROR(__xludf.DUMMYFUNCTION("if(isblank(A136),,REGEXMATCH(B136,""^((I ?vs\. ?(U ?D|D ?U))|((D ?U|U ?D) ?vs\. ?I)) *$""))"),FALSE)</f>
        <v>0</v>
      </c>
      <c r="AQ136" s="37" t="b">
        <f>IFERROR(__xludf.DUMMYFUNCTION("if(isblank(A136),,REGEXMATCH(B136,""^((D ?vs\. ?(U ?D|D ?U))|((D ?U|U ?D) ?vs\. ?D)) *$""))"),FALSE)</f>
        <v>0</v>
      </c>
      <c r="AR136" s="37" t="b">
        <f>IFERROR(__xludf.DUMMYFUNCTION("if(isblank(A136),,REGEXMATCH(B136,""^((U ?vs\. ?(U ?D|D ?U))|((D ?U|U ?D) ?vs\. ?U)) *$""))"),FALSE)</f>
        <v>0</v>
      </c>
      <c r="AS136" s="37" t="b">
        <f>IFERROR(__xludf.DUMMYFUNCTION("if(isblank(A136),,REGEXMATCH(B136,""^((D ?I|I ?D) ?vs\. ?(D ?I|I ?D)) *$""))"),FALSE)</f>
        <v>0</v>
      </c>
      <c r="AT136" s="37" t="b">
        <f>IFERROR(__xludf.DUMMYFUNCTION("if(isblank(A136),,REGEXMATCH(B136,""^((D ?I|I ?D) ?vs\. ?(U ?I|I ?U))|((U ?I|I ?U) ?vs\. ?(D ?I|I ?D)) *$""))"),FALSE)</f>
        <v>0</v>
      </c>
      <c r="AU136" s="37" t="b">
        <f>IFERROR(__xludf.DUMMYFUNCTION("if(isblank(A136),,REGEXMATCH(B136,""^((D ?I|I ?D) ?vs\. ?(U ?D|D ?U))|((U ?D|D ?U) ?vs\. ?(D ?I|I ?D)) *$""))"),FALSE)</f>
        <v>0</v>
      </c>
      <c r="AV136" s="37" t="b">
        <f>IFERROR(__xludf.DUMMYFUNCTION("if(isblank(A136),,REGEXMATCH(B136,""^((U ?I|I ?U) ?vs\. ?(U ?I|I ?U)) *$""))"),FALSE)</f>
        <v>0</v>
      </c>
    </row>
    <row r="137" ht="26.25" customHeight="1">
      <c r="A137" s="79" t="str">
        <f>Paper_Textual_Conflict!M137</f>
        <v>U vs. U (properties, version no) L &gt; R version</v>
      </c>
      <c r="B137" s="37" t="str">
        <f>IFERROR(__xludf.DUMMYFUNCTION("if(isblank(A137),,regexextract(REGEXEXTRACT(A137,""^.*""),""^[^(]*""))"),"U vs. U ")</f>
        <v>U vs. U </v>
      </c>
      <c r="C137" s="37" t="b">
        <f>IFERROR(__xludf.DUMMYFUNCTION("if(isblank(A137),,REGEXMATCH(B137,"".*\+.*"") )"),FALSE)</f>
        <v>0</v>
      </c>
      <c r="D137" s="37" t="b">
        <f>IFERROR(__xludf.DUMMYFUNCTION("if(isblank(A137),,REGEXMATCH(B137,"".*vs.*"") )"),TRUE)</f>
        <v>1</v>
      </c>
      <c r="E137" s="37" t="b">
        <f>Paper_Textual_Conflict!H137</f>
        <v>1</v>
      </c>
      <c r="F137" s="37" t="str">
        <f>Paper_Textual_Conflict!Q137</f>
        <v>Non-Java</v>
      </c>
      <c r="G137" s="33">
        <v>137.0</v>
      </c>
      <c r="H137" s="37" t="b">
        <f>IFERROR(__xludf.DUMMYFUNCTION("if(isblank(A137),,REGEXMATCH(B137,""^I *\+ I *$""))"),FALSE)</f>
        <v>0</v>
      </c>
      <c r="I137" s="37" t="b">
        <f>IFERROR(__xludf.DUMMYFUNCTION("if(isblank(A137),,REGEXMATCH(B137,""(^I *\+ D *$)|(^D *\+ I *$)""))"),FALSE)</f>
        <v>0</v>
      </c>
      <c r="J137" s="37" t="b">
        <f>IFERROR(__xludf.DUMMYFUNCTION("if(isblank(A137),,REGEXMATCH(B137,""(^I *\+ U *$)|(^U *\+ I *$)""))"),FALSE)</f>
        <v>0</v>
      </c>
      <c r="K137" s="37" t="b">
        <f>IFERROR(__xludf.DUMMYFUNCTION("if(isblank(A137),,REGEXMATCH(B137,""(^I *\+ N *$)|(^N *\+ I *$)"") )"),FALSE)</f>
        <v>0</v>
      </c>
      <c r="L137" s="37" t="b">
        <f>IFERROR(__xludf.DUMMYFUNCTION("if(isblank(A137),,REGEXMATCH(B137,""^D *\+ D *$""))"),FALSE)</f>
        <v>0</v>
      </c>
      <c r="M137" s="37" t="b">
        <f>IFERROR(__xludf.DUMMYFUNCTION("if(isblank(A137),,REGEXMATCH(B137,""(^U *\+ D *$)|(^D *\+ U *$)""))"),FALSE)</f>
        <v>0</v>
      </c>
      <c r="N137" s="37" t="b">
        <f>IFERROR(__xludf.DUMMYFUNCTION("if(isblank(A137),,REGEXMATCH(B137,""(^N *\+ D *$)|(^D *\+ N *$)""))"),FALSE)</f>
        <v>0</v>
      </c>
      <c r="O137" s="37" t="b">
        <f>IFERROR(__xludf.DUMMYFUNCTION("if(isblank(A137),,REGEXMATCH(B137,""^U *\+ U *$""))"),FALSE)</f>
        <v>0</v>
      </c>
      <c r="P137" s="37" t="b">
        <f>IFERROR(__xludf.DUMMYFUNCTION("if(isblank(A137),,REGEXMATCH(B137,""(^U *\+ N *$)|(^N *\+ U *$)""))"),FALSE)</f>
        <v>0</v>
      </c>
      <c r="Q137" s="37" t="b">
        <f>IFERROR(__xludf.DUMMYFUNCTION("if(isblank(A137),,REGEXMATCH(B137,""^((I ?\+ ?(D ?I|I ?D))|((D ?I|I ?D) ?\+ ?I)) *$""))"),FALSE)</f>
        <v>0</v>
      </c>
      <c r="R137" s="37" t="b">
        <f>IFERROR(__xludf.DUMMYFUNCTION("if(isblank(A137),,REGEXMATCH(B137,""^((D ?\+ ?(D ?I|I ?D))|((D ?I|I ?D) ?\+ ?D)) *$""))"),FALSE)</f>
        <v>0</v>
      </c>
      <c r="S137" s="37" t="b">
        <f>IFERROR(__xludf.DUMMYFUNCTION("if(isblank(A137),,REGEXMATCH(B137,""^((U ?\+ ?(D ?I|I ?D))|((D ?I|I ?D) ?\+ ?U)) *$""))"),FALSE)</f>
        <v>0</v>
      </c>
      <c r="T137" s="37" t="b">
        <f>IFERROR(__xludf.DUMMYFUNCTION("if(isblank(A137),,REGEXMATCH(B137,""^((N ?\+ ?(D ?I|I ?D))|((D ?I|I ?D) ?\+ ?N)) *$""))"),FALSE)</f>
        <v>0</v>
      </c>
      <c r="U137" s="37" t="b">
        <f>IFERROR(__xludf.DUMMYFUNCTION("if(isblank(A137),,REGEXMATCH(B137,""^((I ?\+ ?(U ?I|I ?U))|((I ?U|U ?I) ?\+ ?I)) *$""))"),FALSE)</f>
        <v>0</v>
      </c>
      <c r="V137" s="37" t="b">
        <f>IFERROR(__xludf.DUMMYFUNCTION("if(isblank(A137),,REGEXMATCH(B137,""^((D ?\+ ?(U ?I|I ?U))|((I ?U|U ?I) ?\+ ?D)) *$""))"),FALSE)</f>
        <v>0</v>
      </c>
      <c r="W137" s="37" t="b">
        <f>IFERROR(__xludf.DUMMYFUNCTION("if(isblank(A137),,REGEXMATCH(B137,""^((U ?\+ ?(U ?I|I ?U))|((I ?U|U ?I) ?\+ ?U)) *$""))"),FALSE)</f>
        <v>0</v>
      </c>
      <c r="X137" s="37" t="b">
        <f>IFERROR(__xludf.DUMMYFUNCTION("if(isblank(A137),,REGEXMATCH(B137,""^((N ?\+ ?(U ?I|I ?U))|((I ?U|U ?I) ?\+ ?N)) *$""))"),FALSE)</f>
        <v>0</v>
      </c>
      <c r="Y137" s="37" t="b">
        <f>IFERROR(__xludf.DUMMYFUNCTION("if(isblank(A137),,REGEXMATCH(B137,""^((I ?\+ ?(U ?D|D ?U))|((D ?U|U ?D) ?\+ ?I)) *$""))"),FALSE)</f>
        <v>0</v>
      </c>
      <c r="Z137" s="37" t="b">
        <f>IFERROR(__xludf.DUMMYFUNCTION("if(isblank(A137),,REGEXMATCH(B137,""^((D ?\+ ?(U ?D|D ?U))|((D ?U|U ?D) ?\+ ?D)) *$""))"),FALSE)</f>
        <v>0</v>
      </c>
      <c r="AA137" s="37" t="b">
        <f>IFERROR(__xludf.DUMMYFUNCTION("if(isblank(A137),,REGEXMATCH(B137,""^((U ?\+ ?(U ?D|D ?U))|((D ?U|U ?D) ?\+ ?U)) *$""))"),FALSE)</f>
        <v>0</v>
      </c>
      <c r="AB137" s="37" t="b">
        <f>IFERROR(__xludf.DUMMYFUNCTION("if(isblank(A137),,REGEXMATCH(B137,""^((D ?I|I ?D) ?\+ ?(D ?I|I ?D)) *$""))"),FALSE)</f>
        <v>0</v>
      </c>
      <c r="AC137" s="37" t="b">
        <f>IFERROR(__xludf.DUMMYFUNCTION("if(isblank(A137),,REGEXMATCH(B137,""^((D ?I|I ?D) ?\+ ?(U ?I|I ?U))|((U ?I|I ?U) ?\+ ?(D ?I|I ?D)) *$""))"),FALSE)</f>
        <v>0</v>
      </c>
      <c r="AD137" s="37" t="b">
        <f>IFERROR(__xludf.DUMMYFUNCTION("if(isblank(A137),,REGEXMATCH(B137,""^I *vs\. I *$""))"),FALSE)</f>
        <v>0</v>
      </c>
      <c r="AE137" s="37" t="b">
        <f>IFERROR(__xludf.DUMMYFUNCTION("if(isblank(A137),,REGEXMATCH(B137,""(^I *vs\. D *$)|(^D *vs\. I *$)""))"),FALSE)</f>
        <v>0</v>
      </c>
      <c r="AF137" s="37" t="b">
        <f>IFERROR(__xludf.DUMMYFUNCTION("if(isblank(A137),,REGEXMATCH(B137,""(^I *vs\. U *$)|(^U *vs\. I *$)""))"),FALSE)</f>
        <v>0</v>
      </c>
      <c r="AG137" s="37" t="b">
        <f>IFERROR(__xludf.DUMMYFUNCTION("if(isblank(A137),,REGEXMATCH(B137,""^D *vs\. D *$""))"),FALSE)</f>
        <v>0</v>
      </c>
      <c r="AH137" s="37" t="b">
        <f>IFERROR(__xludf.DUMMYFUNCTION("if(isblank(A137),,REGEXMATCH(B137,""(^U *vs\. D *$)|(^D *vs\. U *$)""))"),FALSE)</f>
        <v>0</v>
      </c>
      <c r="AI137" s="37" t="b">
        <f>IFERROR(__xludf.DUMMYFUNCTION("if(isblank(A137),,REGEXMATCH(B137,""^U *vs\. U *$""))"),TRUE)</f>
        <v>1</v>
      </c>
      <c r="AJ137" s="37" t="b">
        <f>IFERROR(__xludf.DUMMYFUNCTION("if(isblank(A137),,REGEXMATCH(B137,""^((I ?vs\. ?(D ?I|I ?D))|((D ?I|I ?D) ?vs\. ?I)) *$""))"),FALSE)</f>
        <v>0</v>
      </c>
      <c r="AK137" s="37" t="b">
        <f>IFERROR(__xludf.DUMMYFUNCTION("if(isblank(A137),,REGEXMATCH(B137,""^((D ?vs\. ?(D ?I|I ?D))|((D ?I|I ?D) ?vs\. ?D)) *$""))"),FALSE)</f>
        <v>0</v>
      </c>
      <c r="AL137" s="37" t="b">
        <f>IFERROR(__xludf.DUMMYFUNCTION("if(isblank(A137),,REGEXMATCH(B137,""^((U ?vs\. ?(D ?I|I ?D))|((D ?I|I ?D) ?vs\. ?U)) *$""))"),FALSE)</f>
        <v>0</v>
      </c>
      <c r="AM137" s="37" t="b">
        <f>IFERROR(__xludf.DUMMYFUNCTION("if(isblank(A137),,REGEXMATCH(B137,""^((I ?vs\. ?(U ?I|I ?U))|((U ?I|I ?U) ?vs\. ?I)) *$""))"),FALSE)</f>
        <v>0</v>
      </c>
      <c r="AN137" s="37" t="b">
        <f>IFERROR(__xludf.DUMMYFUNCTION("if(isblank(A137),,REGEXMATCH(B137,""^((D ?vs\. ?(U ?I|I ?U))|((U ?I|I ?U) ?vs\. ?D)) *$""))"),FALSE)</f>
        <v>0</v>
      </c>
      <c r="AO137" s="37" t="b">
        <f>IFERROR(__xludf.DUMMYFUNCTION("if(isblank(A137),,REGEXMATCH(B137,""^((U ?vs\. ?(U ?I|I ?U))|((U ?I|I ?U) ?vs\. ?U)) *$""))"),FALSE)</f>
        <v>0</v>
      </c>
      <c r="AP137" s="37" t="b">
        <f>IFERROR(__xludf.DUMMYFUNCTION("if(isblank(A137),,REGEXMATCH(B137,""^((I ?vs\. ?(U ?D|D ?U))|((D ?U|U ?D) ?vs\. ?I)) *$""))"),FALSE)</f>
        <v>0</v>
      </c>
      <c r="AQ137" s="37" t="b">
        <f>IFERROR(__xludf.DUMMYFUNCTION("if(isblank(A137),,REGEXMATCH(B137,""^((D ?vs\. ?(U ?D|D ?U))|((D ?U|U ?D) ?vs\. ?D)) *$""))"),FALSE)</f>
        <v>0</v>
      </c>
      <c r="AR137" s="37" t="b">
        <f>IFERROR(__xludf.DUMMYFUNCTION("if(isblank(A137),,REGEXMATCH(B137,""^((U ?vs\. ?(U ?D|D ?U))|((D ?U|U ?D) ?vs\. ?U)) *$""))"),FALSE)</f>
        <v>0</v>
      </c>
      <c r="AS137" s="37" t="b">
        <f>IFERROR(__xludf.DUMMYFUNCTION("if(isblank(A137),,REGEXMATCH(B137,""^((D ?I|I ?D) ?vs\. ?(D ?I|I ?D)) *$""))"),FALSE)</f>
        <v>0</v>
      </c>
      <c r="AT137" s="37" t="b">
        <f>IFERROR(__xludf.DUMMYFUNCTION("if(isblank(A137),,REGEXMATCH(B137,""^((D ?I|I ?D) ?vs\. ?(U ?I|I ?U))|((U ?I|I ?U) ?vs\. ?(D ?I|I ?D)) *$""))"),FALSE)</f>
        <v>0</v>
      </c>
      <c r="AU137" s="37" t="b">
        <f>IFERROR(__xludf.DUMMYFUNCTION("if(isblank(A137),,REGEXMATCH(B137,""^((D ?I|I ?D) ?vs\. ?(U ?D|D ?U))|((U ?D|D ?U) ?vs\. ?(D ?I|I ?D)) *$""))"),FALSE)</f>
        <v>0</v>
      </c>
      <c r="AV137" s="37" t="b">
        <f>IFERROR(__xludf.DUMMYFUNCTION("if(isblank(A137),,REGEXMATCH(B137,""^((U ?I|I ?U) ?vs\. ?(U ?I|I ?U)) *$""))"),FALSE)</f>
        <v>0</v>
      </c>
    </row>
    <row r="138" ht="26.25" customHeight="1">
      <c r="A138" s="79" t="str">
        <f>Paper_Textual_Conflict!M138</f>
        <v>U I vs. D I (.properties)
Origin(D I vs. D I)</v>
      </c>
      <c r="B138" s="37" t="str">
        <f>IFERROR(__xludf.DUMMYFUNCTION("if(isblank(A138),,regexextract(REGEXEXTRACT(A138,""^.*""),""^[^(]*""))"),"U I vs. D I ")</f>
        <v>U I vs. D I </v>
      </c>
      <c r="C138" s="37" t="b">
        <f>IFERROR(__xludf.DUMMYFUNCTION("if(isblank(A138),,REGEXMATCH(B138,"".*\+.*"") )"),FALSE)</f>
        <v>0</v>
      </c>
      <c r="D138" s="37" t="b">
        <f>IFERROR(__xludf.DUMMYFUNCTION("if(isblank(A138),,REGEXMATCH(B138,"".*vs.*"") )"),TRUE)</f>
        <v>1</v>
      </c>
      <c r="E138" s="37" t="b">
        <f>Paper_Textual_Conflict!H138</f>
        <v>1</v>
      </c>
      <c r="F138" s="37" t="str">
        <f>Paper_Textual_Conflict!Q138</f>
        <v>Non-Java</v>
      </c>
      <c r="G138" s="33">
        <v>138.0</v>
      </c>
      <c r="H138" s="37" t="b">
        <f>IFERROR(__xludf.DUMMYFUNCTION("if(isblank(A138),,REGEXMATCH(B138,""^I *\+ I *$""))"),FALSE)</f>
        <v>0</v>
      </c>
      <c r="I138" s="37" t="b">
        <f>IFERROR(__xludf.DUMMYFUNCTION("if(isblank(A138),,REGEXMATCH(B138,""(^I *\+ D *$)|(^D *\+ I *$)""))"),FALSE)</f>
        <v>0</v>
      </c>
      <c r="J138" s="37" t="b">
        <f>IFERROR(__xludf.DUMMYFUNCTION("if(isblank(A138),,REGEXMATCH(B138,""(^I *\+ U *$)|(^U *\+ I *$)""))"),FALSE)</f>
        <v>0</v>
      </c>
      <c r="K138" s="37" t="b">
        <f>IFERROR(__xludf.DUMMYFUNCTION("if(isblank(A138),,REGEXMATCH(B138,""(^I *\+ N *$)|(^N *\+ I *$)"") )"),FALSE)</f>
        <v>0</v>
      </c>
      <c r="L138" s="37" t="b">
        <f>IFERROR(__xludf.DUMMYFUNCTION("if(isblank(A138),,REGEXMATCH(B138,""^D *\+ D *$""))"),FALSE)</f>
        <v>0</v>
      </c>
      <c r="M138" s="37" t="b">
        <f>IFERROR(__xludf.DUMMYFUNCTION("if(isblank(A138),,REGEXMATCH(B138,""(^U *\+ D *$)|(^D *\+ U *$)""))"),FALSE)</f>
        <v>0</v>
      </c>
      <c r="N138" s="37" t="b">
        <f>IFERROR(__xludf.DUMMYFUNCTION("if(isblank(A138),,REGEXMATCH(B138,""(^N *\+ D *$)|(^D *\+ N *$)""))"),FALSE)</f>
        <v>0</v>
      </c>
      <c r="O138" s="37" t="b">
        <f>IFERROR(__xludf.DUMMYFUNCTION("if(isblank(A138),,REGEXMATCH(B138,""^U *\+ U *$""))"),FALSE)</f>
        <v>0</v>
      </c>
      <c r="P138" s="37" t="b">
        <f>IFERROR(__xludf.DUMMYFUNCTION("if(isblank(A138),,REGEXMATCH(B138,""(^U *\+ N *$)|(^N *\+ U *$)""))"),FALSE)</f>
        <v>0</v>
      </c>
      <c r="Q138" s="37" t="b">
        <f>IFERROR(__xludf.DUMMYFUNCTION("if(isblank(A138),,REGEXMATCH(B138,""^((I ?\+ ?(D ?I|I ?D))|((D ?I|I ?D) ?\+ ?I)) *$""))"),FALSE)</f>
        <v>0</v>
      </c>
      <c r="R138" s="37" t="b">
        <f>IFERROR(__xludf.DUMMYFUNCTION("if(isblank(A138),,REGEXMATCH(B138,""^((D ?\+ ?(D ?I|I ?D))|((D ?I|I ?D) ?\+ ?D)) *$""))"),FALSE)</f>
        <v>0</v>
      </c>
      <c r="S138" s="37" t="b">
        <f>IFERROR(__xludf.DUMMYFUNCTION("if(isblank(A138),,REGEXMATCH(B138,""^((U ?\+ ?(D ?I|I ?D))|((D ?I|I ?D) ?\+ ?U)) *$""))"),FALSE)</f>
        <v>0</v>
      </c>
      <c r="T138" s="37" t="b">
        <f>IFERROR(__xludf.DUMMYFUNCTION("if(isblank(A138),,REGEXMATCH(B138,""^((N ?\+ ?(D ?I|I ?D))|((D ?I|I ?D) ?\+ ?N)) *$""))"),FALSE)</f>
        <v>0</v>
      </c>
      <c r="U138" s="37" t="b">
        <f>IFERROR(__xludf.DUMMYFUNCTION("if(isblank(A138),,REGEXMATCH(B138,""^((I ?\+ ?(U ?I|I ?U))|((I ?U|U ?I) ?\+ ?I)) *$""))"),FALSE)</f>
        <v>0</v>
      </c>
      <c r="V138" s="37" t="b">
        <f>IFERROR(__xludf.DUMMYFUNCTION("if(isblank(A138),,REGEXMATCH(B138,""^((D ?\+ ?(U ?I|I ?U))|((I ?U|U ?I) ?\+ ?D)) *$""))"),FALSE)</f>
        <v>0</v>
      </c>
      <c r="W138" s="37" t="b">
        <f>IFERROR(__xludf.DUMMYFUNCTION("if(isblank(A138),,REGEXMATCH(B138,""^((U ?\+ ?(U ?I|I ?U))|((I ?U|U ?I) ?\+ ?U)) *$""))"),FALSE)</f>
        <v>0</v>
      </c>
      <c r="X138" s="37" t="b">
        <f>IFERROR(__xludf.DUMMYFUNCTION("if(isblank(A138),,REGEXMATCH(B138,""^((N ?\+ ?(U ?I|I ?U))|((I ?U|U ?I) ?\+ ?N)) *$""))"),FALSE)</f>
        <v>0</v>
      </c>
      <c r="Y138" s="37" t="b">
        <f>IFERROR(__xludf.DUMMYFUNCTION("if(isblank(A138),,REGEXMATCH(B138,""^((I ?\+ ?(U ?D|D ?U))|((D ?U|U ?D) ?\+ ?I)) *$""))"),FALSE)</f>
        <v>0</v>
      </c>
      <c r="Z138" s="37" t="b">
        <f>IFERROR(__xludf.DUMMYFUNCTION("if(isblank(A138),,REGEXMATCH(B138,""^((D ?\+ ?(U ?D|D ?U))|((D ?U|U ?D) ?\+ ?D)) *$""))"),FALSE)</f>
        <v>0</v>
      </c>
      <c r="AA138" s="37" t="b">
        <f>IFERROR(__xludf.DUMMYFUNCTION("if(isblank(A138),,REGEXMATCH(B138,""^((U ?\+ ?(U ?D|D ?U))|((D ?U|U ?D) ?\+ ?U)) *$""))"),FALSE)</f>
        <v>0</v>
      </c>
      <c r="AB138" s="37" t="b">
        <f>IFERROR(__xludf.DUMMYFUNCTION("if(isblank(A138),,REGEXMATCH(B138,""^((D ?I|I ?D) ?\+ ?(D ?I|I ?D)) *$""))"),FALSE)</f>
        <v>0</v>
      </c>
      <c r="AC138" s="37" t="b">
        <f>IFERROR(__xludf.DUMMYFUNCTION("if(isblank(A138),,REGEXMATCH(B138,""^((D ?I|I ?D) ?\+ ?(U ?I|I ?U))|((U ?I|I ?U) ?\+ ?(D ?I|I ?D)) *$""))"),FALSE)</f>
        <v>0</v>
      </c>
      <c r="AD138" s="37" t="b">
        <f>IFERROR(__xludf.DUMMYFUNCTION("if(isblank(A138),,REGEXMATCH(B138,""^I *vs\. I *$""))"),FALSE)</f>
        <v>0</v>
      </c>
      <c r="AE138" s="37" t="b">
        <f>IFERROR(__xludf.DUMMYFUNCTION("if(isblank(A138),,REGEXMATCH(B138,""(^I *vs\. D *$)|(^D *vs\. I *$)""))"),FALSE)</f>
        <v>0</v>
      </c>
      <c r="AF138" s="37" t="b">
        <f>IFERROR(__xludf.DUMMYFUNCTION("if(isblank(A138),,REGEXMATCH(B138,""(^I *vs\. U *$)|(^U *vs\. I *$)""))"),FALSE)</f>
        <v>0</v>
      </c>
      <c r="AG138" s="37" t="b">
        <f>IFERROR(__xludf.DUMMYFUNCTION("if(isblank(A138),,REGEXMATCH(B138,""^D *vs\. D *$""))"),FALSE)</f>
        <v>0</v>
      </c>
      <c r="AH138" s="37" t="b">
        <f>IFERROR(__xludf.DUMMYFUNCTION("if(isblank(A138),,REGEXMATCH(B138,""(^U *vs\. D *$)|(^D *vs\. U *$)""))"),FALSE)</f>
        <v>0</v>
      </c>
      <c r="AI138" s="37" t="b">
        <f>IFERROR(__xludf.DUMMYFUNCTION("if(isblank(A138),,REGEXMATCH(B138,""^U *vs\. U *$""))"),FALSE)</f>
        <v>0</v>
      </c>
      <c r="AJ138" s="37" t="b">
        <f>IFERROR(__xludf.DUMMYFUNCTION("if(isblank(A138),,REGEXMATCH(B138,""^((I ?vs\. ?(D ?I|I ?D))|((D ?I|I ?D) ?vs\. ?I)) *$""))"),FALSE)</f>
        <v>0</v>
      </c>
      <c r="AK138" s="37" t="b">
        <f>IFERROR(__xludf.DUMMYFUNCTION("if(isblank(A138),,REGEXMATCH(B138,""^((D ?vs\. ?(D ?I|I ?D))|((D ?I|I ?D) ?vs\. ?D)) *$""))"),FALSE)</f>
        <v>0</v>
      </c>
      <c r="AL138" s="37" t="b">
        <f>IFERROR(__xludf.DUMMYFUNCTION("if(isblank(A138),,REGEXMATCH(B138,""^((U ?vs\. ?(D ?I|I ?D))|((D ?I|I ?D) ?vs\. ?U)) *$""))"),FALSE)</f>
        <v>0</v>
      </c>
      <c r="AM138" s="37" t="b">
        <f>IFERROR(__xludf.DUMMYFUNCTION("if(isblank(A138),,REGEXMATCH(B138,""^((I ?vs\. ?(U ?I|I ?U))|((U ?I|I ?U) ?vs\. ?I)) *$""))"),FALSE)</f>
        <v>0</v>
      </c>
      <c r="AN138" s="37" t="b">
        <f>IFERROR(__xludf.DUMMYFUNCTION("if(isblank(A138),,REGEXMATCH(B138,""^((D ?vs\. ?(U ?I|I ?U))|((U ?I|I ?U) ?vs\. ?D)) *$""))"),FALSE)</f>
        <v>0</v>
      </c>
      <c r="AO138" s="37" t="b">
        <f>IFERROR(__xludf.DUMMYFUNCTION("if(isblank(A138),,REGEXMATCH(B138,""^((U ?vs\. ?(U ?I|I ?U))|((U ?I|I ?U) ?vs\. ?U)) *$""))"),FALSE)</f>
        <v>0</v>
      </c>
      <c r="AP138" s="37" t="b">
        <f>IFERROR(__xludf.DUMMYFUNCTION("if(isblank(A138),,REGEXMATCH(B138,""^((I ?vs\. ?(U ?D|D ?U))|((D ?U|U ?D) ?vs\. ?I)) *$""))"),FALSE)</f>
        <v>0</v>
      </c>
      <c r="AQ138" s="37" t="b">
        <f>IFERROR(__xludf.DUMMYFUNCTION("if(isblank(A138),,REGEXMATCH(B138,""^((D ?vs\. ?(U ?D|D ?U))|((D ?U|U ?D) ?vs\. ?D)) *$""))"),FALSE)</f>
        <v>0</v>
      </c>
      <c r="AR138" s="37" t="b">
        <f>IFERROR(__xludf.DUMMYFUNCTION("if(isblank(A138),,REGEXMATCH(B138,""^((U ?vs\. ?(U ?D|D ?U))|((D ?U|U ?D) ?vs\. ?U)) *$""))"),FALSE)</f>
        <v>0</v>
      </c>
      <c r="AS138" s="37" t="b">
        <f>IFERROR(__xludf.DUMMYFUNCTION("if(isblank(A138),,REGEXMATCH(B138,""^((D ?I|I ?D) ?vs\. ?(D ?I|I ?D)) *$""))"),FALSE)</f>
        <v>0</v>
      </c>
      <c r="AT138" s="37" t="b">
        <f>IFERROR(__xludf.DUMMYFUNCTION("if(isblank(A138),,REGEXMATCH(B138,""^((D ?I|I ?D) ?vs\. ?(U ?I|I ?U))|((U ?I|I ?U) ?vs\. ?(D ?I|I ?D)) *$""))"),TRUE)</f>
        <v>1</v>
      </c>
      <c r="AU138" s="37" t="b">
        <f>IFERROR(__xludf.DUMMYFUNCTION("if(isblank(A138),,REGEXMATCH(B138,""^((D ?I|I ?D) ?vs\. ?(U ?D|D ?U))|((U ?D|D ?U) ?vs\. ?(D ?I|I ?D)) *$""))"),FALSE)</f>
        <v>0</v>
      </c>
      <c r="AV138" s="37" t="b">
        <f>IFERROR(__xludf.DUMMYFUNCTION("if(isblank(A138),,REGEXMATCH(B138,""^((U ?I|I ?U) ?vs\. ?(U ?I|I ?U)) *$""))"),FALSE)</f>
        <v>0</v>
      </c>
    </row>
    <row r="139" ht="26.25" customHeight="1">
      <c r="A139" s="79" t="str">
        <f>Paper_Textual_Conflict!M139</f>
        <v>I vs. I
Origin(U I vs. U I)
L include R</v>
      </c>
      <c r="B139" s="37" t="str">
        <f>IFERROR(__xludf.DUMMYFUNCTION("if(isblank(A139),,regexextract(REGEXEXTRACT(A139,""^.*""),""^[^(]*""))"),"I vs. I")</f>
        <v>I vs. I</v>
      </c>
      <c r="C139" s="37" t="b">
        <f>IFERROR(__xludf.DUMMYFUNCTION("if(isblank(A139),,REGEXMATCH(B139,"".*\+.*"") )"),FALSE)</f>
        <v>0</v>
      </c>
      <c r="D139" s="37" t="b">
        <f>IFERROR(__xludf.DUMMYFUNCTION("if(isblank(A139),,REGEXMATCH(B139,"".*vs.*"") )"),TRUE)</f>
        <v>1</v>
      </c>
      <c r="E139" s="37" t="b">
        <f>Paper_Textual_Conflict!H139</f>
        <v>1</v>
      </c>
      <c r="F139" s="37" t="str">
        <f>Paper_Textual_Conflict!Q139</f>
        <v>Non-Java</v>
      </c>
      <c r="G139" s="33">
        <v>139.0</v>
      </c>
      <c r="H139" s="37" t="b">
        <f>IFERROR(__xludf.DUMMYFUNCTION("if(isblank(A139),,REGEXMATCH(B139,""^I *\+ I *$""))"),FALSE)</f>
        <v>0</v>
      </c>
      <c r="I139" s="37" t="b">
        <f>IFERROR(__xludf.DUMMYFUNCTION("if(isblank(A139),,REGEXMATCH(B139,""(^I *\+ D *$)|(^D *\+ I *$)""))"),FALSE)</f>
        <v>0</v>
      </c>
      <c r="J139" s="37" t="b">
        <f>IFERROR(__xludf.DUMMYFUNCTION("if(isblank(A139),,REGEXMATCH(B139,""(^I *\+ U *$)|(^U *\+ I *$)""))"),FALSE)</f>
        <v>0</v>
      </c>
      <c r="K139" s="37" t="b">
        <f>IFERROR(__xludf.DUMMYFUNCTION("if(isblank(A139),,REGEXMATCH(B139,""(^I *\+ N *$)|(^N *\+ I *$)"") )"),FALSE)</f>
        <v>0</v>
      </c>
      <c r="L139" s="37" t="b">
        <f>IFERROR(__xludf.DUMMYFUNCTION("if(isblank(A139),,REGEXMATCH(B139,""^D *\+ D *$""))"),FALSE)</f>
        <v>0</v>
      </c>
      <c r="M139" s="37" t="b">
        <f>IFERROR(__xludf.DUMMYFUNCTION("if(isblank(A139),,REGEXMATCH(B139,""(^U *\+ D *$)|(^D *\+ U *$)""))"),FALSE)</f>
        <v>0</v>
      </c>
      <c r="N139" s="37" t="b">
        <f>IFERROR(__xludf.DUMMYFUNCTION("if(isblank(A139),,REGEXMATCH(B139,""(^N *\+ D *$)|(^D *\+ N *$)""))"),FALSE)</f>
        <v>0</v>
      </c>
      <c r="O139" s="37" t="b">
        <f>IFERROR(__xludf.DUMMYFUNCTION("if(isblank(A139),,REGEXMATCH(B139,""^U *\+ U *$""))"),FALSE)</f>
        <v>0</v>
      </c>
      <c r="P139" s="37" t="b">
        <f>IFERROR(__xludf.DUMMYFUNCTION("if(isblank(A139),,REGEXMATCH(B139,""(^U *\+ N *$)|(^N *\+ U *$)""))"),FALSE)</f>
        <v>0</v>
      </c>
      <c r="Q139" s="37" t="b">
        <f>IFERROR(__xludf.DUMMYFUNCTION("if(isblank(A139),,REGEXMATCH(B139,""^((I ?\+ ?(D ?I|I ?D))|((D ?I|I ?D) ?\+ ?I)) *$""))"),FALSE)</f>
        <v>0</v>
      </c>
      <c r="R139" s="37" t="b">
        <f>IFERROR(__xludf.DUMMYFUNCTION("if(isblank(A139),,REGEXMATCH(B139,""^((D ?\+ ?(D ?I|I ?D))|((D ?I|I ?D) ?\+ ?D)) *$""))"),FALSE)</f>
        <v>0</v>
      </c>
      <c r="S139" s="37" t="b">
        <f>IFERROR(__xludf.DUMMYFUNCTION("if(isblank(A139),,REGEXMATCH(B139,""^((U ?\+ ?(D ?I|I ?D))|((D ?I|I ?D) ?\+ ?U)) *$""))"),FALSE)</f>
        <v>0</v>
      </c>
      <c r="T139" s="37" t="b">
        <f>IFERROR(__xludf.DUMMYFUNCTION("if(isblank(A139),,REGEXMATCH(B139,""^((N ?\+ ?(D ?I|I ?D))|((D ?I|I ?D) ?\+ ?N)) *$""))"),FALSE)</f>
        <v>0</v>
      </c>
      <c r="U139" s="37" t="b">
        <f>IFERROR(__xludf.DUMMYFUNCTION("if(isblank(A139),,REGEXMATCH(B139,""^((I ?\+ ?(U ?I|I ?U))|((I ?U|U ?I) ?\+ ?I)) *$""))"),FALSE)</f>
        <v>0</v>
      </c>
      <c r="V139" s="37" t="b">
        <f>IFERROR(__xludf.DUMMYFUNCTION("if(isblank(A139),,REGEXMATCH(B139,""^((D ?\+ ?(U ?I|I ?U))|((I ?U|U ?I) ?\+ ?D)) *$""))"),FALSE)</f>
        <v>0</v>
      </c>
      <c r="W139" s="37" t="b">
        <f>IFERROR(__xludf.DUMMYFUNCTION("if(isblank(A139),,REGEXMATCH(B139,""^((U ?\+ ?(U ?I|I ?U))|((I ?U|U ?I) ?\+ ?U)) *$""))"),FALSE)</f>
        <v>0</v>
      </c>
      <c r="X139" s="37" t="b">
        <f>IFERROR(__xludf.DUMMYFUNCTION("if(isblank(A139),,REGEXMATCH(B139,""^((N ?\+ ?(U ?I|I ?U))|((I ?U|U ?I) ?\+ ?N)) *$""))"),FALSE)</f>
        <v>0</v>
      </c>
      <c r="Y139" s="37" t="b">
        <f>IFERROR(__xludf.DUMMYFUNCTION("if(isblank(A139),,REGEXMATCH(B139,""^((I ?\+ ?(U ?D|D ?U))|((D ?U|U ?D) ?\+ ?I)) *$""))"),FALSE)</f>
        <v>0</v>
      </c>
      <c r="Z139" s="37" t="b">
        <f>IFERROR(__xludf.DUMMYFUNCTION("if(isblank(A139),,REGEXMATCH(B139,""^((D ?\+ ?(U ?D|D ?U))|((D ?U|U ?D) ?\+ ?D)) *$""))"),FALSE)</f>
        <v>0</v>
      </c>
      <c r="AA139" s="37" t="b">
        <f>IFERROR(__xludf.DUMMYFUNCTION("if(isblank(A139),,REGEXMATCH(B139,""^((U ?\+ ?(U ?D|D ?U))|((D ?U|U ?D) ?\+ ?U)) *$""))"),FALSE)</f>
        <v>0</v>
      </c>
      <c r="AB139" s="37" t="b">
        <f>IFERROR(__xludf.DUMMYFUNCTION("if(isblank(A139),,REGEXMATCH(B139,""^((D ?I|I ?D) ?\+ ?(D ?I|I ?D)) *$""))"),FALSE)</f>
        <v>0</v>
      </c>
      <c r="AC139" s="37" t="b">
        <f>IFERROR(__xludf.DUMMYFUNCTION("if(isblank(A139),,REGEXMATCH(B139,""^((D ?I|I ?D) ?\+ ?(U ?I|I ?U))|((U ?I|I ?U) ?\+ ?(D ?I|I ?D)) *$""))"),FALSE)</f>
        <v>0</v>
      </c>
      <c r="AD139" s="37" t="b">
        <f>IFERROR(__xludf.DUMMYFUNCTION("if(isblank(A139),,REGEXMATCH(B139,""^I *vs\. I *$""))"),TRUE)</f>
        <v>1</v>
      </c>
      <c r="AE139" s="37" t="b">
        <f>IFERROR(__xludf.DUMMYFUNCTION("if(isblank(A139),,REGEXMATCH(B139,""(^I *vs\. D *$)|(^D *vs\. I *$)""))"),FALSE)</f>
        <v>0</v>
      </c>
      <c r="AF139" s="37" t="b">
        <f>IFERROR(__xludf.DUMMYFUNCTION("if(isblank(A139),,REGEXMATCH(B139,""(^I *vs\. U *$)|(^U *vs\. I *$)""))"),FALSE)</f>
        <v>0</v>
      </c>
      <c r="AG139" s="37" t="b">
        <f>IFERROR(__xludf.DUMMYFUNCTION("if(isblank(A139),,REGEXMATCH(B139,""^D *vs\. D *$""))"),FALSE)</f>
        <v>0</v>
      </c>
      <c r="AH139" s="37" t="b">
        <f>IFERROR(__xludf.DUMMYFUNCTION("if(isblank(A139),,REGEXMATCH(B139,""(^U *vs\. D *$)|(^D *vs\. U *$)""))"),FALSE)</f>
        <v>0</v>
      </c>
      <c r="AI139" s="37" t="b">
        <f>IFERROR(__xludf.DUMMYFUNCTION("if(isblank(A139),,REGEXMATCH(B139,""^U *vs\. U *$""))"),FALSE)</f>
        <v>0</v>
      </c>
      <c r="AJ139" s="37" t="b">
        <f>IFERROR(__xludf.DUMMYFUNCTION("if(isblank(A139),,REGEXMATCH(B139,""^((I ?vs\. ?(D ?I|I ?D))|((D ?I|I ?D) ?vs\. ?I)) *$""))"),FALSE)</f>
        <v>0</v>
      </c>
      <c r="AK139" s="37" t="b">
        <f>IFERROR(__xludf.DUMMYFUNCTION("if(isblank(A139),,REGEXMATCH(B139,""^((D ?vs\. ?(D ?I|I ?D))|((D ?I|I ?D) ?vs\. ?D)) *$""))"),FALSE)</f>
        <v>0</v>
      </c>
      <c r="AL139" s="37" t="b">
        <f>IFERROR(__xludf.DUMMYFUNCTION("if(isblank(A139),,REGEXMATCH(B139,""^((U ?vs\. ?(D ?I|I ?D))|((D ?I|I ?D) ?vs\. ?U)) *$""))"),FALSE)</f>
        <v>0</v>
      </c>
      <c r="AM139" s="37" t="b">
        <f>IFERROR(__xludf.DUMMYFUNCTION("if(isblank(A139),,REGEXMATCH(B139,""^((I ?vs\. ?(U ?I|I ?U))|((U ?I|I ?U) ?vs\. ?I)) *$""))"),FALSE)</f>
        <v>0</v>
      </c>
      <c r="AN139" s="37" t="b">
        <f>IFERROR(__xludf.DUMMYFUNCTION("if(isblank(A139),,REGEXMATCH(B139,""^((D ?vs\. ?(U ?I|I ?U))|((U ?I|I ?U) ?vs\. ?D)) *$""))"),FALSE)</f>
        <v>0</v>
      </c>
      <c r="AO139" s="37" t="b">
        <f>IFERROR(__xludf.DUMMYFUNCTION("if(isblank(A139),,REGEXMATCH(B139,""^((U ?vs\. ?(U ?I|I ?U))|((U ?I|I ?U) ?vs\. ?U)) *$""))"),FALSE)</f>
        <v>0</v>
      </c>
      <c r="AP139" s="37" t="b">
        <f>IFERROR(__xludf.DUMMYFUNCTION("if(isblank(A139),,REGEXMATCH(B139,""^((I ?vs\. ?(U ?D|D ?U))|((D ?U|U ?D) ?vs\. ?I)) *$""))"),FALSE)</f>
        <v>0</v>
      </c>
      <c r="AQ139" s="37" t="b">
        <f>IFERROR(__xludf.DUMMYFUNCTION("if(isblank(A139),,REGEXMATCH(B139,""^((D ?vs\. ?(U ?D|D ?U))|((D ?U|U ?D) ?vs\. ?D)) *$""))"),FALSE)</f>
        <v>0</v>
      </c>
      <c r="AR139" s="37" t="b">
        <f>IFERROR(__xludf.DUMMYFUNCTION("if(isblank(A139),,REGEXMATCH(B139,""^((U ?vs\. ?(U ?D|D ?U))|((D ?U|U ?D) ?vs\. ?U)) *$""))"),FALSE)</f>
        <v>0</v>
      </c>
      <c r="AS139" s="37" t="b">
        <f>IFERROR(__xludf.DUMMYFUNCTION("if(isblank(A139),,REGEXMATCH(B139,""^((D ?I|I ?D) ?vs\. ?(D ?I|I ?D)) *$""))"),FALSE)</f>
        <v>0</v>
      </c>
      <c r="AT139" s="37" t="b">
        <f>IFERROR(__xludf.DUMMYFUNCTION("if(isblank(A139),,REGEXMATCH(B139,""^((D ?I|I ?D) ?vs\. ?(U ?I|I ?U))|((U ?I|I ?U) ?vs\. ?(D ?I|I ?D)) *$""))"),FALSE)</f>
        <v>0</v>
      </c>
      <c r="AU139" s="37" t="b">
        <f>IFERROR(__xludf.DUMMYFUNCTION("if(isblank(A139),,REGEXMATCH(B139,""^((D ?I|I ?D) ?vs\. ?(U ?D|D ?U))|((U ?D|D ?U) ?vs\. ?(D ?I|I ?D)) *$""))"),FALSE)</f>
        <v>0</v>
      </c>
      <c r="AV139" s="37" t="b">
        <f>IFERROR(__xludf.DUMMYFUNCTION("if(isblank(A139),,REGEXMATCH(B139,""^((U ?I|I ?U) ?vs\. ?(U ?I|I ?U)) *$""))"),FALSE)</f>
        <v>0</v>
      </c>
    </row>
    <row r="140" ht="26.25" customHeight="1">
      <c r="A140" s="79" t="str">
        <f>Paper_Textual_Conflict!M140</f>
        <v>I vs. I (import)</v>
      </c>
      <c r="B140" s="37" t="str">
        <f>IFERROR(__xludf.DUMMYFUNCTION("if(isblank(A140),,regexextract(REGEXEXTRACT(A140,""^.*""),""^[^(]*""))"),"I vs. I ")</f>
        <v>I vs. I </v>
      </c>
      <c r="C140" s="37" t="b">
        <f>IFERROR(__xludf.DUMMYFUNCTION("if(isblank(A140),,REGEXMATCH(B140,"".*\+.*"") )"),FALSE)</f>
        <v>0</v>
      </c>
      <c r="D140" s="37" t="b">
        <f>IFERROR(__xludf.DUMMYFUNCTION("if(isblank(A140),,REGEXMATCH(B140,"".*vs.*"") )"),TRUE)</f>
        <v>1</v>
      </c>
      <c r="E140" s="37" t="b">
        <f>Paper_Textual_Conflict!H140</f>
        <v>1</v>
      </c>
      <c r="F140" s="37" t="str">
        <f>Paper_Textual_Conflict!Q140</f>
        <v>Java</v>
      </c>
      <c r="G140" s="33">
        <v>140.0</v>
      </c>
      <c r="H140" s="37" t="b">
        <f>IFERROR(__xludf.DUMMYFUNCTION("if(isblank(A140),,REGEXMATCH(B140,""^I *\+ I *$""))"),FALSE)</f>
        <v>0</v>
      </c>
      <c r="I140" s="37" t="b">
        <f>IFERROR(__xludf.DUMMYFUNCTION("if(isblank(A140),,REGEXMATCH(B140,""(^I *\+ D *$)|(^D *\+ I *$)""))"),FALSE)</f>
        <v>0</v>
      </c>
      <c r="J140" s="37" t="b">
        <f>IFERROR(__xludf.DUMMYFUNCTION("if(isblank(A140),,REGEXMATCH(B140,""(^I *\+ U *$)|(^U *\+ I *$)""))"),FALSE)</f>
        <v>0</v>
      </c>
      <c r="K140" s="37" t="b">
        <f>IFERROR(__xludf.DUMMYFUNCTION("if(isblank(A140),,REGEXMATCH(B140,""(^I *\+ N *$)|(^N *\+ I *$)"") )"),FALSE)</f>
        <v>0</v>
      </c>
      <c r="L140" s="37" t="b">
        <f>IFERROR(__xludf.DUMMYFUNCTION("if(isblank(A140),,REGEXMATCH(B140,""^D *\+ D *$""))"),FALSE)</f>
        <v>0</v>
      </c>
      <c r="M140" s="37" t="b">
        <f>IFERROR(__xludf.DUMMYFUNCTION("if(isblank(A140),,REGEXMATCH(B140,""(^U *\+ D *$)|(^D *\+ U *$)""))"),FALSE)</f>
        <v>0</v>
      </c>
      <c r="N140" s="37" t="b">
        <f>IFERROR(__xludf.DUMMYFUNCTION("if(isblank(A140),,REGEXMATCH(B140,""(^N *\+ D *$)|(^D *\+ N *$)""))"),FALSE)</f>
        <v>0</v>
      </c>
      <c r="O140" s="37" t="b">
        <f>IFERROR(__xludf.DUMMYFUNCTION("if(isblank(A140),,REGEXMATCH(B140,""^U *\+ U *$""))"),FALSE)</f>
        <v>0</v>
      </c>
      <c r="P140" s="37" t="b">
        <f>IFERROR(__xludf.DUMMYFUNCTION("if(isblank(A140),,REGEXMATCH(B140,""(^U *\+ N *$)|(^N *\+ U *$)""))"),FALSE)</f>
        <v>0</v>
      </c>
      <c r="Q140" s="37" t="b">
        <f>IFERROR(__xludf.DUMMYFUNCTION("if(isblank(A140),,REGEXMATCH(B140,""^((I ?\+ ?(D ?I|I ?D))|((D ?I|I ?D) ?\+ ?I)) *$""))"),FALSE)</f>
        <v>0</v>
      </c>
      <c r="R140" s="37" t="b">
        <f>IFERROR(__xludf.DUMMYFUNCTION("if(isblank(A140),,REGEXMATCH(B140,""^((D ?\+ ?(D ?I|I ?D))|((D ?I|I ?D) ?\+ ?D)) *$""))"),FALSE)</f>
        <v>0</v>
      </c>
      <c r="S140" s="37" t="b">
        <f>IFERROR(__xludf.DUMMYFUNCTION("if(isblank(A140),,REGEXMATCH(B140,""^((U ?\+ ?(D ?I|I ?D))|((D ?I|I ?D) ?\+ ?U)) *$""))"),FALSE)</f>
        <v>0</v>
      </c>
      <c r="T140" s="37" t="b">
        <f>IFERROR(__xludf.DUMMYFUNCTION("if(isblank(A140),,REGEXMATCH(B140,""^((N ?\+ ?(D ?I|I ?D))|((D ?I|I ?D) ?\+ ?N)) *$""))"),FALSE)</f>
        <v>0</v>
      </c>
      <c r="U140" s="37" t="b">
        <f>IFERROR(__xludf.DUMMYFUNCTION("if(isblank(A140),,REGEXMATCH(B140,""^((I ?\+ ?(U ?I|I ?U))|((I ?U|U ?I) ?\+ ?I)) *$""))"),FALSE)</f>
        <v>0</v>
      </c>
      <c r="V140" s="37" t="b">
        <f>IFERROR(__xludf.DUMMYFUNCTION("if(isblank(A140),,REGEXMATCH(B140,""^((D ?\+ ?(U ?I|I ?U))|((I ?U|U ?I) ?\+ ?D)) *$""))"),FALSE)</f>
        <v>0</v>
      </c>
      <c r="W140" s="37" t="b">
        <f>IFERROR(__xludf.DUMMYFUNCTION("if(isblank(A140),,REGEXMATCH(B140,""^((U ?\+ ?(U ?I|I ?U))|((I ?U|U ?I) ?\+ ?U)) *$""))"),FALSE)</f>
        <v>0</v>
      </c>
      <c r="X140" s="37" t="b">
        <f>IFERROR(__xludf.DUMMYFUNCTION("if(isblank(A140),,REGEXMATCH(B140,""^((N ?\+ ?(U ?I|I ?U))|((I ?U|U ?I) ?\+ ?N)) *$""))"),FALSE)</f>
        <v>0</v>
      </c>
      <c r="Y140" s="37" t="b">
        <f>IFERROR(__xludf.DUMMYFUNCTION("if(isblank(A140),,REGEXMATCH(B140,""^((I ?\+ ?(U ?D|D ?U))|((D ?U|U ?D) ?\+ ?I)) *$""))"),FALSE)</f>
        <v>0</v>
      </c>
      <c r="Z140" s="37" t="b">
        <f>IFERROR(__xludf.DUMMYFUNCTION("if(isblank(A140),,REGEXMATCH(B140,""^((D ?\+ ?(U ?D|D ?U))|((D ?U|U ?D) ?\+ ?D)) *$""))"),FALSE)</f>
        <v>0</v>
      </c>
      <c r="AA140" s="37" t="b">
        <f>IFERROR(__xludf.DUMMYFUNCTION("if(isblank(A140),,REGEXMATCH(B140,""^((U ?\+ ?(U ?D|D ?U))|((D ?U|U ?D) ?\+ ?U)) *$""))"),FALSE)</f>
        <v>0</v>
      </c>
      <c r="AB140" s="37" t="b">
        <f>IFERROR(__xludf.DUMMYFUNCTION("if(isblank(A140),,REGEXMATCH(B140,""^((D ?I|I ?D) ?\+ ?(D ?I|I ?D)) *$""))"),FALSE)</f>
        <v>0</v>
      </c>
      <c r="AC140" s="37" t="b">
        <f>IFERROR(__xludf.DUMMYFUNCTION("if(isblank(A140),,REGEXMATCH(B140,""^((D ?I|I ?D) ?\+ ?(U ?I|I ?U))|((U ?I|I ?U) ?\+ ?(D ?I|I ?D)) *$""))"),FALSE)</f>
        <v>0</v>
      </c>
      <c r="AD140" s="37" t="b">
        <f>IFERROR(__xludf.DUMMYFUNCTION("if(isblank(A140),,REGEXMATCH(B140,""^I *vs\. I *$""))"),TRUE)</f>
        <v>1</v>
      </c>
      <c r="AE140" s="37" t="b">
        <f>IFERROR(__xludf.DUMMYFUNCTION("if(isblank(A140),,REGEXMATCH(B140,""(^I *vs\. D *$)|(^D *vs\. I *$)""))"),FALSE)</f>
        <v>0</v>
      </c>
      <c r="AF140" s="37" t="b">
        <f>IFERROR(__xludf.DUMMYFUNCTION("if(isblank(A140),,REGEXMATCH(B140,""(^I *vs\. U *$)|(^U *vs\. I *$)""))"),FALSE)</f>
        <v>0</v>
      </c>
      <c r="AG140" s="37" t="b">
        <f>IFERROR(__xludf.DUMMYFUNCTION("if(isblank(A140),,REGEXMATCH(B140,""^D *vs\. D *$""))"),FALSE)</f>
        <v>0</v>
      </c>
      <c r="AH140" s="37" t="b">
        <f>IFERROR(__xludf.DUMMYFUNCTION("if(isblank(A140),,REGEXMATCH(B140,""(^U *vs\. D *$)|(^D *vs\. U *$)""))"),FALSE)</f>
        <v>0</v>
      </c>
      <c r="AI140" s="37" t="b">
        <f>IFERROR(__xludf.DUMMYFUNCTION("if(isblank(A140),,REGEXMATCH(B140,""^U *vs\. U *$""))"),FALSE)</f>
        <v>0</v>
      </c>
      <c r="AJ140" s="37" t="b">
        <f>IFERROR(__xludf.DUMMYFUNCTION("if(isblank(A140),,REGEXMATCH(B140,""^((I ?vs\. ?(D ?I|I ?D))|((D ?I|I ?D) ?vs\. ?I)) *$""))"),FALSE)</f>
        <v>0</v>
      </c>
      <c r="AK140" s="37" t="b">
        <f>IFERROR(__xludf.DUMMYFUNCTION("if(isblank(A140),,REGEXMATCH(B140,""^((D ?vs\. ?(D ?I|I ?D))|((D ?I|I ?D) ?vs\. ?D)) *$""))"),FALSE)</f>
        <v>0</v>
      </c>
      <c r="AL140" s="37" t="b">
        <f>IFERROR(__xludf.DUMMYFUNCTION("if(isblank(A140),,REGEXMATCH(B140,""^((U ?vs\. ?(D ?I|I ?D))|((D ?I|I ?D) ?vs\. ?U)) *$""))"),FALSE)</f>
        <v>0</v>
      </c>
      <c r="AM140" s="37" t="b">
        <f>IFERROR(__xludf.DUMMYFUNCTION("if(isblank(A140),,REGEXMATCH(B140,""^((I ?vs\. ?(U ?I|I ?U))|((U ?I|I ?U) ?vs\. ?I)) *$""))"),FALSE)</f>
        <v>0</v>
      </c>
      <c r="AN140" s="37" t="b">
        <f>IFERROR(__xludf.DUMMYFUNCTION("if(isblank(A140),,REGEXMATCH(B140,""^((D ?vs\. ?(U ?I|I ?U))|((U ?I|I ?U) ?vs\. ?D)) *$""))"),FALSE)</f>
        <v>0</v>
      </c>
      <c r="AO140" s="37" t="b">
        <f>IFERROR(__xludf.DUMMYFUNCTION("if(isblank(A140),,REGEXMATCH(B140,""^((U ?vs\. ?(U ?I|I ?U))|((U ?I|I ?U) ?vs\. ?U)) *$""))"),FALSE)</f>
        <v>0</v>
      </c>
      <c r="AP140" s="37" t="b">
        <f>IFERROR(__xludf.DUMMYFUNCTION("if(isblank(A140),,REGEXMATCH(B140,""^((I ?vs\. ?(U ?D|D ?U))|((D ?U|U ?D) ?vs\. ?I)) *$""))"),FALSE)</f>
        <v>0</v>
      </c>
      <c r="AQ140" s="37" t="b">
        <f>IFERROR(__xludf.DUMMYFUNCTION("if(isblank(A140),,REGEXMATCH(B140,""^((D ?vs\. ?(U ?D|D ?U))|((D ?U|U ?D) ?vs\. ?D)) *$""))"),FALSE)</f>
        <v>0</v>
      </c>
      <c r="AR140" s="37" t="b">
        <f>IFERROR(__xludf.DUMMYFUNCTION("if(isblank(A140),,REGEXMATCH(B140,""^((U ?vs\. ?(U ?D|D ?U))|((D ?U|U ?D) ?vs\. ?U)) *$""))"),FALSE)</f>
        <v>0</v>
      </c>
      <c r="AS140" s="37" t="b">
        <f>IFERROR(__xludf.DUMMYFUNCTION("if(isblank(A140),,REGEXMATCH(B140,""^((D ?I|I ?D) ?vs\. ?(D ?I|I ?D)) *$""))"),FALSE)</f>
        <v>0</v>
      </c>
      <c r="AT140" s="37" t="b">
        <f>IFERROR(__xludf.DUMMYFUNCTION("if(isblank(A140),,REGEXMATCH(B140,""^((D ?I|I ?D) ?vs\. ?(U ?I|I ?U))|((U ?I|I ?U) ?vs\. ?(D ?I|I ?D)) *$""))"),FALSE)</f>
        <v>0</v>
      </c>
      <c r="AU140" s="37" t="b">
        <f>IFERROR(__xludf.DUMMYFUNCTION("if(isblank(A140),,REGEXMATCH(B140,""^((D ?I|I ?D) ?vs\. ?(U ?D|D ?U))|((U ?D|D ?U) ?vs\. ?(D ?I|I ?D)) *$""))"),FALSE)</f>
        <v>0</v>
      </c>
      <c r="AV140" s="37" t="b">
        <f>IFERROR(__xludf.DUMMYFUNCTION("if(isblank(A140),,REGEXMATCH(B140,""^((U ?I|I ?U) ?vs\. ?(U ?I|I ?U)) *$""))"),FALSE)</f>
        <v>0</v>
      </c>
    </row>
    <row r="141" ht="26.25" customHeight="1">
      <c r="A141" s="79" t="str">
        <f>Paper_Textual_Conflict!M141</f>
        <v>I + D</v>
      </c>
      <c r="B141" s="37" t="str">
        <f>IFERROR(__xludf.DUMMYFUNCTION("if(isblank(A141),,regexextract(REGEXEXTRACT(A141,""^.*""),""^[^(]*""))"),"I + D")</f>
        <v>I + D</v>
      </c>
      <c r="C141" s="37" t="b">
        <f>IFERROR(__xludf.DUMMYFUNCTION("if(isblank(A141),,REGEXMATCH(B141,"".*\+.*"") )"),TRUE)</f>
        <v>1</v>
      </c>
      <c r="D141" s="37" t="b">
        <f>IFERROR(__xludf.DUMMYFUNCTION("if(isblank(A141),,REGEXMATCH(B141,"".*vs.*"") )"),FALSE)</f>
        <v>0</v>
      </c>
      <c r="E141" s="37" t="b">
        <f>Paper_Textual_Conflict!H141</f>
        <v>0</v>
      </c>
      <c r="F141" s="37" t="str">
        <f>Paper_Textual_Conflict!Q141</f>
        <v>Java</v>
      </c>
      <c r="G141" s="33">
        <v>141.0</v>
      </c>
      <c r="H141" s="37" t="b">
        <f>IFERROR(__xludf.DUMMYFUNCTION("if(isblank(A141),,REGEXMATCH(B141,""^I *\+ I *$""))"),FALSE)</f>
        <v>0</v>
      </c>
      <c r="I141" s="37" t="b">
        <f>IFERROR(__xludf.DUMMYFUNCTION("if(isblank(A141),,REGEXMATCH(B141,""(^I *\+ D *$)|(^D *\+ I *$)""))"),TRUE)</f>
        <v>1</v>
      </c>
      <c r="J141" s="37" t="b">
        <f>IFERROR(__xludf.DUMMYFUNCTION("if(isblank(A141),,REGEXMATCH(B141,""(^I *\+ U *$)|(^U *\+ I *$)""))"),FALSE)</f>
        <v>0</v>
      </c>
      <c r="K141" s="37" t="b">
        <f>IFERROR(__xludf.DUMMYFUNCTION("if(isblank(A141),,REGEXMATCH(B141,""(^I *\+ N *$)|(^N *\+ I *$)"") )"),FALSE)</f>
        <v>0</v>
      </c>
      <c r="L141" s="37" t="b">
        <f>IFERROR(__xludf.DUMMYFUNCTION("if(isblank(A141),,REGEXMATCH(B141,""^D *\+ D *$""))"),FALSE)</f>
        <v>0</v>
      </c>
      <c r="M141" s="37" t="b">
        <f>IFERROR(__xludf.DUMMYFUNCTION("if(isblank(A141),,REGEXMATCH(B141,""(^U *\+ D *$)|(^D *\+ U *$)""))"),FALSE)</f>
        <v>0</v>
      </c>
      <c r="N141" s="37" t="b">
        <f>IFERROR(__xludf.DUMMYFUNCTION("if(isblank(A141),,REGEXMATCH(B141,""(^N *\+ D *$)|(^D *\+ N *$)""))"),FALSE)</f>
        <v>0</v>
      </c>
      <c r="O141" s="37" t="b">
        <f>IFERROR(__xludf.DUMMYFUNCTION("if(isblank(A141),,REGEXMATCH(B141,""^U *\+ U *$""))"),FALSE)</f>
        <v>0</v>
      </c>
      <c r="P141" s="37" t="b">
        <f>IFERROR(__xludf.DUMMYFUNCTION("if(isblank(A141),,REGEXMATCH(B141,""(^U *\+ N *$)|(^N *\+ U *$)""))"),FALSE)</f>
        <v>0</v>
      </c>
      <c r="Q141" s="37" t="b">
        <f>IFERROR(__xludf.DUMMYFUNCTION("if(isblank(A141),,REGEXMATCH(B141,""^((I ?\+ ?(D ?I|I ?D))|((D ?I|I ?D) ?\+ ?I)) *$""))"),FALSE)</f>
        <v>0</v>
      </c>
      <c r="R141" s="37" t="b">
        <f>IFERROR(__xludf.DUMMYFUNCTION("if(isblank(A141),,REGEXMATCH(B141,""^((D ?\+ ?(D ?I|I ?D))|((D ?I|I ?D) ?\+ ?D)) *$""))"),FALSE)</f>
        <v>0</v>
      </c>
      <c r="S141" s="37" t="b">
        <f>IFERROR(__xludf.DUMMYFUNCTION("if(isblank(A141),,REGEXMATCH(B141,""^((U ?\+ ?(D ?I|I ?D))|((D ?I|I ?D) ?\+ ?U)) *$""))"),FALSE)</f>
        <v>0</v>
      </c>
      <c r="T141" s="37" t="b">
        <f>IFERROR(__xludf.DUMMYFUNCTION("if(isblank(A141),,REGEXMATCH(B141,""^((N ?\+ ?(D ?I|I ?D))|((D ?I|I ?D) ?\+ ?N)) *$""))"),FALSE)</f>
        <v>0</v>
      </c>
      <c r="U141" s="37" t="b">
        <f>IFERROR(__xludf.DUMMYFUNCTION("if(isblank(A141),,REGEXMATCH(B141,""^((I ?\+ ?(U ?I|I ?U))|((I ?U|U ?I) ?\+ ?I)) *$""))"),FALSE)</f>
        <v>0</v>
      </c>
      <c r="V141" s="37" t="b">
        <f>IFERROR(__xludf.DUMMYFUNCTION("if(isblank(A141),,REGEXMATCH(B141,""^((D ?\+ ?(U ?I|I ?U))|((I ?U|U ?I) ?\+ ?D)) *$""))"),FALSE)</f>
        <v>0</v>
      </c>
      <c r="W141" s="37" t="b">
        <f>IFERROR(__xludf.DUMMYFUNCTION("if(isblank(A141),,REGEXMATCH(B141,""^((U ?\+ ?(U ?I|I ?U))|((I ?U|U ?I) ?\+ ?U)) *$""))"),FALSE)</f>
        <v>0</v>
      </c>
      <c r="X141" s="37" t="b">
        <f>IFERROR(__xludf.DUMMYFUNCTION("if(isblank(A141),,REGEXMATCH(B141,""^((N ?\+ ?(U ?I|I ?U))|((I ?U|U ?I) ?\+ ?N)) *$""))"),FALSE)</f>
        <v>0</v>
      </c>
      <c r="Y141" s="37" t="b">
        <f>IFERROR(__xludf.DUMMYFUNCTION("if(isblank(A141),,REGEXMATCH(B141,""^((I ?\+ ?(U ?D|D ?U))|((D ?U|U ?D) ?\+ ?I)) *$""))"),FALSE)</f>
        <v>0</v>
      </c>
      <c r="Z141" s="37" t="b">
        <f>IFERROR(__xludf.DUMMYFUNCTION("if(isblank(A141),,REGEXMATCH(B141,""^((D ?\+ ?(U ?D|D ?U))|((D ?U|U ?D) ?\+ ?D)) *$""))"),FALSE)</f>
        <v>0</v>
      </c>
      <c r="AA141" s="37" t="b">
        <f>IFERROR(__xludf.DUMMYFUNCTION("if(isblank(A141),,REGEXMATCH(B141,""^((U ?\+ ?(U ?D|D ?U))|((D ?U|U ?D) ?\+ ?U)) *$""))"),FALSE)</f>
        <v>0</v>
      </c>
      <c r="AB141" s="37" t="b">
        <f>IFERROR(__xludf.DUMMYFUNCTION("if(isblank(A141),,REGEXMATCH(B141,""^((D ?I|I ?D) ?\+ ?(D ?I|I ?D)) *$""))"),FALSE)</f>
        <v>0</v>
      </c>
      <c r="AC141" s="37" t="b">
        <f>IFERROR(__xludf.DUMMYFUNCTION("if(isblank(A141),,REGEXMATCH(B141,""^((D ?I|I ?D) ?\+ ?(U ?I|I ?U))|((U ?I|I ?U) ?\+ ?(D ?I|I ?D)) *$""))"),FALSE)</f>
        <v>0</v>
      </c>
      <c r="AD141" s="37" t="b">
        <f>IFERROR(__xludf.DUMMYFUNCTION("if(isblank(A141),,REGEXMATCH(B141,""^I *vs\. I *$""))"),FALSE)</f>
        <v>0</v>
      </c>
      <c r="AE141" s="37" t="b">
        <f>IFERROR(__xludf.DUMMYFUNCTION("if(isblank(A141),,REGEXMATCH(B141,""(^I *vs\. D *$)|(^D *vs\. I *$)""))"),FALSE)</f>
        <v>0</v>
      </c>
      <c r="AF141" s="37" t="b">
        <f>IFERROR(__xludf.DUMMYFUNCTION("if(isblank(A141),,REGEXMATCH(B141,""(^I *vs\. U *$)|(^U *vs\. I *$)""))"),FALSE)</f>
        <v>0</v>
      </c>
      <c r="AG141" s="37" t="b">
        <f>IFERROR(__xludf.DUMMYFUNCTION("if(isblank(A141),,REGEXMATCH(B141,""^D *vs\. D *$""))"),FALSE)</f>
        <v>0</v>
      </c>
      <c r="AH141" s="37" t="b">
        <f>IFERROR(__xludf.DUMMYFUNCTION("if(isblank(A141),,REGEXMATCH(B141,""(^U *vs\. D *$)|(^D *vs\. U *$)""))"),FALSE)</f>
        <v>0</v>
      </c>
      <c r="AI141" s="37" t="b">
        <f>IFERROR(__xludf.DUMMYFUNCTION("if(isblank(A141),,REGEXMATCH(B141,""^U *vs\. U *$""))"),FALSE)</f>
        <v>0</v>
      </c>
      <c r="AJ141" s="37" t="b">
        <f>IFERROR(__xludf.DUMMYFUNCTION("if(isblank(A141),,REGEXMATCH(B141,""^((I ?vs\. ?(D ?I|I ?D))|((D ?I|I ?D) ?vs\. ?I)) *$""))"),FALSE)</f>
        <v>0</v>
      </c>
      <c r="AK141" s="37" t="b">
        <f>IFERROR(__xludf.DUMMYFUNCTION("if(isblank(A141),,REGEXMATCH(B141,""^((D ?vs\. ?(D ?I|I ?D))|((D ?I|I ?D) ?vs\. ?D)) *$""))"),FALSE)</f>
        <v>0</v>
      </c>
      <c r="AL141" s="37" t="b">
        <f>IFERROR(__xludf.DUMMYFUNCTION("if(isblank(A141),,REGEXMATCH(B141,""^((U ?vs\. ?(D ?I|I ?D))|((D ?I|I ?D) ?vs\. ?U)) *$""))"),FALSE)</f>
        <v>0</v>
      </c>
      <c r="AM141" s="37" t="b">
        <f>IFERROR(__xludf.DUMMYFUNCTION("if(isblank(A141),,REGEXMATCH(B141,""^((I ?vs\. ?(U ?I|I ?U))|((U ?I|I ?U) ?vs\. ?I)) *$""))"),FALSE)</f>
        <v>0</v>
      </c>
      <c r="AN141" s="37" t="b">
        <f>IFERROR(__xludf.DUMMYFUNCTION("if(isblank(A141),,REGEXMATCH(B141,""^((D ?vs\. ?(U ?I|I ?U))|((U ?I|I ?U) ?vs\. ?D)) *$""))"),FALSE)</f>
        <v>0</v>
      </c>
      <c r="AO141" s="37" t="b">
        <f>IFERROR(__xludf.DUMMYFUNCTION("if(isblank(A141),,REGEXMATCH(B141,""^((U ?vs\. ?(U ?I|I ?U))|((U ?I|I ?U) ?vs\. ?U)) *$""))"),FALSE)</f>
        <v>0</v>
      </c>
      <c r="AP141" s="37" t="b">
        <f>IFERROR(__xludf.DUMMYFUNCTION("if(isblank(A141),,REGEXMATCH(B141,""^((I ?vs\. ?(U ?D|D ?U))|((D ?U|U ?D) ?vs\. ?I)) *$""))"),FALSE)</f>
        <v>0</v>
      </c>
      <c r="AQ141" s="37" t="b">
        <f>IFERROR(__xludf.DUMMYFUNCTION("if(isblank(A141),,REGEXMATCH(B141,""^((D ?vs\. ?(U ?D|D ?U))|((D ?U|U ?D) ?vs\. ?D)) *$""))"),FALSE)</f>
        <v>0</v>
      </c>
      <c r="AR141" s="37" t="b">
        <f>IFERROR(__xludf.DUMMYFUNCTION("if(isblank(A141),,REGEXMATCH(B141,""^((U ?vs\. ?(U ?D|D ?U))|((D ?U|U ?D) ?vs\. ?U)) *$""))"),FALSE)</f>
        <v>0</v>
      </c>
      <c r="AS141" s="37" t="b">
        <f>IFERROR(__xludf.DUMMYFUNCTION("if(isblank(A141),,REGEXMATCH(B141,""^((D ?I|I ?D) ?vs\. ?(D ?I|I ?D)) *$""))"),FALSE)</f>
        <v>0</v>
      </c>
      <c r="AT141" s="37" t="b">
        <f>IFERROR(__xludf.DUMMYFUNCTION("if(isblank(A141),,REGEXMATCH(B141,""^((D ?I|I ?D) ?vs\. ?(U ?I|I ?U))|((U ?I|I ?U) ?vs\. ?(D ?I|I ?D)) *$""))"),FALSE)</f>
        <v>0</v>
      </c>
      <c r="AU141" s="37" t="b">
        <f>IFERROR(__xludf.DUMMYFUNCTION("if(isblank(A141),,REGEXMATCH(B141,""^((D ?I|I ?D) ?vs\. ?(U ?D|D ?U))|((U ?D|D ?U) ?vs\. ?(D ?I|I ?D)) *$""))"),FALSE)</f>
        <v>0</v>
      </c>
      <c r="AV141" s="37" t="b">
        <f>IFERROR(__xludf.DUMMYFUNCTION("if(isblank(A141),,REGEXMATCH(B141,""^((U ?I|I ?U) ?vs\. ?(U ?I|I ?U)) *$""))"),FALSE)</f>
        <v>0</v>
      </c>
    </row>
    <row r="142" ht="26.25" customHeight="1">
      <c r="A142" s="79" t="str">
        <f>Paper_Textual_Conflict!M142</f>
        <v>U vs. D (xml file)</v>
      </c>
      <c r="B142" s="37" t="str">
        <f>IFERROR(__xludf.DUMMYFUNCTION("if(isblank(A142),,regexextract(REGEXEXTRACT(A142,""^.*""),""^[^(]*""))"),"U vs. D ")</f>
        <v>U vs. D </v>
      </c>
      <c r="C142" s="37" t="b">
        <f>IFERROR(__xludf.DUMMYFUNCTION("if(isblank(A142),,REGEXMATCH(B142,"".*\+.*"") )"),FALSE)</f>
        <v>0</v>
      </c>
      <c r="D142" s="37" t="b">
        <f>IFERROR(__xludf.DUMMYFUNCTION("if(isblank(A142),,REGEXMATCH(B142,"".*vs.*"") )"),TRUE)</f>
        <v>1</v>
      </c>
      <c r="E142" s="37" t="b">
        <f>Paper_Textual_Conflict!H142</f>
        <v>1</v>
      </c>
      <c r="F142" s="37" t="str">
        <f>Paper_Textual_Conflict!Q142</f>
        <v>Non-Java</v>
      </c>
      <c r="G142" s="33">
        <v>142.0</v>
      </c>
      <c r="H142" s="37" t="b">
        <f>IFERROR(__xludf.DUMMYFUNCTION("if(isblank(A142),,REGEXMATCH(B142,""^I *\+ I *$""))"),FALSE)</f>
        <v>0</v>
      </c>
      <c r="I142" s="37" t="b">
        <f>IFERROR(__xludf.DUMMYFUNCTION("if(isblank(A142),,REGEXMATCH(B142,""(^I *\+ D *$)|(^D *\+ I *$)""))"),FALSE)</f>
        <v>0</v>
      </c>
      <c r="J142" s="37" t="b">
        <f>IFERROR(__xludf.DUMMYFUNCTION("if(isblank(A142),,REGEXMATCH(B142,""(^I *\+ U *$)|(^U *\+ I *$)""))"),FALSE)</f>
        <v>0</v>
      </c>
      <c r="K142" s="37" t="b">
        <f>IFERROR(__xludf.DUMMYFUNCTION("if(isblank(A142),,REGEXMATCH(B142,""(^I *\+ N *$)|(^N *\+ I *$)"") )"),FALSE)</f>
        <v>0</v>
      </c>
      <c r="L142" s="37" t="b">
        <f>IFERROR(__xludf.DUMMYFUNCTION("if(isblank(A142),,REGEXMATCH(B142,""^D *\+ D *$""))"),FALSE)</f>
        <v>0</v>
      </c>
      <c r="M142" s="37" t="b">
        <f>IFERROR(__xludf.DUMMYFUNCTION("if(isblank(A142),,REGEXMATCH(B142,""(^U *\+ D *$)|(^D *\+ U *$)""))"),FALSE)</f>
        <v>0</v>
      </c>
      <c r="N142" s="37" t="b">
        <f>IFERROR(__xludf.DUMMYFUNCTION("if(isblank(A142),,REGEXMATCH(B142,""(^N *\+ D *$)|(^D *\+ N *$)""))"),FALSE)</f>
        <v>0</v>
      </c>
      <c r="O142" s="37" t="b">
        <f>IFERROR(__xludf.DUMMYFUNCTION("if(isblank(A142),,REGEXMATCH(B142,""^U *\+ U *$""))"),FALSE)</f>
        <v>0</v>
      </c>
      <c r="P142" s="37" t="b">
        <f>IFERROR(__xludf.DUMMYFUNCTION("if(isblank(A142),,REGEXMATCH(B142,""(^U *\+ N *$)|(^N *\+ U *$)""))"),FALSE)</f>
        <v>0</v>
      </c>
      <c r="Q142" s="37" t="b">
        <f>IFERROR(__xludf.DUMMYFUNCTION("if(isblank(A142),,REGEXMATCH(B142,""^((I ?\+ ?(D ?I|I ?D))|((D ?I|I ?D) ?\+ ?I)) *$""))"),FALSE)</f>
        <v>0</v>
      </c>
      <c r="R142" s="37" t="b">
        <f>IFERROR(__xludf.DUMMYFUNCTION("if(isblank(A142),,REGEXMATCH(B142,""^((D ?\+ ?(D ?I|I ?D))|((D ?I|I ?D) ?\+ ?D)) *$""))"),FALSE)</f>
        <v>0</v>
      </c>
      <c r="S142" s="37" t="b">
        <f>IFERROR(__xludf.DUMMYFUNCTION("if(isblank(A142),,REGEXMATCH(B142,""^((U ?\+ ?(D ?I|I ?D))|((D ?I|I ?D) ?\+ ?U)) *$""))"),FALSE)</f>
        <v>0</v>
      </c>
      <c r="T142" s="37" t="b">
        <f>IFERROR(__xludf.DUMMYFUNCTION("if(isblank(A142),,REGEXMATCH(B142,""^((N ?\+ ?(D ?I|I ?D))|((D ?I|I ?D) ?\+ ?N)) *$""))"),FALSE)</f>
        <v>0</v>
      </c>
      <c r="U142" s="37" t="b">
        <f>IFERROR(__xludf.DUMMYFUNCTION("if(isblank(A142),,REGEXMATCH(B142,""^((I ?\+ ?(U ?I|I ?U))|((I ?U|U ?I) ?\+ ?I)) *$""))"),FALSE)</f>
        <v>0</v>
      </c>
      <c r="V142" s="37" t="b">
        <f>IFERROR(__xludf.DUMMYFUNCTION("if(isblank(A142),,REGEXMATCH(B142,""^((D ?\+ ?(U ?I|I ?U))|((I ?U|U ?I) ?\+ ?D)) *$""))"),FALSE)</f>
        <v>0</v>
      </c>
      <c r="W142" s="37" t="b">
        <f>IFERROR(__xludf.DUMMYFUNCTION("if(isblank(A142),,REGEXMATCH(B142,""^((U ?\+ ?(U ?I|I ?U))|((I ?U|U ?I) ?\+ ?U)) *$""))"),FALSE)</f>
        <v>0</v>
      </c>
      <c r="X142" s="37" t="b">
        <f>IFERROR(__xludf.DUMMYFUNCTION("if(isblank(A142),,REGEXMATCH(B142,""^((N ?\+ ?(U ?I|I ?U))|((I ?U|U ?I) ?\+ ?N)) *$""))"),FALSE)</f>
        <v>0</v>
      </c>
      <c r="Y142" s="37" t="b">
        <f>IFERROR(__xludf.DUMMYFUNCTION("if(isblank(A142),,REGEXMATCH(B142,""^((I ?\+ ?(U ?D|D ?U))|((D ?U|U ?D) ?\+ ?I)) *$""))"),FALSE)</f>
        <v>0</v>
      </c>
      <c r="Z142" s="37" t="b">
        <f>IFERROR(__xludf.DUMMYFUNCTION("if(isblank(A142),,REGEXMATCH(B142,""^((D ?\+ ?(U ?D|D ?U))|((D ?U|U ?D) ?\+ ?D)) *$""))"),FALSE)</f>
        <v>0</v>
      </c>
      <c r="AA142" s="37" t="b">
        <f>IFERROR(__xludf.DUMMYFUNCTION("if(isblank(A142),,REGEXMATCH(B142,""^((U ?\+ ?(U ?D|D ?U))|((D ?U|U ?D) ?\+ ?U)) *$""))"),FALSE)</f>
        <v>0</v>
      </c>
      <c r="AB142" s="37" t="b">
        <f>IFERROR(__xludf.DUMMYFUNCTION("if(isblank(A142),,REGEXMATCH(B142,""^((D ?I|I ?D) ?\+ ?(D ?I|I ?D)) *$""))"),FALSE)</f>
        <v>0</v>
      </c>
      <c r="AC142" s="37" t="b">
        <f>IFERROR(__xludf.DUMMYFUNCTION("if(isblank(A142),,REGEXMATCH(B142,""^((D ?I|I ?D) ?\+ ?(U ?I|I ?U))|((U ?I|I ?U) ?\+ ?(D ?I|I ?D)) *$""))"),FALSE)</f>
        <v>0</v>
      </c>
      <c r="AD142" s="37" t="b">
        <f>IFERROR(__xludf.DUMMYFUNCTION("if(isblank(A142),,REGEXMATCH(B142,""^I *vs\. I *$""))"),FALSE)</f>
        <v>0</v>
      </c>
      <c r="AE142" s="37" t="b">
        <f>IFERROR(__xludf.DUMMYFUNCTION("if(isblank(A142),,REGEXMATCH(B142,""(^I *vs\. D *$)|(^D *vs\. I *$)""))"),FALSE)</f>
        <v>0</v>
      </c>
      <c r="AF142" s="37" t="b">
        <f>IFERROR(__xludf.DUMMYFUNCTION("if(isblank(A142),,REGEXMATCH(B142,""(^I *vs\. U *$)|(^U *vs\. I *$)""))"),FALSE)</f>
        <v>0</v>
      </c>
      <c r="AG142" s="37" t="b">
        <f>IFERROR(__xludf.DUMMYFUNCTION("if(isblank(A142),,REGEXMATCH(B142,""^D *vs\. D *$""))"),FALSE)</f>
        <v>0</v>
      </c>
      <c r="AH142" s="37" t="b">
        <f>IFERROR(__xludf.DUMMYFUNCTION("if(isblank(A142),,REGEXMATCH(B142,""(^U *vs\. D *$)|(^D *vs\. U *$)""))"),TRUE)</f>
        <v>1</v>
      </c>
      <c r="AI142" s="37" t="b">
        <f>IFERROR(__xludf.DUMMYFUNCTION("if(isblank(A142),,REGEXMATCH(B142,""^U *vs\. U *$""))"),FALSE)</f>
        <v>0</v>
      </c>
      <c r="AJ142" s="37" t="b">
        <f>IFERROR(__xludf.DUMMYFUNCTION("if(isblank(A142),,REGEXMATCH(B142,""^((I ?vs\. ?(D ?I|I ?D))|((D ?I|I ?D) ?vs\. ?I)) *$""))"),FALSE)</f>
        <v>0</v>
      </c>
      <c r="AK142" s="37" t="b">
        <f>IFERROR(__xludf.DUMMYFUNCTION("if(isblank(A142),,REGEXMATCH(B142,""^((D ?vs\. ?(D ?I|I ?D))|((D ?I|I ?D) ?vs\. ?D)) *$""))"),FALSE)</f>
        <v>0</v>
      </c>
      <c r="AL142" s="37" t="b">
        <f>IFERROR(__xludf.DUMMYFUNCTION("if(isblank(A142),,REGEXMATCH(B142,""^((U ?vs\. ?(D ?I|I ?D))|((D ?I|I ?D) ?vs\. ?U)) *$""))"),FALSE)</f>
        <v>0</v>
      </c>
      <c r="AM142" s="37" t="b">
        <f>IFERROR(__xludf.DUMMYFUNCTION("if(isblank(A142),,REGEXMATCH(B142,""^((I ?vs\. ?(U ?I|I ?U))|((U ?I|I ?U) ?vs\. ?I)) *$""))"),FALSE)</f>
        <v>0</v>
      </c>
      <c r="AN142" s="37" t="b">
        <f>IFERROR(__xludf.DUMMYFUNCTION("if(isblank(A142),,REGEXMATCH(B142,""^((D ?vs\. ?(U ?I|I ?U))|((U ?I|I ?U) ?vs\. ?D)) *$""))"),FALSE)</f>
        <v>0</v>
      </c>
      <c r="AO142" s="37" t="b">
        <f>IFERROR(__xludf.DUMMYFUNCTION("if(isblank(A142),,REGEXMATCH(B142,""^((U ?vs\. ?(U ?I|I ?U))|((U ?I|I ?U) ?vs\. ?U)) *$""))"),FALSE)</f>
        <v>0</v>
      </c>
      <c r="AP142" s="37" t="b">
        <f>IFERROR(__xludf.DUMMYFUNCTION("if(isblank(A142),,REGEXMATCH(B142,""^((I ?vs\. ?(U ?D|D ?U))|((D ?U|U ?D) ?vs\. ?I)) *$""))"),FALSE)</f>
        <v>0</v>
      </c>
      <c r="AQ142" s="37" t="b">
        <f>IFERROR(__xludf.DUMMYFUNCTION("if(isblank(A142),,REGEXMATCH(B142,""^((D ?vs\. ?(U ?D|D ?U))|((D ?U|U ?D) ?vs\. ?D)) *$""))"),FALSE)</f>
        <v>0</v>
      </c>
      <c r="AR142" s="37" t="b">
        <f>IFERROR(__xludf.DUMMYFUNCTION("if(isblank(A142),,REGEXMATCH(B142,""^((U ?vs\. ?(U ?D|D ?U))|((D ?U|U ?D) ?vs\. ?U)) *$""))"),FALSE)</f>
        <v>0</v>
      </c>
      <c r="AS142" s="37" t="b">
        <f>IFERROR(__xludf.DUMMYFUNCTION("if(isblank(A142),,REGEXMATCH(B142,""^((D ?I|I ?D) ?vs\. ?(D ?I|I ?D)) *$""))"),FALSE)</f>
        <v>0</v>
      </c>
      <c r="AT142" s="37" t="b">
        <f>IFERROR(__xludf.DUMMYFUNCTION("if(isblank(A142),,REGEXMATCH(B142,""^((D ?I|I ?D) ?vs\. ?(U ?I|I ?U))|((U ?I|I ?U) ?vs\. ?(D ?I|I ?D)) *$""))"),FALSE)</f>
        <v>0</v>
      </c>
      <c r="AU142" s="37" t="b">
        <f>IFERROR(__xludf.DUMMYFUNCTION("if(isblank(A142),,REGEXMATCH(B142,""^((D ?I|I ?D) ?vs\. ?(U ?D|D ?U))|((U ?D|D ?U) ?vs\. ?(D ?I|I ?D)) *$""))"),FALSE)</f>
        <v>0</v>
      </c>
      <c r="AV142" s="37" t="b">
        <f>IFERROR(__xludf.DUMMYFUNCTION("if(isblank(A142),,REGEXMATCH(B142,""^((U ?I|I ?U) ?vs\. ?(U ?I|I ?U)) *$""))"),FALSE)</f>
        <v>0</v>
      </c>
    </row>
    <row r="143" ht="26.25" customHeight="1">
      <c r="A143" s="79" t="str">
        <f>Paper_Textual_Conflict!M143</f>
        <v>U vs. U (Java code) right only add space</v>
      </c>
      <c r="B143" s="37" t="str">
        <f>IFERROR(__xludf.DUMMYFUNCTION("if(isblank(A143),,regexextract(REGEXEXTRACT(A143,""^.*""),""^[^(]*""))"),"U vs. U ")</f>
        <v>U vs. U </v>
      </c>
      <c r="C143" s="37" t="b">
        <f>IFERROR(__xludf.DUMMYFUNCTION("if(isblank(A143),,REGEXMATCH(B143,"".*\+.*"") )"),FALSE)</f>
        <v>0</v>
      </c>
      <c r="D143" s="37" t="b">
        <f>IFERROR(__xludf.DUMMYFUNCTION("if(isblank(A143),,REGEXMATCH(B143,"".*vs.*"") )"),TRUE)</f>
        <v>1</v>
      </c>
      <c r="E143" s="37" t="b">
        <f>Paper_Textual_Conflict!H143</f>
        <v>1</v>
      </c>
      <c r="F143" s="37" t="str">
        <f>Paper_Textual_Conflict!Q143</f>
        <v>Java</v>
      </c>
      <c r="G143" s="33">
        <v>143.0</v>
      </c>
      <c r="H143" s="37" t="b">
        <f>IFERROR(__xludf.DUMMYFUNCTION("if(isblank(A143),,REGEXMATCH(B143,""^I *\+ I *$""))"),FALSE)</f>
        <v>0</v>
      </c>
      <c r="I143" s="37" t="b">
        <f>IFERROR(__xludf.DUMMYFUNCTION("if(isblank(A143),,REGEXMATCH(B143,""(^I *\+ D *$)|(^D *\+ I *$)""))"),FALSE)</f>
        <v>0</v>
      </c>
      <c r="J143" s="37" t="b">
        <f>IFERROR(__xludf.DUMMYFUNCTION("if(isblank(A143),,REGEXMATCH(B143,""(^I *\+ U *$)|(^U *\+ I *$)""))"),FALSE)</f>
        <v>0</v>
      </c>
      <c r="K143" s="37" t="b">
        <f>IFERROR(__xludf.DUMMYFUNCTION("if(isblank(A143),,REGEXMATCH(B143,""(^I *\+ N *$)|(^N *\+ I *$)"") )"),FALSE)</f>
        <v>0</v>
      </c>
      <c r="L143" s="37" t="b">
        <f>IFERROR(__xludf.DUMMYFUNCTION("if(isblank(A143),,REGEXMATCH(B143,""^D *\+ D *$""))"),FALSE)</f>
        <v>0</v>
      </c>
      <c r="M143" s="37" t="b">
        <f>IFERROR(__xludf.DUMMYFUNCTION("if(isblank(A143),,REGEXMATCH(B143,""(^U *\+ D *$)|(^D *\+ U *$)""))"),FALSE)</f>
        <v>0</v>
      </c>
      <c r="N143" s="37" t="b">
        <f>IFERROR(__xludf.DUMMYFUNCTION("if(isblank(A143),,REGEXMATCH(B143,""(^N *\+ D *$)|(^D *\+ N *$)""))"),FALSE)</f>
        <v>0</v>
      </c>
      <c r="O143" s="37" t="b">
        <f>IFERROR(__xludf.DUMMYFUNCTION("if(isblank(A143),,REGEXMATCH(B143,""^U *\+ U *$""))"),FALSE)</f>
        <v>0</v>
      </c>
      <c r="P143" s="37" t="b">
        <f>IFERROR(__xludf.DUMMYFUNCTION("if(isblank(A143),,REGEXMATCH(B143,""(^U *\+ N *$)|(^N *\+ U *$)""))"),FALSE)</f>
        <v>0</v>
      </c>
      <c r="Q143" s="37" t="b">
        <f>IFERROR(__xludf.DUMMYFUNCTION("if(isblank(A143),,REGEXMATCH(B143,""^((I ?\+ ?(D ?I|I ?D))|((D ?I|I ?D) ?\+ ?I)) *$""))"),FALSE)</f>
        <v>0</v>
      </c>
      <c r="R143" s="37" t="b">
        <f>IFERROR(__xludf.DUMMYFUNCTION("if(isblank(A143),,REGEXMATCH(B143,""^((D ?\+ ?(D ?I|I ?D))|((D ?I|I ?D) ?\+ ?D)) *$""))"),FALSE)</f>
        <v>0</v>
      </c>
      <c r="S143" s="37" t="b">
        <f>IFERROR(__xludf.DUMMYFUNCTION("if(isblank(A143),,REGEXMATCH(B143,""^((U ?\+ ?(D ?I|I ?D))|((D ?I|I ?D) ?\+ ?U)) *$""))"),FALSE)</f>
        <v>0</v>
      </c>
      <c r="T143" s="37" t="b">
        <f>IFERROR(__xludf.DUMMYFUNCTION("if(isblank(A143),,REGEXMATCH(B143,""^((N ?\+ ?(D ?I|I ?D))|((D ?I|I ?D) ?\+ ?N)) *$""))"),FALSE)</f>
        <v>0</v>
      </c>
      <c r="U143" s="37" t="b">
        <f>IFERROR(__xludf.DUMMYFUNCTION("if(isblank(A143),,REGEXMATCH(B143,""^((I ?\+ ?(U ?I|I ?U))|((I ?U|U ?I) ?\+ ?I)) *$""))"),FALSE)</f>
        <v>0</v>
      </c>
      <c r="V143" s="37" t="b">
        <f>IFERROR(__xludf.DUMMYFUNCTION("if(isblank(A143),,REGEXMATCH(B143,""^((D ?\+ ?(U ?I|I ?U))|((I ?U|U ?I) ?\+ ?D)) *$""))"),FALSE)</f>
        <v>0</v>
      </c>
      <c r="W143" s="37" t="b">
        <f>IFERROR(__xludf.DUMMYFUNCTION("if(isblank(A143),,REGEXMATCH(B143,""^((U ?\+ ?(U ?I|I ?U))|((I ?U|U ?I) ?\+ ?U)) *$""))"),FALSE)</f>
        <v>0</v>
      </c>
      <c r="X143" s="37" t="b">
        <f>IFERROR(__xludf.DUMMYFUNCTION("if(isblank(A143),,REGEXMATCH(B143,""^((N ?\+ ?(U ?I|I ?U))|((I ?U|U ?I) ?\+ ?N)) *$""))"),FALSE)</f>
        <v>0</v>
      </c>
      <c r="Y143" s="37" t="b">
        <f>IFERROR(__xludf.DUMMYFUNCTION("if(isblank(A143),,REGEXMATCH(B143,""^((I ?\+ ?(U ?D|D ?U))|((D ?U|U ?D) ?\+ ?I)) *$""))"),FALSE)</f>
        <v>0</v>
      </c>
      <c r="Z143" s="37" t="b">
        <f>IFERROR(__xludf.DUMMYFUNCTION("if(isblank(A143),,REGEXMATCH(B143,""^((D ?\+ ?(U ?D|D ?U))|((D ?U|U ?D) ?\+ ?D)) *$""))"),FALSE)</f>
        <v>0</v>
      </c>
      <c r="AA143" s="37" t="b">
        <f>IFERROR(__xludf.DUMMYFUNCTION("if(isblank(A143),,REGEXMATCH(B143,""^((U ?\+ ?(U ?D|D ?U))|((D ?U|U ?D) ?\+ ?U)) *$""))"),FALSE)</f>
        <v>0</v>
      </c>
      <c r="AB143" s="37" t="b">
        <f>IFERROR(__xludf.DUMMYFUNCTION("if(isblank(A143),,REGEXMATCH(B143,""^((D ?I|I ?D) ?\+ ?(D ?I|I ?D)) *$""))"),FALSE)</f>
        <v>0</v>
      </c>
      <c r="AC143" s="37" t="b">
        <f>IFERROR(__xludf.DUMMYFUNCTION("if(isblank(A143),,REGEXMATCH(B143,""^((D ?I|I ?D) ?\+ ?(U ?I|I ?U))|((U ?I|I ?U) ?\+ ?(D ?I|I ?D)) *$""))"),FALSE)</f>
        <v>0</v>
      </c>
      <c r="AD143" s="37" t="b">
        <f>IFERROR(__xludf.DUMMYFUNCTION("if(isblank(A143),,REGEXMATCH(B143,""^I *vs\. I *$""))"),FALSE)</f>
        <v>0</v>
      </c>
      <c r="AE143" s="37" t="b">
        <f>IFERROR(__xludf.DUMMYFUNCTION("if(isblank(A143),,REGEXMATCH(B143,""(^I *vs\. D *$)|(^D *vs\. I *$)""))"),FALSE)</f>
        <v>0</v>
      </c>
      <c r="AF143" s="37" t="b">
        <f>IFERROR(__xludf.DUMMYFUNCTION("if(isblank(A143),,REGEXMATCH(B143,""(^I *vs\. U *$)|(^U *vs\. I *$)""))"),FALSE)</f>
        <v>0</v>
      </c>
      <c r="AG143" s="37" t="b">
        <f>IFERROR(__xludf.DUMMYFUNCTION("if(isblank(A143),,REGEXMATCH(B143,""^D *vs\. D *$""))"),FALSE)</f>
        <v>0</v>
      </c>
      <c r="AH143" s="37" t="b">
        <f>IFERROR(__xludf.DUMMYFUNCTION("if(isblank(A143),,REGEXMATCH(B143,""(^U *vs\. D *$)|(^D *vs\. U *$)""))"),FALSE)</f>
        <v>0</v>
      </c>
      <c r="AI143" s="37" t="b">
        <f>IFERROR(__xludf.DUMMYFUNCTION("if(isblank(A143),,REGEXMATCH(B143,""^U *vs\. U *$""))"),TRUE)</f>
        <v>1</v>
      </c>
      <c r="AJ143" s="37" t="b">
        <f>IFERROR(__xludf.DUMMYFUNCTION("if(isblank(A143),,REGEXMATCH(B143,""^((I ?vs\. ?(D ?I|I ?D))|((D ?I|I ?D) ?vs\. ?I)) *$""))"),FALSE)</f>
        <v>0</v>
      </c>
      <c r="AK143" s="37" t="b">
        <f>IFERROR(__xludf.DUMMYFUNCTION("if(isblank(A143),,REGEXMATCH(B143,""^((D ?vs\. ?(D ?I|I ?D))|((D ?I|I ?D) ?vs\. ?D)) *$""))"),FALSE)</f>
        <v>0</v>
      </c>
      <c r="AL143" s="37" t="b">
        <f>IFERROR(__xludf.DUMMYFUNCTION("if(isblank(A143),,REGEXMATCH(B143,""^((U ?vs\. ?(D ?I|I ?D))|((D ?I|I ?D) ?vs\. ?U)) *$""))"),FALSE)</f>
        <v>0</v>
      </c>
      <c r="AM143" s="37" t="b">
        <f>IFERROR(__xludf.DUMMYFUNCTION("if(isblank(A143),,REGEXMATCH(B143,""^((I ?vs\. ?(U ?I|I ?U))|((U ?I|I ?U) ?vs\. ?I)) *$""))"),FALSE)</f>
        <v>0</v>
      </c>
      <c r="AN143" s="37" t="b">
        <f>IFERROR(__xludf.DUMMYFUNCTION("if(isblank(A143),,REGEXMATCH(B143,""^((D ?vs\. ?(U ?I|I ?U))|((U ?I|I ?U) ?vs\. ?D)) *$""))"),FALSE)</f>
        <v>0</v>
      </c>
      <c r="AO143" s="37" t="b">
        <f>IFERROR(__xludf.DUMMYFUNCTION("if(isblank(A143),,REGEXMATCH(B143,""^((U ?vs\. ?(U ?I|I ?U))|((U ?I|I ?U) ?vs\. ?U)) *$""))"),FALSE)</f>
        <v>0</v>
      </c>
      <c r="AP143" s="37" t="b">
        <f>IFERROR(__xludf.DUMMYFUNCTION("if(isblank(A143),,REGEXMATCH(B143,""^((I ?vs\. ?(U ?D|D ?U))|((D ?U|U ?D) ?vs\. ?I)) *$""))"),FALSE)</f>
        <v>0</v>
      </c>
      <c r="AQ143" s="37" t="b">
        <f>IFERROR(__xludf.DUMMYFUNCTION("if(isblank(A143),,REGEXMATCH(B143,""^((D ?vs\. ?(U ?D|D ?U))|((D ?U|U ?D) ?vs\. ?D)) *$""))"),FALSE)</f>
        <v>0</v>
      </c>
      <c r="AR143" s="37" t="b">
        <f>IFERROR(__xludf.DUMMYFUNCTION("if(isblank(A143),,REGEXMATCH(B143,""^((U ?vs\. ?(U ?D|D ?U))|((D ?U|U ?D) ?vs\. ?U)) *$""))"),FALSE)</f>
        <v>0</v>
      </c>
      <c r="AS143" s="37" t="b">
        <f>IFERROR(__xludf.DUMMYFUNCTION("if(isblank(A143),,REGEXMATCH(B143,""^((D ?I|I ?D) ?vs\. ?(D ?I|I ?D)) *$""))"),FALSE)</f>
        <v>0</v>
      </c>
      <c r="AT143" s="37" t="b">
        <f>IFERROR(__xludf.DUMMYFUNCTION("if(isblank(A143),,REGEXMATCH(B143,""^((D ?I|I ?D) ?vs\. ?(U ?I|I ?U))|((U ?I|I ?U) ?vs\. ?(D ?I|I ?D)) *$""))"),FALSE)</f>
        <v>0</v>
      </c>
      <c r="AU143" s="37" t="b">
        <f>IFERROR(__xludf.DUMMYFUNCTION("if(isblank(A143),,REGEXMATCH(B143,""^((D ?I|I ?D) ?vs\. ?(U ?D|D ?U))|((U ?D|D ?U) ?vs\. ?(D ?I|I ?D)) *$""))"),FALSE)</f>
        <v>0</v>
      </c>
      <c r="AV143" s="37" t="b">
        <f>IFERROR(__xludf.DUMMYFUNCTION("if(isblank(A143),,REGEXMATCH(B143,""^((U ?I|I ?U) ?vs\. ?(U ?I|I ?U)) *$""))"),FALSE)</f>
        <v>0</v>
      </c>
    </row>
    <row r="144" ht="26.25" customHeight="1">
      <c r="A144" s="79" t="str">
        <f>Paper_Textual_Conflict!M144</f>
        <v>D + I (import) L only remove space</v>
      </c>
      <c r="B144" s="37" t="str">
        <f>IFERROR(__xludf.DUMMYFUNCTION("if(isblank(A144),,regexextract(REGEXEXTRACT(A144,""^.*""),""^[^(]*""))"),"D + I ")</f>
        <v>D + I </v>
      </c>
      <c r="C144" s="37" t="b">
        <f>IFERROR(__xludf.DUMMYFUNCTION("if(isblank(A144),,REGEXMATCH(B144,"".*\+.*"") )"),TRUE)</f>
        <v>1</v>
      </c>
      <c r="D144" s="37" t="b">
        <f>IFERROR(__xludf.DUMMYFUNCTION("if(isblank(A144),,REGEXMATCH(B144,"".*vs.*"") )"),FALSE)</f>
        <v>0</v>
      </c>
      <c r="E144" s="37" t="b">
        <f>Paper_Textual_Conflict!H144</f>
        <v>0</v>
      </c>
      <c r="F144" s="37" t="str">
        <f>Paper_Textual_Conflict!Q144</f>
        <v>Java</v>
      </c>
      <c r="G144" s="33">
        <v>144.0</v>
      </c>
      <c r="H144" s="37" t="b">
        <f>IFERROR(__xludf.DUMMYFUNCTION("if(isblank(A144),,REGEXMATCH(B144,""^I *\+ I *$""))"),FALSE)</f>
        <v>0</v>
      </c>
      <c r="I144" s="37" t="b">
        <f>IFERROR(__xludf.DUMMYFUNCTION("if(isblank(A144),,REGEXMATCH(B144,""(^I *\+ D *$)|(^D *\+ I *$)""))"),TRUE)</f>
        <v>1</v>
      </c>
      <c r="J144" s="37" t="b">
        <f>IFERROR(__xludf.DUMMYFUNCTION("if(isblank(A144),,REGEXMATCH(B144,""(^I *\+ U *$)|(^U *\+ I *$)""))"),FALSE)</f>
        <v>0</v>
      </c>
      <c r="K144" s="37" t="b">
        <f>IFERROR(__xludf.DUMMYFUNCTION("if(isblank(A144),,REGEXMATCH(B144,""(^I *\+ N *$)|(^N *\+ I *$)"") )"),FALSE)</f>
        <v>0</v>
      </c>
      <c r="L144" s="37" t="b">
        <f>IFERROR(__xludf.DUMMYFUNCTION("if(isblank(A144),,REGEXMATCH(B144,""^D *\+ D *$""))"),FALSE)</f>
        <v>0</v>
      </c>
      <c r="M144" s="37" t="b">
        <f>IFERROR(__xludf.DUMMYFUNCTION("if(isblank(A144),,REGEXMATCH(B144,""(^U *\+ D *$)|(^D *\+ U *$)""))"),FALSE)</f>
        <v>0</v>
      </c>
      <c r="N144" s="37" t="b">
        <f>IFERROR(__xludf.DUMMYFUNCTION("if(isblank(A144),,REGEXMATCH(B144,""(^N *\+ D *$)|(^D *\+ N *$)""))"),FALSE)</f>
        <v>0</v>
      </c>
      <c r="O144" s="37" t="b">
        <f>IFERROR(__xludf.DUMMYFUNCTION("if(isblank(A144),,REGEXMATCH(B144,""^U *\+ U *$""))"),FALSE)</f>
        <v>0</v>
      </c>
      <c r="P144" s="37" t="b">
        <f>IFERROR(__xludf.DUMMYFUNCTION("if(isblank(A144),,REGEXMATCH(B144,""(^U *\+ N *$)|(^N *\+ U *$)""))"),FALSE)</f>
        <v>0</v>
      </c>
      <c r="Q144" s="37" t="b">
        <f>IFERROR(__xludf.DUMMYFUNCTION("if(isblank(A144),,REGEXMATCH(B144,""^((I ?\+ ?(D ?I|I ?D))|((D ?I|I ?D) ?\+ ?I)) *$""))"),FALSE)</f>
        <v>0</v>
      </c>
      <c r="R144" s="37" t="b">
        <f>IFERROR(__xludf.DUMMYFUNCTION("if(isblank(A144),,REGEXMATCH(B144,""^((D ?\+ ?(D ?I|I ?D))|((D ?I|I ?D) ?\+ ?D)) *$""))"),FALSE)</f>
        <v>0</v>
      </c>
      <c r="S144" s="37" t="b">
        <f>IFERROR(__xludf.DUMMYFUNCTION("if(isblank(A144),,REGEXMATCH(B144,""^((U ?\+ ?(D ?I|I ?D))|((D ?I|I ?D) ?\+ ?U)) *$""))"),FALSE)</f>
        <v>0</v>
      </c>
      <c r="T144" s="37" t="b">
        <f>IFERROR(__xludf.DUMMYFUNCTION("if(isblank(A144),,REGEXMATCH(B144,""^((N ?\+ ?(D ?I|I ?D))|((D ?I|I ?D) ?\+ ?N)) *$""))"),FALSE)</f>
        <v>0</v>
      </c>
      <c r="U144" s="37" t="b">
        <f>IFERROR(__xludf.DUMMYFUNCTION("if(isblank(A144),,REGEXMATCH(B144,""^((I ?\+ ?(U ?I|I ?U))|((I ?U|U ?I) ?\+ ?I)) *$""))"),FALSE)</f>
        <v>0</v>
      </c>
      <c r="V144" s="37" t="b">
        <f>IFERROR(__xludf.DUMMYFUNCTION("if(isblank(A144),,REGEXMATCH(B144,""^((D ?\+ ?(U ?I|I ?U))|((I ?U|U ?I) ?\+ ?D)) *$""))"),FALSE)</f>
        <v>0</v>
      </c>
      <c r="W144" s="37" t="b">
        <f>IFERROR(__xludf.DUMMYFUNCTION("if(isblank(A144),,REGEXMATCH(B144,""^((U ?\+ ?(U ?I|I ?U))|((I ?U|U ?I) ?\+ ?U)) *$""))"),FALSE)</f>
        <v>0</v>
      </c>
      <c r="X144" s="37" t="b">
        <f>IFERROR(__xludf.DUMMYFUNCTION("if(isblank(A144),,REGEXMATCH(B144,""^((N ?\+ ?(U ?I|I ?U))|((I ?U|U ?I) ?\+ ?N)) *$""))"),FALSE)</f>
        <v>0</v>
      </c>
      <c r="Y144" s="37" t="b">
        <f>IFERROR(__xludf.DUMMYFUNCTION("if(isblank(A144),,REGEXMATCH(B144,""^((I ?\+ ?(U ?D|D ?U))|((D ?U|U ?D) ?\+ ?I)) *$""))"),FALSE)</f>
        <v>0</v>
      </c>
      <c r="Z144" s="37" t="b">
        <f>IFERROR(__xludf.DUMMYFUNCTION("if(isblank(A144),,REGEXMATCH(B144,""^((D ?\+ ?(U ?D|D ?U))|((D ?U|U ?D) ?\+ ?D)) *$""))"),FALSE)</f>
        <v>0</v>
      </c>
      <c r="AA144" s="37" t="b">
        <f>IFERROR(__xludf.DUMMYFUNCTION("if(isblank(A144),,REGEXMATCH(B144,""^((U ?\+ ?(U ?D|D ?U))|((D ?U|U ?D) ?\+ ?U)) *$""))"),FALSE)</f>
        <v>0</v>
      </c>
      <c r="AB144" s="37" t="b">
        <f>IFERROR(__xludf.DUMMYFUNCTION("if(isblank(A144),,REGEXMATCH(B144,""^((D ?I|I ?D) ?\+ ?(D ?I|I ?D)) *$""))"),FALSE)</f>
        <v>0</v>
      </c>
      <c r="AC144" s="37" t="b">
        <f>IFERROR(__xludf.DUMMYFUNCTION("if(isblank(A144),,REGEXMATCH(B144,""^((D ?I|I ?D) ?\+ ?(U ?I|I ?U))|((U ?I|I ?U) ?\+ ?(D ?I|I ?D)) *$""))"),FALSE)</f>
        <v>0</v>
      </c>
      <c r="AD144" s="37" t="b">
        <f>IFERROR(__xludf.DUMMYFUNCTION("if(isblank(A144),,REGEXMATCH(B144,""^I *vs\. I *$""))"),FALSE)</f>
        <v>0</v>
      </c>
      <c r="AE144" s="37" t="b">
        <f>IFERROR(__xludf.DUMMYFUNCTION("if(isblank(A144),,REGEXMATCH(B144,""(^I *vs\. D *$)|(^D *vs\. I *$)""))"),FALSE)</f>
        <v>0</v>
      </c>
      <c r="AF144" s="37" t="b">
        <f>IFERROR(__xludf.DUMMYFUNCTION("if(isblank(A144),,REGEXMATCH(B144,""(^I *vs\. U *$)|(^U *vs\. I *$)""))"),FALSE)</f>
        <v>0</v>
      </c>
      <c r="AG144" s="37" t="b">
        <f>IFERROR(__xludf.DUMMYFUNCTION("if(isblank(A144),,REGEXMATCH(B144,""^D *vs\. D *$""))"),FALSE)</f>
        <v>0</v>
      </c>
      <c r="AH144" s="37" t="b">
        <f>IFERROR(__xludf.DUMMYFUNCTION("if(isblank(A144),,REGEXMATCH(B144,""(^U *vs\. D *$)|(^D *vs\. U *$)""))"),FALSE)</f>
        <v>0</v>
      </c>
      <c r="AI144" s="37" t="b">
        <f>IFERROR(__xludf.DUMMYFUNCTION("if(isblank(A144),,REGEXMATCH(B144,""^U *vs\. U *$""))"),FALSE)</f>
        <v>0</v>
      </c>
      <c r="AJ144" s="37" t="b">
        <f>IFERROR(__xludf.DUMMYFUNCTION("if(isblank(A144),,REGEXMATCH(B144,""^((I ?vs\. ?(D ?I|I ?D))|((D ?I|I ?D) ?vs\. ?I)) *$""))"),FALSE)</f>
        <v>0</v>
      </c>
      <c r="AK144" s="37" t="b">
        <f>IFERROR(__xludf.DUMMYFUNCTION("if(isblank(A144),,REGEXMATCH(B144,""^((D ?vs\. ?(D ?I|I ?D))|((D ?I|I ?D) ?vs\. ?D)) *$""))"),FALSE)</f>
        <v>0</v>
      </c>
      <c r="AL144" s="37" t="b">
        <f>IFERROR(__xludf.DUMMYFUNCTION("if(isblank(A144),,REGEXMATCH(B144,""^((U ?vs\. ?(D ?I|I ?D))|((D ?I|I ?D) ?vs\. ?U)) *$""))"),FALSE)</f>
        <v>0</v>
      </c>
      <c r="AM144" s="37" t="b">
        <f>IFERROR(__xludf.DUMMYFUNCTION("if(isblank(A144),,REGEXMATCH(B144,""^((I ?vs\. ?(U ?I|I ?U))|((U ?I|I ?U) ?vs\. ?I)) *$""))"),FALSE)</f>
        <v>0</v>
      </c>
      <c r="AN144" s="37" t="b">
        <f>IFERROR(__xludf.DUMMYFUNCTION("if(isblank(A144),,REGEXMATCH(B144,""^((D ?vs\. ?(U ?I|I ?U))|((U ?I|I ?U) ?vs\. ?D)) *$""))"),FALSE)</f>
        <v>0</v>
      </c>
      <c r="AO144" s="37" t="b">
        <f>IFERROR(__xludf.DUMMYFUNCTION("if(isblank(A144),,REGEXMATCH(B144,""^((U ?vs\. ?(U ?I|I ?U))|((U ?I|I ?U) ?vs\. ?U)) *$""))"),FALSE)</f>
        <v>0</v>
      </c>
      <c r="AP144" s="37" t="b">
        <f>IFERROR(__xludf.DUMMYFUNCTION("if(isblank(A144),,REGEXMATCH(B144,""^((I ?vs\. ?(U ?D|D ?U))|((D ?U|U ?D) ?vs\. ?I)) *$""))"),FALSE)</f>
        <v>0</v>
      </c>
      <c r="AQ144" s="37" t="b">
        <f>IFERROR(__xludf.DUMMYFUNCTION("if(isblank(A144),,REGEXMATCH(B144,""^((D ?vs\. ?(U ?D|D ?U))|((D ?U|U ?D) ?vs\. ?D)) *$""))"),FALSE)</f>
        <v>0</v>
      </c>
      <c r="AR144" s="37" t="b">
        <f>IFERROR(__xludf.DUMMYFUNCTION("if(isblank(A144),,REGEXMATCH(B144,""^((U ?vs\. ?(U ?D|D ?U))|((D ?U|U ?D) ?vs\. ?U)) *$""))"),FALSE)</f>
        <v>0</v>
      </c>
      <c r="AS144" s="37" t="b">
        <f>IFERROR(__xludf.DUMMYFUNCTION("if(isblank(A144),,REGEXMATCH(B144,""^((D ?I|I ?D) ?vs\. ?(D ?I|I ?D)) *$""))"),FALSE)</f>
        <v>0</v>
      </c>
      <c r="AT144" s="37" t="b">
        <f>IFERROR(__xludf.DUMMYFUNCTION("if(isblank(A144),,REGEXMATCH(B144,""^((D ?I|I ?D) ?vs\. ?(U ?I|I ?U))|((U ?I|I ?U) ?vs\. ?(D ?I|I ?D)) *$""))"),FALSE)</f>
        <v>0</v>
      </c>
      <c r="AU144" s="37" t="b">
        <f>IFERROR(__xludf.DUMMYFUNCTION("if(isblank(A144),,REGEXMATCH(B144,""^((D ?I|I ?D) ?vs\. ?(U ?D|D ?U))|((U ?D|D ?U) ?vs\. ?(D ?I|I ?D)) *$""))"),FALSE)</f>
        <v>0</v>
      </c>
      <c r="AV144" s="37" t="b">
        <f>IFERROR(__xludf.DUMMYFUNCTION("if(isblank(A144),,REGEXMATCH(B144,""^((U ?I|I ?U) ?vs\. ?(U ?I|I ?U)) *$""))"),FALSE)</f>
        <v>0</v>
      </c>
    </row>
    <row r="145" ht="26.25" customHeight="1">
      <c r="A145" s="79" t="str">
        <f>Paper_Textual_Conflict!M145</f>
        <v>I vs. I (Java comment)</v>
      </c>
      <c r="B145" s="37" t="str">
        <f>IFERROR(__xludf.DUMMYFUNCTION("if(isblank(A145),,regexextract(REGEXEXTRACT(A145,""^.*""),""^[^(]*""))"),"I vs. I ")</f>
        <v>I vs. I </v>
      </c>
      <c r="C145" s="37" t="b">
        <f>IFERROR(__xludf.DUMMYFUNCTION("if(isblank(A145),,REGEXMATCH(B145,"".*\+.*"") )"),FALSE)</f>
        <v>0</v>
      </c>
      <c r="D145" s="37" t="b">
        <f>IFERROR(__xludf.DUMMYFUNCTION("if(isblank(A145),,REGEXMATCH(B145,"".*vs.*"") )"),TRUE)</f>
        <v>1</v>
      </c>
      <c r="E145" s="37" t="b">
        <f>Paper_Textual_Conflict!H145</f>
        <v>1</v>
      </c>
      <c r="F145" s="37" t="str">
        <f>Paper_Textual_Conflict!Q145</f>
        <v>Java</v>
      </c>
      <c r="G145" s="33">
        <v>145.0</v>
      </c>
      <c r="H145" s="37" t="b">
        <f>IFERROR(__xludf.DUMMYFUNCTION("if(isblank(A145),,REGEXMATCH(B145,""^I *\+ I *$""))"),FALSE)</f>
        <v>0</v>
      </c>
      <c r="I145" s="37" t="b">
        <f>IFERROR(__xludf.DUMMYFUNCTION("if(isblank(A145),,REGEXMATCH(B145,""(^I *\+ D *$)|(^D *\+ I *$)""))"),FALSE)</f>
        <v>0</v>
      </c>
      <c r="J145" s="37" t="b">
        <f>IFERROR(__xludf.DUMMYFUNCTION("if(isblank(A145),,REGEXMATCH(B145,""(^I *\+ U *$)|(^U *\+ I *$)""))"),FALSE)</f>
        <v>0</v>
      </c>
      <c r="K145" s="37" t="b">
        <f>IFERROR(__xludf.DUMMYFUNCTION("if(isblank(A145),,REGEXMATCH(B145,""(^I *\+ N *$)|(^N *\+ I *$)"") )"),FALSE)</f>
        <v>0</v>
      </c>
      <c r="L145" s="37" t="b">
        <f>IFERROR(__xludf.DUMMYFUNCTION("if(isblank(A145),,REGEXMATCH(B145,""^D *\+ D *$""))"),FALSE)</f>
        <v>0</v>
      </c>
      <c r="M145" s="37" t="b">
        <f>IFERROR(__xludf.DUMMYFUNCTION("if(isblank(A145),,REGEXMATCH(B145,""(^U *\+ D *$)|(^D *\+ U *$)""))"),FALSE)</f>
        <v>0</v>
      </c>
      <c r="N145" s="37" t="b">
        <f>IFERROR(__xludf.DUMMYFUNCTION("if(isblank(A145),,REGEXMATCH(B145,""(^N *\+ D *$)|(^D *\+ N *$)""))"),FALSE)</f>
        <v>0</v>
      </c>
      <c r="O145" s="37" t="b">
        <f>IFERROR(__xludf.DUMMYFUNCTION("if(isblank(A145),,REGEXMATCH(B145,""^U *\+ U *$""))"),FALSE)</f>
        <v>0</v>
      </c>
      <c r="P145" s="37" t="b">
        <f>IFERROR(__xludf.DUMMYFUNCTION("if(isblank(A145),,REGEXMATCH(B145,""(^U *\+ N *$)|(^N *\+ U *$)""))"),FALSE)</f>
        <v>0</v>
      </c>
      <c r="Q145" s="37" t="b">
        <f>IFERROR(__xludf.DUMMYFUNCTION("if(isblank(A145),,REGEXMATCH(B145,""^((I ?\+ ?(D ?I|I ?D))|((D ?I|I ?D) ?\+ ?I)) *$""))"),FALSE)</f>
        <v>0</v>
      </c>
      <c r="R145" s="37" t="b">
        <f>IFERROR(__xludf.DUMMYFUNCTION("if(isblank(A145),,REGEXMATCH(B145,""^((D ?\+ ?(D ?I|I ?D))|((D ?I|I ?D) ?\+ ?D)) *$""))"),FALSE)</f>
        <v>0</v>
      </c>
      <c r="S145" s="37" t="b">
        <f>IFERROR(__xludf.DUMMYFUNCTION("if(isblank(A145),,REGEXMATCH(B145,""^((U ?\+ ?(D ?I|I ?D))|((D ?I|I ?D) ?\+ ?U)) *$""))"),FALSE)</f>
        <v>0</v>
      </c>
      <c r="T145" s="37" t="b">
        <f>IFERROR(__xludf.DUMMYFUNCTION("if(isblank(A145),,REGEXMATCH(B145,""^((N ?\+ ?(D ?I|I ?D))|((D ?I|I ?D) ?\+ ?N)) *$""))"),FALSE)</f>
        <v>0</v>
      </c>
      <c r="U145" s="37" t="b">
        <f>IFERROR(__xludf.DUMMYFUNCTION("if(isblank(A145),,REGEXMATCH(B145,""^((I ?\+ ?(U ?I|I ?U))|((I ?U|U ?I) ?\+ ?I)) *$""))"),FALSE)</f>
        <v>0</v>
      </c>
      <c r="V145" s="37" t="b">
        <f>IFERROR(__xludf.DUMMYFUNCTION("if(isblank(A145),,REGEXMATCH(B145,""^((D ?\+ ?(U ?I|I ?U))|((I ?U|U ?I) ?\+ ?D)) *$""))"),FALSE)</f>
        <v>0</v>
      </c>
      <c r="W145" s="37" t="b">
        <f>IFERROR(__xludf.DUMMYFUNCTION("if(isblank(A145),,REGEXMATCH(B145,""^((U ?\+ ?(U ?I|I ?U))|((I ?U|U ?I) ?\+ ?U)) *$""))"),FALSE)</f>
        <v>0</v>
      </c>
      <c r="X145" s="37" t="b">
        <f>IFERROR(__xludf.DUMMYFUNCTION("if(isblank(A145),,REGEXMATCH(B145,""^((N ?\+ ?(U ?I|I ?U))|((I ?U|U ?I) ?\+ ?N)) *$""))"),FALSE)</f>
        <v>0</v>
      </c>
      <c r="Y145" s="37" t="b">
        <f>IFERROR(__xludf.DUMMYFUNCTION("if(isblank(A145),,REGEXMATCH(B145,""^((I ?\+ ?(U ?D|D ?U))|((D ?U|U ?D) ?\+ ?I)) *$""))"),FALSE)</f>
        <v>0</v>
      </c>
      <c r="Z145" s="37" t="b">
        <f>IFERROR(__xludf.DUMMYFUNCTION("if(isblank(A145),,REGEXMATCH(B145,""^((D ?\+ ?(U ?D|D ?U))|((D ?U|U ?D) ?\+ ?D)) *$""))"),FALSE)</f>
        <v>0</v>
      </c>
      <c r="AA145" s="37" t="b">
        <f>IFERROR(__xludf.DUMMYFUNCTION("if(isblank(A145),,REGEXMATCH(B145,""^((U ?\+ ?(U ?D|D ?U))|((D ?U|U ?D) ?\+ ?U)) *$""))"),FALSE)</f>
        <v>0</v>
      </c>
      <c r="AB145" s="37" t="b">
        <f>IFERROR(__xludf.DUMMYFUNCTION("if(isblank(A145),,REGEXMATCH(B145,""^((D ?I|I ?D) ?\+ ?(D ?I|I ?D)) *$""))"),FALSE)</f>
        <v>0</v>
      </c>
      <c r="AC145" s="37" t="b">
        <f>IFERROR(__xludf.DUMMYFUNCTION("if(isblank(A145),,REGEXMATCH(B145,""^((D ?I|I ?D) ?\+ ?(U ?I|I ?U))|((U ?I|I ?U) ?\+ ?(D ?I|I ?D)) *$""))"),FALSE)</f>
        <v>0</v>
      </c>
      <c r="AD145" s="37" t="b">
        <f>IFERROR(__xludf.DUMMYFUNCTION("if(isblank(A145),,REGEXMATCH(B145,""^I *vs\. I *$""))"),TRUE)</f>
        <v>1</v>
      </c>
      <c r="AE145" s="37" t="b">
        <f>IFERROR(__xludf.DUMMYFUNCTION("if(isblank(A145),,REGEXMATCH(B145,""(^I *vs\. D *$)|(^D *vs\. I *$)""))"),FALSE)</f>
        <v>0</v>
      </c>
      <c r="AF145" s="37" t="b">
        <f>IFERROR(__xludf.DUMMYFUNCTION("if(isblank(A145),,REGEXMATCH(B145,""(^I *vs\. U *$)|(^U *vs\. I *$)""))"),FALSE)</f>
        <v>0</v>
      </c>
      <c r="AG145" s="37" t="b">
        <f>IFERROR(__xludf.DUMMYFUNCTION("if(isblank(A145),,REGEXMATCH(B145,""^D *vs\. D *$""))"),FALSE)</f>
        <v>0</v>
      </c>
      <c r="AH145" s="37" t="b">
        <f>IFERROR(__xludf.DUMMYFUNCTION("if(isblank(A145),,REGEXMATCH(B145,""(^U *vs\. D *$)|(^D *vs\. U *$)""))"),FALSE)</f>
        <v>0</v>
      </c>
      <c r="AI145" s="37" t="b">
        <f>IFERROR(__xludf.DUMMYFUNCTION("if(isblank(A145),,REGEXMATCH(B145,""^U *vs\. U *$""))"),FALSE)</f>
        <v>0</v>
      </c>
      <c r="AJ145" s="37" t="b">
        <f>IFERROR(__xludf.DUMMYFUNCTION("if(isblank(A145),,REGEXMATCH(B145,""^((I ?vs\. ?(D ?I|I ?D))|((D ?I|I ?D) ?vs\. ?I)) *$""))"),FALSE)</f>
        <v>0</v>
      </c>
      <c r="AK145" s="37" t="b">
        <f>IFERROR(__xludf.DUMMYFUNCTION("if(isblank(A145),,REGEXMATCH(B145,""^((D ?vs\. ?(D ?I|I ?D))|((D ?I|I ?D) ?vs\. ?D)) *$""))"),FALSE)</f>
        <v>0</v>
      </c>
      <c r="AL145" s="37" t="b">
        <f>IFERROR(__xludf.DUMMYFUNCTION("if(isblank(A145),,REGEXMATCH(B145,""^((U ?vs\. ?(D ?I|I ?D))|((D ?I|I ?D) ?vs\. ?U)) *$""))"),FALSE)</f>
        <v>0</v>
      </c>
      <c r="AM145" s="37" t="b">
        <f>IFERROR(__xludf.DUMMYFUNCTION("if(isblank(A145),,REGEXMATCH(B145,""^((I ?vs\. ?(U ?I|I ?U))|((U ?I|I ?U) ?vs\. ?I)) *$""))"),FALSE)</f>
        <v>0</v>
      </c>
      <c r="AN145" s="37" t="b">
        <f>IFERROR(__xludf.DUMMYFUNCTION("if(isblank(A145),,REGEXMATCH(B145,""^((D ?vs\. ?(U ?I|I ?U))|((U ?I|I ?U) ?vs\. ?D)) *$""))"),FALSE)</f>
        <v>0</v>
      </c>
      <c r="AO145" s="37" t="b">
        <f>IFERROR(__xludf.DUMMYFUNCTION("if(isblank(A145),,REGEXMATCH(B145,""^((U ?vs\. ?(U ?I|I ?U))|((U ?I|I ?U) ?vs\. ?U)) *$""))"),FALSE)</f>
        <v>0</v>
      </c>
      <c r="AP145" s="37" t="b">
        <f>IFERROR(__xludf.DUMMYFUNCTION("if(isblank(A145),,REGEXMATCH(B145,""^((I ?vs\. ?(U ?D|D ?U))|((D ?U|U ?D) ?vs\. ?I)) *$""))"),FALSE)</f>
        <v>0</v>
      </c>
      <c r="AQ145" s="37" t="b">
        <f>IFERROR(__xludf.DUMMYFUNCTION("if(isblank(A145),,REGEXMATCH(B145,""^((D ?vs\. ?(U ?D|D ?U))|((D ?U|U ?D) ?vs\. ?D)) *$""))"),FALSE)</f>
        <v>0</v>
      </c>
      <c r="AR145" s="37" t="b">
        <f>IFERROR(__xludf.DUMMYFUNCTION("if(isblank(A145),,REGEXMATCH(B145,""^((U ?vs\. ?(U ?D|D ?U))|((D ?U|U ?D) ?vs\. ?U)) *$""))"),FALSE)</f>
        <v>0</v>
      </c>
      <c r="AS145" s="37" t="b">
        <f>IFERROR(__xludf.DUMMYFUNCTION("if(isblank(A145),,REGEXMATCH(B145,""^((D ?I|I ?D) ?vs\. ?(D ?I|I ?D)) *$""))"),FALSE)</f>
        <v>0</v>
      </c>
      <c r="AT145" s="37" t="b">
        <f>IFERROR(__xludf.DUMMYFUNCTION("if(isblank(A145),,REGEXMATCH(B145,""^((D ?I|I ?D) ?vs\. ?(U ?I|I ?U))|((U ?I|I ?U) ?vs\. ?(D ?I|I ?D)) *$""))"),FALSE)</f>
        <v>0</v>
      </c>
      <c r="AU145" s="37" t="b">
        <f>IFERROR(__xludf.DUMMYFUNCTION("if(isblank(A145),,REGEXMATCH(B145,""^((D ?I|I ?D) ?vs\. ?(U ?D|D ?U))|((U ?D|D ?U) ?vs\. ?(D ?I|I ?D)) *$""))"),FALSE)</f>
        <v>0</v>
      </c>
      <c r="AV145" s="37" t="b">
        <f>IFERROR(__xludf.DUMMYFUNCTION("if(isblank(A145),,REGEXMATCH(B145,""^((U ?I|I ?U) ?vs\. ?(U ?I|I ?U)) *$""))"),FALSE)</f>
        <v>0</v>
      </c>
    </row>
    <row r="146" ht="26.25" customHeight="1">
      <c r="A146" s="79" t="str">
        <f>Paper_Textual_Conflict!M146</f>
        <v>D U vs. D I(Java code)
Origin(D I vs. D I )
R includes L</v>
      </c>
      <c r="B146" s="37" t="str">
        <f>IFERROR(__xludf.DUMMYFUNCTION("if(isblank(A146),,regexextract(REGEXEXTRACT(A146,""^.*""),""^[^(]*""))"),"D U vs. D I")</f>
        <v>D U vs. D I</v>
      </c>
      <c r="C146" s="37" t="b">
        <f>IFERROR(__xludf.DUMMYFUNCTION("if(isblank(A146),,REGEXMATCH(B146,"".*\+.*"") )"),FALSE)</f>
        <v>0</v>
      </c>
      <c r="D146" s="37" t="b">
        <f>IFERROR(__xludf.DUMMYFUNCTION("if(isblank(A146),,REGEXMATCH(B146,"".*vs.*"") )"),TRUE)</f>
        <v>1</v>
      </c>
      <c r="E146" s="37" t="b">
        <f>Paper_Textual_Conflict!H146</f>
        <v>1</v>
      </c>
      <c r="F146" s="37" t="str">
        <f>Paper_Textual_Conflict!Q146</f>
        <v>Java</v>
      </c>
      <c r="G146" s="33">
        <v>146.0</v>
      </c>
      <c r="H146" s="37" t="b">
        <f>IFERROR(__xludf.DUMMYFUNCTION("if(isblank(A146),,REGEXMATCH(B146,""^I *\+ I *$""))"),FALSE)</f>
        <v>0</v>
      </c>
      <c r="I146" s="37" t="b">
        <f>IFERROR(__xludf.DUMMYFUNCTION("if(isblank(A146),,REGEXMATCH(B146,""(^I *\+ D *$)|(^D *\+ I *$)""))"),FALSE)</f>
        <v>0</v>
      </c>
      <c r="J146" s="37" t="b">
        <f>IFERROR(__xludf.DUMMYFUNCTION("if(isblank(A146),,REGEXMATCH(B146,""(^I *\+ U *$)|(^U *\+ I *$)""))"),FALSE)</f>
        <v>0</v>
      </c>
      <c r="K146" s="37" t="b">
        <f>IFERROR(__xludf.DUMMYFUNCTION("if(isblank(A146),,REGEXMATCH(B146,""(^I *\+ N *$)|(^N *\+ I *$)"") )"),FALSE)</f>
        <v>0</v>
      </c>
      <c r="L146" s="37" t="b">
        <f>IFERROR(__xludf.DUMMYFUNCTION("if(isblank(A146),,REGEXMATCH(B146,""^D *\+ D *$""))"),FALSE)</f>
        <v>0</v>
      </c>
      <c r="M146" s="37" t="b">
        <f>IFERROR(__xludf.DUMMYFUNCTION("if(isblank(A146),,REGEXMATCH(B146,""(^U *\+ D *$)|(^D *\+ U *$)""))"),FALSE)</f>
        <v>0</v>
      </c>
      <c r="N146" s="37" t="b">
        <f>IFERROR(__xludf.DUMMYFUNCTION("if(isblank(A146),,REGEXMATCH(B146,""(^N *\+ D *$)|(^D *\+ N *$)""))"),FALSE)</f>
        <v>0</v>
      </c>
      <c r="O146" s="37" t="b">
        <f>IFERROR(__xludf.DUMMYFUNCTION("if(isblank(A146),,REGEXMATCH(B146,""^U *\+ U *$""))"),FALSE)</f>
        <v>0</v>
      </c>
      <c r="P146" s="37" t="b">
        <f>IFERROR(__xludf.DUMMYFUNCTION("if(isblank(A146),,REGEXMATCH(B146,""(^U *\+ N *$)|(^N *\+ U *$)""))"),FALSE)</f>
        <v>0</v>
      </c>
      <c r="Q146" s="37" t="b">
        <f>IFERROR(__xludf.DUMMYFUNCTION("if(isblank(A146),,REGEXMATCH(B146,""^((I ?\+ ?(D ?I|I ?D))|((D ?I|I ?D) ?\+ ?I)) *$""))"),FALSE)</f>
        <v>0</v>
      </c>
      <c r="R146" s="37" t="b">
        <f>IFERROR(__xludf.DUMMYFUNCTION("if(isblank(A146),,REGEXMATCH(B146,""^((D ?\+ ?(D ?I|I ?D))|((D ?I|I ?D) ?\+ ?D)) *$""))"),FALSE)</f>
        <v>0</v>
      </c>
      <c r="S146" s="37" t="b">
        <f>IFERROR(__xludf.DUMMYFUNCTION("if(isblank(A146),,REGEXMATCH(B146,""^((U ?\+ ?(D ?I|I ?D))|((D ?I|I ?D) ?\+ ?U)) *$""))"),FALSE)</f>
        <v>0</v>
      </c>
      <c r="T146" s="37" t="b">
        <f>IFERROR(__xludf.DUMMYFUNCTION("if(isblank(A146),,REGEXMATCH(B146,""^((N ?\+ ?(D ?I|I ?D))|((D ?I|I ?D) ?\+ ?N)) *$""))"),FALSE)</f>
        <v>0</v>
      </c>
      <c r="U146" s="37" t="b">
        <f>IFERROR(__xludf.DUMMYFUNCTION("if(isblank(A146),,REGEXMATCH(B146,""^((I ?\+ ?(U ?I|I ?U))|((I ?U|U ?I) ?\+ ?I)) *$""))"),FALSE)</f>
        <v>0</v>
      </c>
      <c r="V146" s="37" t="b">
        <f>IFERROR(__xludf.DUMMYFUNCTION("if(isblank(A146),,REGEXMATCH(B146,""^((D ?\+ ?(U ?I|I ?U))|((I ?U|U ?I) ?\+ ?D)) *$""))"),FALSE)</f>
        <v>0</v>
      </c>
      <c r="W146" s="37" t="b">
        <f>IFERROR(__xludf.DUMMYFUNCTION("if(isblank(A146),,REGEXMATCH(B146,""^((U ?\+ ?(U ?I|I ?U))|((I ?U|U ?I) ?\+ ?U)) *$""))"),FALSE)</f>
        <v>0</v>
      </c>
      <c r="X146" s="37" t="b">
        <f>IFERROR(__xludf.DUMMYFUNCTION("if(isblank(A146),,REGEXMATCH(B146,""^((N ?\+ ?(U ?I|I ?U))|((I ?U|U ?I) ?\+ ?N)) *$""))"),FALSE)</f>
        <v>0</v>
      </c>
      <c r="Y146" s="37" t="b">
        <f>IFERROR(__xludf.DUMMYFUNCTION("if(isblank(A146),,REGEXMATCH(B146,""^((I ?\+ ?(U ?D|D ?U))|((D ?U|U ?D) ?\+ ?I)) *$""))"),FALSE)</f>
        <v>0</v>
      </c>
      <c r="Z146" s="37" t="b">
        <f>IFERROR(__xludf.DUMMYFUNCTION("if(isblank(A146),,REGEXMATCH(B146,""^((D ?\+ ?(U ?D|D ?U))|((D ?U|U ?D) ?\+ ?D)) *$""))"),FALSE)</f>
        <v>0</v>
      </c>
      <c r="AA146" s="37" t="b">
        <f>IFERROR(__xludf.DUMMYFUNCTION("if(isblank(A146),,REGEXMATCH(B146,""^((U ?\+ ?(U ?D|D ?U))|((D ?U|U ?D) ?\+ ?U)) *$""))"),FALSE)</f>
        <v>0</v>
      </c>
      <c r="AB146" s="37" t="b">
        <f>IFERROR(__xludf.DUMMYFUNCTION("if(isblank(A146),,REGEXMATCH(B146,""^((D ?I|I ?D) ?\+ ?(D ?I|I ?D)) *$""))"),FALSE)</f>
        <v>0</v>
      </c>
      <c r="AC146" s="37" t="b">
        <f>IFERROR(__xludf.DUMMYFUNCTION("if(isblank(A146),,REGEXMATCH(B146,""^((D ?I|I ?D) ?\+ ?(U ?I|I ?U))|((U ?I|I ?U) ?\+ ?(D ?I|I ?D)) *$""))"),FALSE)</f>
        <v>0</v>
      </c>
      <c r="AD146" s="37" t="b">
        <f>IFERROR(__xludf.DUMMYFUNCTION("if(isblank(A146),,REGEXMATCH(B146,""^I *vs\. I *$""))"),FALSE)</f>
        <v>0</v>
      </c>
      <c r="AE146" s="37" t="b">
        <f>IFERROR(__xludf.DUMMYFUNCTION("if(isblank(A146),,REGEXMATCH(B146,""(^I *vs\. D *$)|(^D *vs\. I *$)""))"),FALSE)</f>
        <v>0</v>
      </c>
      <c r="AF146" s="37" t="b">
        <f>IFERROR(__xludf.DUMMYFUNCTION("if(isblank(A146),,REGEXMATCH(B146,""(^I *vs\. U *$)|(^U *vs\. I *$)""))"),FALSE)</f>
        <v>0</v>
      </c>
      <c r="AG146" s="37" t="b">
        <f>IFERROR(__xludf.DUMMYFUNCTION("if(isblank(A146),,REGEXMATCH(B146,""^D *vs\. D *$""))"),FALSE)</f>
        <v>0</v>
      </c>
      <c r="AH146" s="37" t="b">
        <f>IFERROR(__xludf.DUMMYFUNCTION("if(isblank(A146),,REGEXMATCH(B146,""(^U *vs\. D *$)|(^D *vs\. U *$)""))"),FALSE)</f>
        <v>0</v>
      </c>
      <c r="AI146" s="37" t="b">
        <f>IFERROR(__xludf.DUMMYFUNCTION("if(isblank(A146),,REGEXMATCH(B146,""^U *vs\. U *$""))"),FALSE)</f>
        <v>0</v>
      </c>
      <c r="AJ146" s="37" t="b">
        <f>IFERROR(__xludf.DUMMYFUNCTION("if(isblank(A146),,REGEXMATCH(B146,""^((I ?vs\. ?(D ?I|I ?D))|((D ?I|I ?D) ?vs\. ?I)) *$""))"),FALSE)</f>
        <v>0</v>
      </c>
      <c r="AK146" s="37" t="b">
        <f>IFERROR(__xludf.DUMMYFUNCTION("if(isblank(A146),,REGEXMATCH(B146,""^((D ?vs\. ?(D ?I|I ?D))|((D ?I|I ?D) ?vs\. ?D)) *$""))"),FALSE)</f>
        <v>0</v>
      </c>
      <c r="AL146" s="37" t="b">
        <f>IFERROR(__xludf.DUMMYFUNCTION("if(isblank(A146),,REGEXMATCH(B146,""^((U ?vs\. ?(D ?I|I ?D))|((D ?I|I ?D) ?vs\. ?U)) *$""))"),FALSE)</f>
        <v>0</v>
      </c>
      <c r="AM146" s="37" t="b">
        <f>IFERROR(__xludf.DUMMYFUNCTION("if(isblank(A146),,REGEXMATCH(B146,""^((I ?vs\. ?(U ?I|I ?U))|((U ?I|I ?U) ?vs\. ?I)) *$""))"),FALSE)</f>
        <v>0</v>
      </c>
      <c r="AN146" s="37" t="b">
        <f>IFERROR(__xludf.DUMMYFUNCTION("if(isblank(A146),,REGEXMATCH(B146,""^((D ?vs\. ?(U ?I|I ?U))|((U ?I|I ?U) ?vs\. ?D)) *$""))"),FALSE)</f>
        <v>0</v>
      </c>
      <c r="AO146" s="37" t="b">
        <f>IFERROR(__xludf.DUMMYFUNCTION("if(isblank(A146),,REGEXMATCH(B146,""^((U ?vs\. ?(U ?I|I ?U))|((U ?I|I ?U) ?vs\. ?U)) *$""))"),FALSE)</f>
        <v>0</v>
      </c>
      <c r="AP146" s="37" t="b">
        <f>IFERROR(__xludf.DUMMYFUNCTION("if(isblank(A146),,REGEXMATCH(B146,""^((I ?vs\. ?(U ?D|D ?U))|((D ?U|U ?D) ?vs\. ?I)) *$""))"),FALSE)</f>
        <v>0</v>
      </c>
      <c r="AQ146" s="37" t="b">
        <f>IFERROR(__xludf.DUMMYFUNCTION("if(isblank(A146),,REGEXMATCH(B146,""^((D ?vs\. ?(U ?D|D ?U))|((D ?U|U ?D) ?vs\. ?D)) *$""))"),FALSE)</f>
        <v>0</v>
      </c>
      <c r="AR146" s="37" t="b">
        <f>IFERROR(__xludf.DUMMYFUNCTION("if(isblank(A146),,REGEXMATCH(B146,""^((U ?vs\. ?(U ?D|D ?U))|((D ?U|U ?D) ?vs\. ?U)) *$""))"),FALSE)</f>
        <v>0</v>
      </c>
      <c r="AS146" s="37" t="b">
        <f>IFERROR(__xludf.DUMMYFUNCTION("if(isblank(A146),,REGEXMATCH(B146,""^((D ?I|I ?D) ?vs\. ?(D ?I|I ?D)) *$""))"),FALSE)</f>
        <v>0</v>
      </c>
      <c r="AT146" s="37" t="b">
        <f>IFERROR(__xludf.DUMMYFUNCTION("if(isblank(A146),,REGEXMATCH(B146,""^((D ?I|I ?D) ?vs\. ?(U ?I|I ?U))|((U ?I|I ?U) ?vs\. ?(D ?I|I ?D)) *$""))"),FALSE)</f>
        <v>0</v>
      </c>
      <c r="AU146" s="37" t="b">
        <f>IFERROR(__xludf.DUMMYFUNCTION("if(isblank(A146),,REGEXMATCH(B146,""^((D ?I|I ?D) ?vs\. ?(U ?D|D ?U))|((U ?D|D ?U) ?vs\. ?(D ?I|I ?D)) *$""))"),TRUE)</f>
        <v>1</v>
      </c>
      <c r="AV146" s="37" t="b">
        <f>IFERROR(__xludf.DUMMYFUNCTION("if(isblank(A146),,REGEXMATCH(B146,""^((U ?I|I ?U) ?vs\. ?(U ?I|I ?U)) *$""))"),FALSE)</f>
        <v>0</v>
      </c>
    </row>
    <row r="147" ht="26.25" customHeight="1">
      <c r="A147" s="79" t="str">
        <f>Paper_Textual_Conflict!M147</f>
        <v>D vs. D I (import)</v>
      </c>
      <c r="B147" s="37" t="str">
        <f>IFERROR(__xludf.DUMMYFUNCTION("if(isblank(A147),,regexextract(REGEXEXTRACT(A147,""^.*""),""^[^(]*""))"),"D vs. D I ")</f>
        <v>D vs. D I </v>
      </c>
      <c r="C147" s="37" t="b">
        <f>IFERROR(__xludf.DUMMYFUNCTION("if(isblank(A147),,REGEXMATCH(B147,"".*\+.*"") )"),FALSE)</f>
        <v>0</v>
      </c>
      <c r="D147" s="37" t="b">
        <f>IFERROR(__xludf.DUMMYFUNCTION("if(isblank(A147),,REGEXMATCH(B147,"".*vs.*"") )"),TRUE)</f>
        <v>1</v>
      </c>
      <c r="E147" s="37" t="b">
        <f>Paper_Textual_Conflict!H147</f>
        <v>1</v>
      </c>
      <c r="F147" s="37" t="str">
        <f>Paper_Textual_Conflict!Q147</f>
        <v>Java</v>
      </c>
      <c r="G147" s="33">
        <v>147.0</v>
      </c>
      <c r="H147" s="37" t="b">
        <f>IFERROR(__xludf.DUMMYFUNCTION("if(isblank(A147),,REGEXMATCH(B147,""^I *\+ I *$""))"),FALSE)</f>
        <v>0</v>
      </c>
      <c r="I147" s="37" t="b">
        <f>IFERROR(__xludf.DUMMYFUNCTION("if(isblank(A147),,REGEXMATCH(B147,""(^I *\+ D *$)|(^D *\+ I *$)""))"),FALSE)</f>
        <v>0</v>
      </c>
      <c r="J147" s="37" t="b">
        <f>IFERROR(__xludf.DUMMYFUNCTION("if(isblank(A147),,REGEXMATCH(B147,""(^I *\+ U *$)|(^U *\+ I *$)""))"),FALSE)</f>
        <v>0</v>
      </c>
      <c r="K147" s="37" t="b">
        <f>IFERROR(__xludf.DUMMYFUNCTION("if(isblank(A147),,REGEXMATCH(B147,""(^I *\+ N *$)|(^N *\+ I *$)"") )"),FALSE)</f>
        <v>0</v>
      </c>
      <c r="L147" s="37" t="b">
        <f>IFERROR(__xludf.DUMMYFUNCTION("if(isblank(A147),,REGEXMATCH(B147,""^D *\+ D *$""))"),FALSE)</f>
        <v>0</v>
      </c>
      <c r="M147" s="37" t="b">
        <f>IFERROR(__xludf.DUMMYFUNCTION("if(isblank(A147),,REGEXMATCH(B147,""(^U *\+ D *$)|(^D *\+ U *$)""))"),FALSE)</f>
        <v>0</v>
      </c>
      <c r="N147" s="37" t="b">
        <f>IFERROR(__xludf.DUMMYFUNCTION("if(isblank(A147),,REGEXMATCH(B147,""(^N *\+ D *$)|(^D *\+ N *$)""))"),FALSE)</f>
        <v>0</v>
      </c>
      <c r="O147" s="37" t="b">
        <f>IFERROR(__xludf.DUMMYFUNCTION("if(isblank(A147),,REGEXMATCH(B147,""^U *\+ U *$""))"),FALSE)</f>
        <v>0</v>
      </c>
      <c r="P147" s="37" t="b">
        <f>IFERROR(__xludf.DUMMYFUNCTION("if(isblank(A147),,REGEXMATCH(B147,""(^U *\+ N *$)|(^N *\+ U *$)""))"),FALSE)</f>
        <v>0</v>
      </c>
      <c r="Q147" s="37" t="b">
        <f>IFERROR(__xludf.DUMMYFUNCTION("if(isblank(A147),,REGEXMATCH(B147,""^((I ?\+ ?(D ?I|I ?D))|((D ?I|I ?D) ?\+ ?I)) *$""))"),FALSE)</f>
        <v>0</v>
      </c>
      <c r="R147" s="37" t="b">
        <f>IFERROR(__xludf.DUMMYFUNCTION("if(isblank(A147),,REGEXMATCH(B147,""^((D ?\+ ?(D ?I|I ?D))|((D ?I|I ?D) ?\+ ?D)) *$""))"),FALSE)</f>
        <v>0</v>
      </c>
      <c r="S147" s="37" t="b">
        <f>IFERROR(__xludf.DUMMYFUNCTION("if(isblank(A147),,REGEXMATCH(B147,""^((U ?\+ ?(D ?I|I ?D))|((D ?I|I ?D) ?\+ ?U)) *$""))"),FALSE)</f>
        <v>0</v>
      </c>
      <c r="T147" s="37" t="b">
        <f>IFERROR(__xludf.DUMMYFUNCTION("if(isblank(A147),,REGEXMATCH(B147,""^((N ?\+ ?(D ?I|I ?D))|((D ?I|I ?D) ?\+ ?N)) *$""))"),FALSE)</f>
        <v>0</v>
      </c>
      <c r="U147" s="37" t="b">
        <f>IFERROR(__xludf.DUMMYFUNCTION("if(isblank(A147),,REGEXMATCH(B147,""^((I ?\+ ?(U ?I|I ?U))|((I ?U|U ?I) ?\+ ?I)) *$""))"),FALSE)</f>
        <v>0</v>
      </c>
      <c r="V147" s="37" t="b">
        <f>IFERROR(__xludf.DUMMYFUNCTION("if(isblank(A147),,REGEXMATCH(B147,""^((D ?\+ ?(U ?I|I ?U))|((I ?U|U ?I) ?\+ ?D)) *$""))"),FALSE)</f>
        <v>0</v>
      </c>
      <c r="W147" s="37" t="b">
        <f>IFERROR(__xludf.DUMMYFUNCTION("if(isblank(A147),,REGEXMATCH(B147,""^((U ?\+ ?(U ?I|I ?U))|((I ?U|U ?I) ?\+ ?U)) *$""))"),FALSE)</f>
        <v>0</v>
      </c>
      <c r="X147" s="37" t="b">
        <f>IFERROR(__xludf.DUMMYFUNCTION("if(isblank(A147),,REGEXMATCH(B147,""^((N ?\+ ?(U ?I|I ?U))|((I ?U|U ?I) ?\+ ?N)) *$""))"),FALSE)</f>
        <v>0</v>
      </c>
      <c r="Y147" s="37" t="b">
        <f>IFERROR(__xludf.DUMMYFUNCTION("if(isblank(A147),,REGEXMATCH(B147,""^((I ?\+ ?(U ?D|D ?U))|((D ?U|U ?D) ?\+ ?I)) *$""))"),FALSE)</f>
        <v>0</v>
      </c>
      <c r="Z147" s="37" t="b">
        <f>IFERROR(__xludf.DUMMYFUNCTION("if(isblank(A147),,REGEXMATCH(B147,""^((D ?\+ ?(U ?D|D ?U))|((D ?U|U ?D) ?\+ ?D)) *$""))"),FALSE)</f>
        <v>0</v>
      </c>
      <c r="AA147" s="37" t="b">
        <f>IFERROR(__xludf.DUMMYFUNCTION("if(isblank(A147),,REGEXMATCH(B147,""^((U ?\+ ?(U ?D|D ?U))|((D ?U|U ?D) ?\+ ?U)) *$""))"),FALSE)</f>
        <v>0</v>
      </c>
      <c r="AB147" s="37" t="b">
        <f>IFERROR(__xludf.DUMMYFUNCTION("if(isblank(A147),,REGEXMATCH(B147,""^((D ?I|I ?D) ?\+ ?(D ?I|I ?D)) *$""))"),FALSE)</f>
        <v>0</v>
      </c>
      <c r="AC147" s="37" t="b">
        <f>IFERROR(__xludf.DUMMYFUNCTION("if(isblank(A147),,REGEXMATCH(B147,""^((D ?I|I ?D) ?\+ ?(U ?I|I ?U))|((U ?I|I ?U) ?\+ ?(D ?I|I ?D)) *$""))"),FALSE)</f>
        <v>0</v>
      </c>
      <c r="AD147" s="37" t="b">
        <f>IFERROR(__xludf.DUMMYFUNCTION("if(isblank(A147),,REGEXMATCH(B147,""^I *vs\. I *$""))"),FALSE)</f>
        <v>0</v>
      </c>
      <c r="AE147" s="37" t="b">
        <f>IFERROR(__xludf.DUMMYFUNCTION("if(isblank(A147),,REGEXMATCH(B147,""(^I *vs\. D *$)|(^D *vs\. I *$)""))"),FALSE)</f>
        <v>0</v>
      </c>
      <c r="AF147" s="37" t="b">
        <f>IFERROR(__xludf.DUMMYFUNCTION("if(isblank(A147),,REGEXMATCH(B147,""(^I *vs\. U *$)|(^U *vs\. I *$)""))"),FALSE)</f>
        <v>0</v>
      </c>
      <c r="AG147" s="37" t="b">
        <f>IFERROR(__xludf.DUMMYFUNCTION("if(isblank(A147),,REGEXMATCH(B147,""^D *vs\. D *$""))"),FALSE)</f>
        <v>0</v>
      </c>
      <c r="AH147" s="37" t="b">
        <f>IFERROR(__xludf.DUMMYFUNCTION("if(isblank(A147),,REGEXMATCH(B147,""(^U *vs\. D *$)|(^D *vs\. U *$)""))"),FALSE)</f>
        <v>0</v>
      </c>
      <c r="AI147" s="37" t="b">
        <f>IFERROR(__xludf.DUMMYFUNCTION("if(isblank(A147),,REGEXMATCH(B147,""^U *vs\. U *$""))"),FALSE)</f>
        <v>0</v>
      </c>
      <c r="AJ147" s="37" t="b">
        <f>IFERROR(__xludf.DUMMYFUNCTION("if(isblank(A147),,REGEXMATCH(B147,""^((I ?vs\. ?(D ?I|I ?D))|((D ?I|I ?D) ?vs\. ?I)) *$""))"),FALSE)</f>
        <v>0</v>
      </c>
      <c r="AK147" s="37" t="b">
        <f>IFERROR(__xludf.DUMMYFUNCTION("if(isblank(A147),,REGEXMATCH(B147,""^((D ?vs\. ?(D ?I|I ?D))|((D ?I|I ?D) ?vs\. ?D)) *$""))"),TRUE)</f>
        <v>1</v>
      </c>
      <c r="AL147" s="37" t="b">
        <f>IFERROR(__xludf.DUMMYFUNCTION("if(isblank(A147),,REGEXMATCH(B147,""^((U ?vs\. ?(D ?I|I ?D))|((D ?I|I ?D) ?vs\. ?U)) *$""))"),FALSE)</f>
        <v>0</v>
      </c>
      <c r="AM147" s="37" t="b">
        <f>IFERROR(__xludf.DUMMYFUNCTION("if(isblank(A147),,REGEXMATCH(B147,""^((I ?vs\. ?(U ?I|I ?U))|((U ?I|I ?U) ?vs\. ?I)) *$""))"),FALSE)</f>
        <v>0</v>
      </c>
      <c r="AN147" s="37" t="b">
        <f>IFERROR(__xludf.DUMMYFUNCTION("if(isblank(A147),,REGEXMATCH(B147,""^((D ?vs\. ?(U ?I|I ?U))|((U ?I|I ?U) ?vs\. ?D)) *$""))"),FALSE)</f>
        <v>0</v>
      </c>
      <c r="AO147" s="37" t="b">
        <f>IFERROR(__xludf.DUMMYFUNCTION("if(isblank(A147),,REGEXMATCH(B147,""^((U ?vs\. ?(U ?I|I ?U))|((U ?I|I ?U) ?vs\. ?U)) *$""))"),FALSE)</f>
        <v>0</v>
      </c>
      <c r="AP147" s="37" t="b">
        <f>IFERROR(__xludf.DUMMYFUNCTION("if(isblank(A147),,REGEXMATCH(B147,""^((I ?vs\. ?(U ?D|D ?U))|((D ?U|U ?D) ?vs\. ?I)) *$""))"),FALSE)</f>
        <v>0</v>
      </c>
      <c r="AQ147" s="37" t="b">
        <f>IFERROR(__xludf.DUMMYFUNCTION("if(isblank(A147),,REGEXMATCH(B147,""^((D ?vs\. ?(U ?D|D ?U))|((D ?U|U ?D) ?vs\. ?D)) *$""))"),FALSE)</f>
        <v>0</v>
      </c>
      <c r="AR147" s="37" t="b">
        <f>IFERROR(__xludf.DUMMYFUNCTION("if(isblank(A147),,REGEXMATCH(B147,""^((U ?vs\. ?(U ?D|D ?U))|((D ?U|U ?D) ?vs\. ?U)) *$""))"),FALSE)</f>
        <v>0</v>
      </c>
      <c r="AS147" s="37" t="b">
        <f>IFERROR(__xludf.DUMMYFUNCTION("if(isblank(A147),,REGEXMATCH(B147,""^((D ?I|I ?D) ?vs\. ?(D ?I|I ?D)) *$""))"),FALSE)</f>
        <v>0</v>
      </c>
      <c r="AT147" s="37" t="b">
        <f>IFERROR(__xludf.DUMMYFUNCTION("if(isblank(A147),,REGEXMATCH(B147,""^((D ?I|I ?D) ?vs\. ?(U ?I|I ?U))|((U ?I|I ?U) ?vs\. ?(D ?I|I ?D)) *$""))"),FALSE)</f>
        <v>0</v>
      </c>
      <c r="AU147" s="37" t="b">
        <f>IFERROR(__xludf.DUMMYFUNCTION("if(isblank(A147),,REGEXMATCH(B147,""^((D ?I|I ?D) ?vs\. ?(U ?D|D ?U))|((U ?D|D ?U) ?vs\. ?(D ?I|I ?D)) *$""))"),FALSE)</f>
        <v>0</v>
      </c>
      <c r="AV147" s="37" t="b">
        <f>IFERROR(__xludf.DUMMYFUNCTION("if(isblank(A147),,REGEXMATCH(B147,""^((U ?I|I ?U) ?vs\. ?(U ?I|I ?U)) *$""))"),FALSE)</f>
        <v>0</v>
      </c>
    </row>
    <row r="148" ht="26.25" customHeight="1">
      <c r="A148" s="79" t="str">
        <f>Paper_Textual_Conflict!M148</f>
        <v>U + D I (Java code)
Origin(U + U)</v>
      </c>
      <c r="B148" s="37" t="str">
        <f>IFERROR(__xludf.DUMMYFUNCTION("if(isblank(A148),,regexextract(REGEXEXTRACT(A148,""^.*""),""^[^(]*""))"),"U + D I ")</f>
        <v>U + D I </v>
      </c>
      <c r="C148" s="37" t="b">
        <f>IFERROR(__xludf.DUMMYFUNCTION("if(isblank(A148),,REGEXMATCH(B148,"".*\+.*"") )"),TRUE)</f>
        <v>1</v>
      </c>
      <c r="D148" s="37" t="b">
        <f>IFERROR(__xludf.DUMMYFUNCTION("if(isblank(A148),,REGEXMATCH(B148,"".*vs.*"") )"),FALSE)</f>
        <v>0</v>
      </c>
      <c r="E148" s="37" t="b">
        <f>Paper_Textual_Conflict!H148</f>
        <v>0</v>
      </c>
      <c r="F148" s="37" t="str">
        <f>Paper_Textual_Conflict!Q148</f>
        <v>Java</v>
      </c>
      <c r="G148" s="33">
        <v>148.0</v>
      </c>
      <c r="H148" s="37" t="b">
        <f>IFERROR(__xludf.DUMMYFUNCTION("if(isblank(A148),,REGEXMATCH(B148,""^I *\+ I *$""))"),FALSE)</f>
        <v>0</v>
      </c>
      <c r="I148" s="37" t="b">
        <f>IFERROR(__xludf.DUMMYFUNCTION("if(isblank(A148),,REGEXMATCH(B148,""(^I *\+ D *$)|(^D *\+ I *$)""))"),FALSE)</f>
        <v>0</v>
      </c>
      <c r="J148" s="37" t="b">
        <f>IFERROR(__xludf.DUMMYFUNCTION("if(isblank(A148),,REGEXMATCH(B148,""(^I *\+ U *$)|(^U *\+ I *$)""))"),FALSE)</f>
        <v>0</v>
      </c>
      <c r="K148" s="37" t="b">
        <f>IFERROR(__xludf.DUMMYFUNCTION("if(isblank(A148),,REGEXMATCH(B148,""(^I *\+ N *$)|(^N *\+ I *$)"") )"),FALSE)</f>
        <v>0</v>
      </c>
      <c r="L148" s="37" t="b">
        <f>IFERROR(__xludf.DUMMYFUNCTION("if(isblank(A148),,REGEXMATCH(B148,""^D *\+ D *$""))"),FALSE)</f>
        <v>0</v>
      </c>
      <c r="M148" s="37" t="b">
        <f>IFERROR(__xludf.DUMMYFUNCTION("if(isblank(A148),,REGEXMATCH(B148,""(^U *\+ D *$)|(^D *\+ U *$)""))"),FALSE)</f>
        <v>0</v>
      </c>
      <c r="N148" s="37" t="b">
        <f>IFERROR(__xludf.DUMMYFUNCTION("if(isblank(A148),,REGEXMATCH(B148,""(^N *\+ D *$)|(^D *\+ N *$)""))"),FALSE)</f>
        <v>0</v>
      </c>
      <c r="O148" s="37" t="b">
        <f>IFERROR(__xludf.DUMMYFUNCTION("if(isblank(A148),,REGEXMATCH(B148,""^U *\+ U *$""))"),FALSE)</f>
        <v>0</v>
      </c>
      <c r="P148" s="37" t="b">
        <f>IFERROR(__xludf.DUMMYFUNCTION("if(isblank(A148),,REGEXMATCH(B148,""(^U *\+ N *$)|(^N *\+ U *$)""))"),FALSE)</f>
        <v>0</v>
      </c>
      <c r="Q148" s="37" t="b">
        <f>IFERROR(__xludf.DUMMYFUNCTION("if(isblank(A148),,REGEXMATCH(B148,""^((I ?\+ ?(D ?I|I ?D))|((D ?I|I ?D) ?\+ ?I)) *$""))"),FALSE)</f>
        <v>0</v>
      </c>
      <c r="R148" s="37" t="b">
        <f>IFERROR(__xludf.DUMMYFUNCTION("if(isblank(A148),,REGEXMATCH(B148,""^((D ?\+ ?(D ?I|I ?D))|((D ?I|I ?D) ?\+ ?D)) *$""))"),FALSE)</f>
        <v>0</v>
      </c>
      <c r="S148" s="37" t="b">
        <f>IFERROR(__xludf.DUMMYFUNCTION("if(isblank(A148),,REGEXMATCH(B148,""^((U ?\+ ?(D ?I|I ?D))|((D ?I|I ?D) ?\+ ?U)) *$""))"),TRUE)</f>
        <v>1</v>
      </c>
      <c r="T148" s="37" t="b">
        <f>IFERROR(__xludf.DUMMYFUNCTION("if(isblank(A148),,REGEXMATCH(B148,""^((N ?\+ ?(D ?I|I ?D))|((D ?I|I ?D) ?\+ ?N)) *$""))"),FALSE)</f>
        <v>0</v>
      </c>
      <c r="U148" s="37" t="b">
        <f>IFERROR(__xludf.DUMMYFUNCTION("if(isblank(A148),,REGEXMATCH(B148,""^((I ?\+ ?(U ?I|I ?U))|((I ?U|U ?I) ?\+ ?I)) *$""))"),FALSE)</f>
        <v>0</v>
      </c>
      <c r="V148" s="37" t="b">
        <f>IFERROR(__xludf.DUMMYFUNCTION("if(isblank(A148),,REGEXMATCH(B148,""^((D ?\+ ?(U ?I|I ?U))|((I ?U|U ?I) ?\+ ?D)) *$""))"),FALSE)</f>
        <v>0</v>
      </c>
      <c r="W148" s="37" t="b">
        <f>IFERROR(__xludf.DUMMYFUNCTION("if(isblank(A148),,REGEXMATCH(B148,""^((U ?\+ ?(U ?I|I ?U))|((I ?U|U ?I) ?\+ ?U)) *$""))"),FALSE)</f>
        <v>0</v>
      </c>
      <c r="X148" s="37" t="b">
        <f>IFERROR(__xludf.DUMMYFUNCTION("if(isblank(A148),,REGEXMATCH(B148,""^((N ?\+ ?(U ?I|I ?U))|((I ?U|U ?I) ?\+ ?N)) *$""))"),FALSE)</f>
        <v>0</v>
      </c>
      <c r="Y148" s="37" t="b">
        <f>IFERROR(__xludf.DUMMYFUNCTION("if(isblank(A148),,REGEXMATCH(B148,""^((I ?\+ ?(U ?D|D ?U))|((D ?U|U ?D) ?\+ ?I)) *$""))"),FALSE)</f>
        <v>0</v>
      </c>
      <c r="Z148" s="37" t="b">
        <f>IFERROR(__xludf.DUMMYFUNCTION("if(isblank(A148),,REGEXMATCH(B148,""^((D ?\+ ?(U ?D|D ?U))|((D ?U|U ?D) ?\+ ?D)) *$""))"),FALSE)</f>
        <v>0</v>
      </c>
      <c r="AA148" s="37" t="b">
        <f>IFERROR(__xludf.DUMMYFUNCTION("if(isblank(A148),,REGEXMATCH(B148,""^((U ?\+ ?(U ?D|D ?U))|((D ?U|U ?D) ?\+ ?U)) *$""))"),FALSE)</f>
        <v>0</v>
      </c>
      <c r="AB148" s="37" t="b">
        <f>IFERROR(__xludf.DUMMYFUNCTION("if(isblank(A148),,REGEXMATCH(B148,""^((D ?I|I ?D) ?\+ ?(D ?I|I ?D)) *$""))"),FALSE)</f>
        <v>0</v>
      </c>
      <c r="AC148" s="37" t="b">
        <f>IFERROR(__xludf.DUMMYFUNCTION("if(isblank(A148),,REGEXMATCH(B148,""^((D ?I|I ?D) ?\+ ?(U ?I|I ?U))|((U ?I|I ?U) ?\+ ?(D ?I|I ?D)) *$""))"),FALSE)</f>
        <v>0</v>
      </c>
      <c r="AD148" s="37" t="b">
        <f>IFERROR(__xludf.DUMMYFUNCTION("if(isblank(A148),,REGEXMATCH(B148,""^I *vs\. I *$""))"),FALSE)</f>
        <v>0</v>
      </c>
      <c r="AE148" s="37" t="b">
        <f>IFERROR(__xludf.DUMMYFUNCTION("if(isblank(A148),,REGEXMATCH(B148,""(^I *vs\. D *$)|(^D *vs\. I *$)""))"),FALSE)</f>
        <v>0</v>
      </c>
      <c r="AF148" s="37" t="b">
        <f>IFERROR(__xludf.DUMMYFUNCTION("if(isblank(A148),,REGEXMATCH(B148,""(^I *vs\. U *$)|(^U *vs\. I *$)""))"),FALSE)</f>
        <v>0</v>
      </c>
      <c r="AG148" s="37" t="b">
        <f>IFERROR(__xludf.DUMMYFUNCTION("if(isblank(A148),,REGEXMATCH(B148,""^D *vs\. D *$""))"),FALSE)</f>
        <v>0</v>
      </c>
      <c r="AH148" s="37" t="b">
        <f>IFERROR(__xludf.DUMMYFUNCTION("if(isblank(A148),,REGEXMATCH(B148,""(^U *vs\. D *$)|(^D *vs\. U *$)""))"),FALSE)</f>
        <v>0</v>
      </c>
      <c r="AI148" s="37" t="b">
        <f>IFERROR(__xludf.DUMMYFUNCTION("if(isblank(A148),,REGEXMATCH(B148,""^U *vs\. U *$""))"),FALSE)</f>
        <v>0</v>
      </c>
      <c r="AJ148" s="37" t="b">
        <f>IFERROR(__xludf.DUMMYFUNCTION("if(isblank(A148),,REGEXMATCH(B148,""^((I ?vs\. ?(D ?I|I ?D))|((D ?I|I ?D) ?vs\. ?I)) *$""))"),FALSE)</f>
        <v>0</v>
      </c>
      <c r="AK148" s="37" t="b">
        <f>IFERROR(__xludf.DUMMYFUNCTION("if(isblank(A148),,REGEXMATCH(B148,""^((D ?vs\. ?(D ?I|I ?D))|((D ?I|I ?D) ?vs\. ?D)) *$""))"),FALSE)</f>
        <v>0</v>
      </c>
      <c r="AL148" s="37" t="b">
        <f>IFERROR(__xludf.DUMMYFUNCTION("if(isblank(A148),,REGEXMATCH(B148,""^((U ?vs\. ?(D ?I|I ?D))|((D ?I|I ?D) ?vs\. ?U)) *$""))"),FALSE)</f>
        <v>0</v>
      </c>
      <c r="AM148" s="37" t="b">
        <f>IFERROR(__xludf.DUMMYFUNCTION("if(isblank(A148),,REGEXMATCH(B148,""^((I ?vs\. ?(U ?I|I ?U))|((U ?I|I ?U) ?vs\. ?I)) *$""))"),FALSE)</f>
        <v>0</v>
      </c>
      <c r="AN148" s="37" t="b">
        <f>IFERROR(__xludf.DUMMYFUNCTION("if(isblank(A148),,REGEXMATCH(B148,""^((D ?vs\. ?(U ?I|I ?U))|((U ?I|I ?U) ?vs\. ?D)) *$""))"),FALSE)</f>
        <v>0</v>
      </c>
      <c r="AO148" s="37" t="b">
        <f>IFERROR(__xludf.DUMMYFUNCTION("if(isblank(A148),,REGEXMATCH(B148,""^((U ?vs\. ?(U ?I|I ?U))|((U ?I|I ?U) ?vs\. ?U)) *$""))"),FALSE)</f>
        <v>0</v>
      </c>
      <c r="AP148" s="37" t="b">
        <f>IFERROR(__xludf.DUMMYFUNCTION("if(isblank(A148),,REGEXMATCH(B148,""^((I ?vs\. ?(U ?D|D ?U))|((D ?U|U ?D) ?vs\. ?I)) *$""))"),FALSE)</f>
        <v>0</v>
      </c>
      <c r="AQ148" s="37" t="b">
        <f>IFERROR(__xludf.DUMMYFUNCTION("if(isblank(A148),,REGEXMATCH(B148,""^((D ?vs\. ?(U ?D|D ?U))|((D ?U|U ?D) ?vs\. ?D)) *$""))"),FALSE)</f>
        <v>0</v>
      </c>
      <c r="AR148" s="37" t="b">
        <f>IFERROR(__xludf.DUMMYFUNCTION("if(isblank(A148),,REGEXMATCH(B148,""^((U ?vs\. ?(U ?D|D ?U))|((D ?U|U ?D) ?vs\. ?U)) *$""))"),FALSE)</f>
        <v>0</v>
      </c>
      <c r="AS148" s="37" t="b">
        <f>IFERROR(__xludf.DUMMYFUNCTION("if(isblank(A148),,REGEXMATCH(B148,""^((D ?I|I ?D) ?vs\. ?(D ?I|I ?D)) *$""))"),FALSE)</f>
        <v>0</v>
      </c>
      <c r="AT148" s="37" t="b">
        <f>IFERROR(__xludf.DUMMYFUNCTION("if(isblank(A148),,REGEXMATCH(B148,""^((D ?I|I ?D) ?vs\. ?(U ?I|I ?U))|((U ?I|I ?U) ?vs\. ?(D ?I|I ?D)) *$""))"),FALSE)</f>
        <v>0</v>
      </c>
      <c r="AU148" s="37" t="b">
        <f>IFERROR(__xludf.DUMMYFUNCTION("if(isblank(A148),,REGEXMATCH(B148,""^((D ?I|I ?D) ?vs\. ?(U ?D|D ?U))|((U ?D|D ?U) ?vs\. ?(D ?I|I ?D)) *$""))"),FALSE)</f>
        <v>0</v>
      </c>
      <c r="AV148" s="37" t="b">
        <f>IFERROR(__xludf.DUMMYFUNCTION("if(isblank(A148),,REGEXMATCH(B148,""^((U ?I|I ?U) ?vs\. ?(U ?I|I ?U)) *$""))"),FALSE)</f>
        <v>0</v>
      </c>
    </row>
    <row r="149" ht="26.25" customHeight="1">
      <c r="A149" s="79" t="str">
        <f>Paper_Textual_Conflict!M149</f>
        <v>I+ U I
Origin(I vs. U I)</v>
      </c>
      <c r="B149" s="37" t="str">
        <f>IFERROR(__xludf.DUMMYFUNCTION("if(isblank(A149),,regexextract(REGEXEXTRACT(A149,""^.*""),""^[^(]*""))"),"I+ U I")</f>
        <v>I+ U I</v>
      </c>
      <c r="C149" s="37" t="b">
        <f>IFERROR(__xludf.DUMMYFUNCTION("if(isblank(A149),,REGEXMATCH(B149,"".*\+.*"") )"),TRUE)</f>
        <v>1</v>
      </c>
      <c r="D149" s="37" t="b">
        <f>IFERROR(__xludf.DUMMYFUNCTION("if(isblank(A149),,REGEXMATCH(B149,"".*vs.*"") )"),FALSE)</f>
        <v>0</v>
      </c>
      <c r="E149" s="37" t="b">
        <f>Paper_Textual_Conflict!H149</f>
        <v>0</v>
      </c>
      <c r="F149" s="37" t="str">
        <f>Paper_Textual_Conflict!Q149</f>
        <v>Non-Java</v>
      </c>
      <c r="G149" s="33">
        <v>149.0</v>
      </c>
      <c r="H149" s="37" t="b">
        <f>IFERROR(__xludf.DUMMYFUNCTION("if(isblank(A149),,REGEXMATCH(B149,""^I *\+ I *$""))"),FALSE)</f>
        <v>0</v>
      </c>
      <c r="I149" s="37" t="b">
        <f>IFERROR(__xludf.DUMMYFUNCTION("if(isblank(A149),,REGEXMATCH(B149,""(^I *\+ D *$)|(^D *\+ I *$)""))"),FALSE)</f>
        <v>0</v>
      </c>
      <c r="J149" s="37" t="b">
        <f>IFERROR(__xludf.DUMMYFUNCTION("if(isblank(A149),,REGEXMATCH(B149,""(^I *\+ U *$)|(^U *\+ I *$)""))"),FALSE)</f>
        <v>0</v>
      </c>
      <c r="K149" s="37" t="b">
        <f>IFERROR(__xludf.DUMMYFUNCTION("if(isblank(A149),,REGEXMATCH(B149,""(^I *\+ N *$)|(^N *\+ I *$)"") )"),FALSE)</f>
        <v>0</v>
      </c>
      <c r="L149" s="37" t="b">
        <f>IFERROR(__xludf.DUMMYFUNCTION("if(isblank(A149),,REGEXMATCH(B149,""^D *\+ D *$""))"),FALSE)</f>
        <v>0</v>
      </c>
      <c r="M149" s="37" t="b">
        <f>IFERROR(__xludf.DUMMYFUNCTION("if(isblank(A149),,REGEXMATCH(B149,""(^U *\+ D *$)|(^D *\+ U *$)""))"),FALSE)</f>
        <v>0</v>
      </c>
      <c r="N149" s="37" t="b">
        <f>IFERROR(__xludf.DUMMYFUNCTION("if(isblank(A149),,REGEXMATCH(B149,""(^N *\+ D *$)|(^D *\+ N *$)""))"),FALSE)</f>
        <v>0</v>
      </c>
      <c r="O149" s="37" t="b">
        <f>IFERROR(__xludf.DUMMYFUNCTION("if(isblank(A149),,REGEXMATCH(B149,""^U *\+ U *$""))"),FALSE)</f>
        <v>0</v>
      </c>
      <c r="P149" s="37" t="b">
        <f>IFERROR(__xludf.DUMMYFUNCTION("if(isblank(A149),,REGEXMATCH(B149,""(^U *\+ N *$)|(^N *\+ U *$)""))"),FALSE)</f>
        <v>0</v>
      </c>
      <c r="Q149" s="37" t="b">
        <f>IFERROR(__xludf.DUMMYFUNCTION("if(isblank(A149),,REGEXMATCH(B149,""^((I ?\+ ?(D ?I|I ?D))|((D ?I|I ?D) ?\+ ?I)) *$""))"),FALSE)</f>
        <v>0</v>
      </c>
      <c r="R149" s="37" t="b">
        <f>IFERROR(__xludf.DUMMYFUNCTION("if(isblank(A149),,REGEXMATCH(B149,""^((D ?\+ ?(D ?I|I ?D))|((D ?I|I ?D) ?\+ ?D)) *$""))"),FALSE)</f>
        <v>0</v>
      </c>
      <c r="S149" s="37" t="b">
        <f>IFERROR(__xludf.DUMMYFUNCTION("if(isblank(A149),,REGEXMATCH(B149,""^((U ?\+ ?(D ?I|I ?D))|((D ?I|I ?D) ?\+ ?U)) *$""))"),FALSE)</f>
        <v>0</v>
      </c>
      <c r="T149" s="37" t="b">
        <f>IFERROR(__xludf.DUMMYFUNCTION("if(isblank(A149),,REGEXMATCH(B149,""^((N ?\+ ?(D ?I|I ?D))|((D ?I|I ?D) ?\+ ?N)) *$""))"),FALSE)</f>
        <v>0</v>
      </c>
      <c r="U149" s="37" t="b">
        <f>IFERROR(__xludf.DUMMYFUNCTION("if(isblank(A149),,REGEXMATCH(B149,""^((I ?\+ ?(U ?I|I ?U))|((I ?U|U ?I) ?\+ ?I)) *$""))"),TRUE)</f>
        <v>1</v>
      </c>
      <c r="V149" s="37" t="b">
        <f>IFERROR(__xludf.DUMMYFUNCTION("if(isblank(A149),,REGEXMATCH(B149,""^((D ?\+ ?(U ?I|I ?U))|((I ?U|U ?I) ?\+ ?D)) *$""))"),FALSE)</f>
        <v>0</v>
      </c>
      <c r="W149" s="37" t="b">
        <f>IFERROR(__xludf.DUMMYFUNCTION("if(isblank(A149),,REGEXMATCH(B149,""^((U ?\+ ?(U ?I|I ?U))|((I ?U|U ?I) ?\+ ?U)) *$""))"),FALSE)</f>
        <v>0</v>
      </c>
      <c r="X149" s="37" t="b">
        <f>IFERROR(__xludf.DUMMYFUNCTION("if(isblank(A149),,REGEXMATCH(B149,""^((N ?\+ ?(U ?I|I ?U))|((I ?U|U ?I) ?\+ ?N)) *$""))"),FALSE)</f>
        <v>0</v>
      </c>
      <c r="Y149" s="37" t="b">
        <f>IFERROR(__xludf.DUMMYFUNCTION("if(isblank(A149),,REGEXMATCH(B149,""^((I ?\+ ?(U ?D|D ?U))|((D ?U|U ?D) ?\+ ?I)) *$""))"),FALSE)</f>
        <v>0</v>
      </c>
      <c r="Z149" s="37" t="b">
        <f>IFERROR(__xludf.DUMMYFUNCTION("if(isblank(A149),,REGEXMATCH(B149,""^((D ?\+ ?(U ?D|D ?U))|((D ?U|U ?D) ?\+ ?D)) *$""))"),FALSE)</f>
        <v>0</v>
      </c>
      <c r="AA149" s="37" t="b">
        <f>IFERROR(__xludf.DUMMYFUNCTION("if(isblank(A149),,REGEXMATCH(B149,""^((U ?\+ ?(U ?D|D ?U))|((D ?U|U ?D) ?\+ ?U)) *$""))"),FALSE)</f>
        <v>0</v>
      </c>
      <c r="AB149" s="37" t="b">
        <f>IFERROR(__xludf.DUMMYFUNCTION("if(isblank(A149),,REGEXMATCH(B149,""^((D ?I|I ?D) ?\+ ?(D ?I|I ?D)) *$""))"),FALSE)</f>
        <v>0</v>
      </c>
      <c r="AC149" s="37" t="b">
        <f>IFERROR(__xludf.DUMMYFUNCTION("if(isblank(A149),,REGEXMATCH(B149,""^((D ?I|I ?D) ?\+ ?(U ?I|I ?U))|((U ?I|I ?U) ?\+ ?(D ?I|I ?D)) *$""))"),FALSE)</f>
        <v>0</v>
      </c>
      <c r="AD149" s="37" t="b">
        <f>IFERROR(__xludf.DUMMYFUNCTION("if(isblank(A149),,REGEXMATCH(B149,""^I *vs\. I *$""))"),FALSE)</f>
        <v>0</v>
      </c>
      <c r="AE149" s="37" t="b">
        <f>IFERROR(__xludf.DUMMYFUNCTION("if(isblank(A149),,REGEXMATCH(B149,""(^I *vs\. D *$)|(^D *vs\. I *$)""))"),FALSE)</f>
        <v>0</v>
      </c>
      <c r="AF149" s="37" t="b">
        <f>IFERROR(__xludf.DUMMYFUNCTION("if(isblank(A149),,REGEXMATCH(B149,""(^I *vs\. U *$)|(^U *vs\. I *$)""))"),FALSE)</f>
        <v>0</v>
      </c>
      <c r="AG149" s="37" t="b">
        <f>IFERROR(__xludf.DUMMYFUNCTION("if(isblank(A149),,REGEXMATCH(B149,""^D *vs\. D *$""))"),FALSE)</f>
        <v>0</v>
      </c>
      <c r="AH149" s="37" t="b">
        <f>IFERROR(__xludf.DUMMYFUNCTION("if(isblank(A149),,REGEXMATCH(B149,""(^U *vs\. D *$)|(^D *vs\. U *$)""))"),FALSE)</f>
        <v>0</v>
      </c>
      <c r="AI149" s="37" t="b">
        <f>IFERROR(__xludf.DUMMYFUNCTION("if(isblank(A149),,REGEXMATCH(B149,""^U *vs\. U *$""))"),FALSE)</f>
        <v>0</v>
      </c>
      <c r="AJ149" s="37" t="b">
        <f>IFERROR(__xludf.DUMMYFUNCTION("if(isblank(A149),,REGEXMATCH(B149,""^((I ?vs\. ?(D ?I|I ?D))|((D ?I|I ?D) ?vs\. ?I)) *$""))"),FALSE)</f>
        <v>0</v>
      </c>
      <c r="AK149" s="37" t="b">
        <f>IFERROR(__xludf.DUMMYFUNCTION("if(isblank(A149),,REGEXMATCH(B149,""^((D ?vs\. ?(D ?I|I ?D))|((D ?I|I ?D) ?vs\. ?D)) *$""))"),FALSE)</f>
        <v>0</v>
      </c>
      <c r="AL149" s="37" t="b">
        <f>IFERROR(__xludf.DUMMYFUNCTION("if(isblank(A149),,REGEXMATCH(B149,""^((U ?vs\. ?(D ?I|I ?D))|((D ?I|I ?D) ?vs\. ?U)) *$""))"),FALSE)</f>
        <v>0</v>
      </c>
      <c r="AM149" s="37" t="b">
        <f>IFERROR(__xludf.DUMMYFUNCTION("if(isblank(A149),,REGEXMATCH(B149,""^((I ?vs\. ?(U ?I|I ?U))|((U ?I|I ?U) ?vs\. ?I)) *$""))"),FALSE)</f>
        <v>0</v>
      </c>
      <c r="AN149" s="37" t="b">
        <f>IFERROR(__xludf.DUMMYFUNCTION("if(isblank(A149),,REGEXMATCH(B149,""^((D ?vs\. ?(U ?I|I ?U))|((U ?I|I ?U) ?vs\. ?D)) *$""))"),FALSE)</f>
        <v>0</v>
      </c>
      <c r="AO149" s="37" t="b">
        <f>IFERROR(__xludf.DUMMYFUNCTION("if(isblank(A149),,REGEXMATCH(B149,""^((U ?vs\. ?(U ?I|I ?U))|((U ?I|I ?U) ?vs\. ?U)) *$""))"),FALSE)</f>
        <v>0</v>
      </c>
      <c r="AP149" s="37" t="b">
        <f>IFERROR(__xludf.DUMMYFUNCTION("if(isblank(A149),,REGEXMATCH(B149,""^((I ?vs\. ?(U ?D|D ?U))|((D ?U|U ?D) ?vs\. ?I)) *$""))"),FALSE)</f>
        <v>0</v>
      </c>
      <c r="AQ149" s="37" t="b">
        <f>IFERROR(__xludf.DUMMYFUNCTION("if(isblank(A149),,REGEXMATCH(B149,""^((D ?vs\. ?(U ?D|D ?U))|((D ?U|U ?D) ?vs\. ?D)) *$""))"),FALSE)</f>
        <v>0</v>
      </c>
      <c r="AR149" s="37" t="b">
        <f>IFERROR(__xludf.DUMMYFUNCTION("if(isblank(A149),,REGEXMATCH(B149,""^((U ?vs\. ?(U ?D|D ?U))|((D ?U|U ?D) ?vs\. ?U)) *$""))"),FALSE)</f>
        <v>0</v>
      </c>
      <c r="AS149" s="37" t="b">
        <f>IFERROR(__xludf.DUMMYFUNCTION("if(isblank(A149),,REGEXMATCH(B149,""^((D ?I|I ?D) ?vs\. ?(D ?I|I ?D)) *$""))"),FALSE)</f>
        <v>0</v>
      </c>
      <c r="AT149" s="37" t="b">
        <f>IFERROR(__xludf.DUMMYFUNCTION("if(isblank(A149),,REGEXMATCH(B149,""^((D ?I|I ?D) ?vs\. ?(U ?I|I ?U))|((U ?I|I ?U) ?vs\. ?(D ?I|I ?D)) *$""))"),FALSE)</f>
        <v>0</v>
      </c>
      <c r="AU149" s="37" t="b">
        <f>IFERROR(__xludf.DUMMYFUNCTION("if(isblank(A149),,REGEXMATCH(B149,""^((D ?I|I ?D) ?vs\. ?(U ?D|D ?U))|((U ?D|D ?U) ?vs\. ?(D ?I|I ?D)) *$""))"),FALSE)</f>
        <v>0</v>
      </c>
      <c r="AV149" s="37" t="b">
        <f>IFERROR(__xludf.DUMMYFUNCTION("if(isblank(A149),,REGEXMATCH(B149,""^((U ?I|I ?U) ?vs\. ?(U ?I|I ?U)) *$""))"),FALSE)</f>
        <v>0</v>
      </c>
    </row>
    <row r="150" ht="26.25" customHeight="1">
      <c r="A150" s="79" t="str">
        <f>Paper_Textual_Conflict!M150</f>
        <v>D I vs. D I (.md)</v>
      </c>
      <c r="B150" s="37" t="str">
        <f>IFERROR(__xludf.DUMMYFUNCTION("if(isblank(A150),,regexextract(REGEXEXTRACT(A150,""^.*""),""^[^(]*""))"),"D I vs. D I ")</f>
        <v>D I vs. D I </v>
      </c>
      <c r="C150" s="37" t="b">
        <f>IFERROR(__xludf.DUMMYFUNCTION("if(isblank(A150),,REGEXMATCH(B150,"".*\+.*"") )"),FALSE)</f>
        <v>0</v>
      </c>
      <c r="D150" s="37" t="b">
        <f>IFERROR(__xludf.DUMMYFUNCTION("if(isblank(A150),,REGEXMATCH(B150,"".*vs.*"") )"),TRUE)</f>
        <v>1</v>
      </c>
      <c r="E150" s="37" t="b">
        <f>Paper_Textual_Conflict!H150</f>
        <v>1</v>
      </c>
      <c r="F150" s="37" t="str">
        <f>Paper_Textual_Conflict!Q150</f>
        <v>Non-Java</v>
      </c>
      <c r="G150" s="33">
        <v>150.0</v>
      </c>
      <c r="H150" s="37" t="b">
        <f>IFERROR(__xludf.DUMMYFUNCTION("if(isblank(A150),,REGEXMATCH(B150,""^I *\+ I *$""))"),FALSE)</f>
        <v>0</v>
      </c>
      <c r="I150" s="37" t="b">
        <f>IFERROR(__xludf.DUMMYFUNCTION("if(isblank(A150),,REGEXMATCH(B150,""(^I *\+ D *$)|(^D *\+ I *$)""))"),FALSE)</f>
        <v>0</v>
      </c>
      <c r="J150" s="37" t="b">
        <f>IFERROR(__xludf.DUMMYFUNCTION("if(isblank(A150),,REGEXMATCH(B150,""(^I *\+ U *$)|(^U *\+ I *$)""))"),FALSE)</f>
        <v>0</v>
      </c>
      <c r="K150" s="37" t="b">
        <f>IFERROR(__xludf.DUMMYFUNCTION("if(isblank(A150),,REGEXMATCH(B150,""(^I *\+ N *$)|(^N *\+ I *$)"") )"),FALSE)</f>
        <v>0</v>
      </c>
      <c r="L150" s="37" t="b">
        <f>IFERROR(__xludf.DUMMYFUNCTION("if(isblank(A150),,REGEXMATCH(B150,""^D *\+ D *$""))"),FALSE)</f>
        <v>0</v>
      </c>
      <c r="M150" s="37" t="b">
        <f>IFERROR(__xludf.DUMMYFUNCTION("if(isblank(A150),,REGEXMATCH(B150,""(^U *\+ D *$)|(^D *\+ U *$)""))"),FALSE)</f>
        <v>0</v>
      </c>
      <c r="N150" s="37" t="b">
        <f>IFERROR(__xludf.DUMMYFUNCTION("if(isblank(A150),,REGEXMATCH(B150,""(^N *\+ D *$)|(^D *\+ N *$)""))"),FALSE)</f>
        <v>0</v>
      </c>
      <c r="O150" s="37" t="b">
        <f>IFERROR(__xludf.DUMMYFUNCTION("if(isblank(A150),,REGEXMATCH(B150,""^U *\+ U *$""))"),FALSE)</f>
        <v>0</v>
      </c>
      <c r="P150" s="37" t="b">
        <f>IFERROR(__xludf.DUMMYFUNCTION("if(isblank(A150),,REGEXMATCH(B150,""(^U *\+ N *$)|(^N *\+ U *$)""))"),FALSE)</f>
        <v>0</v>
      </c>
      <c r="Q150" s="37" t="b">
        <f>IFERROR(__xludf.DUMMYFUNCTION("if(isblank(A150),,REGEXMATCH(B150,""^((I ?\+ ?(D ?I|I ?D))|((D ?I|I ?D) ?\+ ?I)) *$""))"),FALSE)</f>
        <v>0</v>
      </c>
      <c r="R150" s="37" t="b">
        <f>IFERROR(__xludf.DUMMYFUNCTION("if(isblank(A150),,REGEXMATCH(B150,""^((D ?\+ ?(D ?I|I ?D))|((D ?I|I ?D) ?\+ ?D)) *$""))"),FALSE)</f>
        <v>0</v>
      </c>
      <c r="S150" s="37" t="b">
        <f>IFERROR(__xludf.DUMMYFUNCTION("if(isblank(A150),,REGEXMATCH(B150,""^((U ?\+ ?(D ?I|I ?D))|((D ?I|I ?D) ?\+ ?U)) *$""))"),FALSE)</f>
        <v>0</v>
      </c>
      <c r="T150" s="37" t="b">
        <f>IFERROR(__xludf.DUMMYFUNCTION("if(isblank(A150),,REGEXMATCH(B150,""^((N ?\+ ?(D ?I|I ?D))|((D ?I|I ?D) ?\+ ?N)) *$""))"),FALSE)</f>
        <v>0</v>
      </c>
      <c r="U150" s="37" t="b">
        <f>IFERROR(__xludf.DUMMYFUNCTION("if(isblank(A150),,REGEXMATCH(B150,""^((I ?\+ ?(U ?I|I ?U))|((I ?U|U ?I) ?\+ ?I)) *$""))"),FALSE)</f>
        <v>0</v>
      </c>
      <c r="V150" s="37" t="b">
        <f>IFERROR(__xludf.DUMMYFUNCTION("if(isblank(A150),,REGEXMATCH(B150,""^((D ?\+ ?(U ?I|I ?U))|((I ?U|U ?I) ?\+ ?D)) *$""))"),FALSE)</f>
        <v>0</v>
      </c>
      <c r="W150" s="37" t="b">
        <f>IFERROR(__xludf.DUMMYFUNCTION("if(isblank(A150),,REGEXMATCH(B150,""^((U ?\+ ?(U ?I|I ?U))|((I ?U|U ?I) ?\+ ?U)) *$""))"),FALSE)</f>
        <v>0</v>
      </c>
      <c r="X150" s="37" t="b">
        <f>IFERROR(__xludf.DUMMYFUNCTION("if(isblank(A150),,REGEXMATCH(B150,""^((N ?\+ ?(U ?I|I ?U))|((I ?U|U ?I) ?\+ ?N)) *$""))"),FALSE)</f>
        <v>0</v>
      </c>
      <c r="Y150" s="37" t="b">
        <f>IFERROR(__xludf.DUMMYFUNCTION("if(isblank(A150),,REGEXMATCH(B150,""^((I ?\+ ?(U ?D|D ?U))|((D ?U|U ?D) ?\+ ?I)) *$""))"),FALSE)</f>
        <v>0</v>
      </c>
      <c r="Z150" s="37" t="b">
        <f>IFERROR(__xludf.DUMMYFUNCTION("if(isblank(A150),,REGEXMATCH(B150,""^((D ?\+ ?(U ?D|D ?U))|((D ?U|U ?D) ?\+ ?D)) *$""))"),FALSE)</f>
        <v>0</v>
      </c>
      <c r="AA150" s="37" t="b">
        <f>IFERROR(__xludf.DUMMYFUNCTION("if(isblank(A150),,REGEXMATCH(B150,""^((U ?\+ ?(U ?D|D ?U))|((D ?U|U ?D) ?\+ ?U)) *$""))"),FALSE)</f>
        <v>0</v>
      </c>
      <c r="AB150" s="37" t="b">
        <f>IFERROR(__xludf.DUMMYFUNCTION("if(isblank(A150),,REGEXMATCH(B150,""^((D ?I|I ?D) ?\+ ?(D ?I|I ?D)) *$""))"),FALSE)</f>
        <v>0</v>
      </c>
      <c r="AC150" s="37" t="b">
        <f>IFERROR(__xludf.DUMMYFUNCTION("if(isblank(A150),,REGEXMATCH(B150,""^((D ?I|I ?D) ?\+ ?(U ?I|I ?U))|((U ?I|I ?U) ?\+ ?(D ?I|I ?D)) *$""))"),FALSE)</f>
        <v>0</v>
      </c>
      <c r="AD150" s="37" t="b">
        <f>IFERROR(__xludf.DUMMYFUNCTION("if(isblank(A150),,REGEXMATCH(B150,""^I *vs\. I *$""))"),FALSE)</f>
        <v>0</v>
      </c>
      <c r="AE150" s="37" t="b">
        <f>IFERROR(__xludf.DUMMYFUNCTION("if(isblank(A150),,REGEXMATCH(B150,""(^I *vs\. D *$)|(^D *vs\. I *$)""))"),FALSE)</f>
        <v>0</v>
      </c>
      <c r="AF150" s="37" t="b">
        <f>IFERROR(__xludf.DUMMYFUNCTION("if(isblank(A150),,REGEXMATCH(B150,""(^I *vs\. U *$)|(^U *vs\. I *$)""))"),FALSE)</f>
        <v>0</v>
      </c>
      <c r="AG150" s="37" t="b">
        <f>IFERROR(__xludf.DUMMYFUNCTION("if(isblank(A150),,REGEXMATCH(B150,""^D *vs\. D *$""))"),FALSE)</f>
        <v>0</v>
      </c>
      <c r="AH150" s="37" t="b">
        <f>IFERROR(__xludf.DUMMYFUNCTION("if(isblank(A150),,REGEXMATCH(B150,""(^U *vs\. D *$)|(^D *vs\. U *$)""))"),FALSE)</f>
        <v>0</v>
      </c>
      <c r="AI150" s="37" t="b">
        <f>IFERROR(__xludf.DUMMYFUNCTION("if(isblank(A150),,REGEXMATCH(B150,""^U *vs\. U *$""))"),FALSE)</f>
        <v>0</v>
      </c>
      <c r="AJ150" s="37" t="b">
        <f>IFERROR(__xludf.DUMMYFUNCTION("if(isblank(A150),,REGEXMATCH(B150,""^((I ?vs\. ?(D ?I|I ?D))|((D ?I|I ?D) ?vs\. ?I)) *$""))"),FALSE)</f>
        <v>0</v>
      </c>
      <c r="AK150" s="37" t="b">
        <f>IFERROR(__xludf.DUMMYFUNCTION("if(isblank(A150),,REGEXMATCH(B150,""^((D ?vs\. ?(D ?I|I ?D))|((D ?I|I ?D) ?vs\. ?D)) *$""))"),FALSE)</f>
        <v>0</v>
      </c>
      <c r="AL150" s="37" t="b">
        <f>IFERROR(__xludf.DUMMYFUNCTION("if(isblank(A150),,REGEXMATCH(B150,""^((U ?vs\. ?(D ?I|I ?D))|((D ?I|I ?D) ?vs\. ?U)) *$""))"),FALSE)</f>
        <v>0</v>
      </c>
      <c r="AM150" s="37" t="b">
        <f>IFERROR(__xludf.DUMMYFUNCTION("if(isblank(A150),,REGEXMATCH(B150,""^((I ?vs\. ?(U ?I|I ?U))|((U ?I|I ?U) ?vs\. ?I)) *$""))"),FALSE)</f>
        <v>0</v>
      </c>
      <c r="AN150" s="37" t="b">
        <f>IFERROR(__xludf.DUMMYFUNCTION("if(isblank(A150),,REGEXMATCH(B150,""^((D ?vs\. ?(U ?I|I ?U))|((U ?I|I ?U) ?vs\. ?D)) *$""))"),FALSE)</f>
        <v>0</v>
      </c>
      <c r="AO150" s="37" t="b">
        <f>IFERROR(__xludf.DUMMYFUNCTION("if(isblank(A150),,REGEXMATCH(B150,""^((U ?vs\. ?(U ?I|I ?U))|((U ?I|I ?U) ?vs\. ?U)) *$""))"),FALSE)</f>
        <v>0</v>
      </c>
      <c r="AP150" s="37" t="b">
        <f>IFERROR(__xludf.DUMMYFUNCTION("if(isblank(A150),,REGEXMATCH(B150,""^((I ?vs\. ?(U ?D|D ?U))|((D ?U|U ?D) ?vs\. ?I)) *$""))"),FALSE)</f>
        <v>0</v>
      </c>
      <c r="AQ150" s="37" t="b">
        <f>IFERROR(__xludf.DUMMYFUNCTION("if(isblank(A150),,REGEXMATCH(B150,""^((D ?vs\. ?(U ?D|D ?U))|((D ?U|U ?D) ?vs\. ?D)) *$""))"),FALSE)</f>
        <v>0</v>
      </c>
      <c r="AR150" s="37" t="b">
        <f>IFERROR(__xludf.DUMMYFUNCTION("if(isblank(A150),,REGEXMATCH(B150,""^((U ?vs\. ?(U ?D|D ?U))|((D ?U|U ?D) ?vs\. ?U)) *$""))"),FALSE)</f>
        <v>0</v>
      </c>
      <c r="AS150" s="37" t="b">
        <f>IFERROR(__xludf.DUMMYFUNCTION("if(isblank(A150),,REGEXMATCH(B150,""^((D ?I|I ?D) ?vs\. ?(D ?I|I ?D)) *$""))"),TRUE)</f>
        <v>1</v>
      </c>
      <c r="AT150" s="37" t="b">
        <f>IFERROR(__xludf.DUMMYFUNCTION("if(isblank(A150),,REGEXMATCH(B150,""^((D ?I|I ?D) ?vs\. ?(U ?I|I ?U))|((U ?I|I ?U) ?vs\. ?(D ?I|I ?D)) *$""))"),FALSE)</f>
        <v>0</v>
      </c>
      <c r="AU150" s="37" t="b">
        <f>IFERROR(__xludf.DUMMYFUNCTION("if(isblank(A150),,REGEXMATCH(B150,""^((D ?I|I ?D) ?vs\. ?(U ?D|D ?U))|((U ?D|D ?U) ?vs\. ?(D ?I|I ?D)) *$""))"),FALSE)</f>
        <v>0</v>
      </c>
      <c r="AV150" s="37" t="b">
        <f>IFERROR(__xludf.DUMMYFUNCTION("if(isblank(A150),,REGEXMATCH(B150,""^((U ?I|I ?U) ?vs\. ?(U ?I|I ?U)) *$""))"),FALSE)</f>
        <v>0</v>
      </c>
    </row>
    <row r="151" ht="26.25" customHeight="1">
      <c r="A151" s="79" t="str">
        <f>Paper_Textual_Conflict!M151</f>
        <v>I vs. I (import)</v>
      </c>
      <c r="B151" s="37" t="str">
        <f>IFERROR(__xludf.DUMMYFUNCTION("if(isblank(A151),,regexextract(REGEXEXTRACT(A151,""^.*""),""^[^(]*""))"),"I vs. I ")</f>
        <v>I vs. I </v>
      </c>
      <c r="C151" s="37" t="b">
        <f>IFERROR(__xludf.DUMMYFUNCTION("if(isblank(A151),,REGEXMATCH(B151,"".*\+.*"") )"),FALSE)</f>
        <v>0</v>
      </c>
      <c r="D151" s="37" t="b">
        <f>IFERROR(__xludf.DUMMYFUNCTION("if(isblank(A151),,REGEXMATCH(B151,"".*vs.*"") )"),TRUE)</f>
        <v>1</v>
      </c>
      <c r="E151" s="37" t="b">
        <f>Paper_Textual_Conflict!H151</f>
        <v>1</v>
      </c>
      <c r="F151" s="37" t="str">
        <f>Paper_Textual_Conflict!Q151</f>
        <v>Java</v>
      </c>
      <c r="G151" s="33">
        <v>151.0</v>
      </c>
      <c r="H151" s="37" t="b">
        <f>IFERROR(__xludf.DUMMYFUNCTION("if(isblank(A151),,REGEXMATCH(B151,""^I *\+ I *$""))"),FALSE)</f>
        <v>0</v>
      </c>
      <c r="I151" s="37" t="b">
        <f>IFERROR(__xludf.DUMMYFUNCTION("if(isblank(A151),,REGEXMATCH(B151,""(^I *\+ D *$)|(^D *\+ I *$)""))"),FALSE)</f>
        <v>0</v>
      </c>
      <c r="J151" s="37" t="b">
        <f>IFERROR(__xludf.DUMMYFUNCTION("if(isblank(A151),,REGEXMATCH(B151,""(^I *\+ U *$)|(^U *\+ I *$)""))"),FALSE)</f>
        <v>0</v>
      </c>
      <c r="K151" s="37" t="b">
        <f>IFERROR(__xludf.DUMMYFUNCTION("if(isblank(A151),,REGEXMATCH(B151,""(^I *\+ N *$)|(^N *\+ I *$)"") )"),FALSE)</f>
        <v>0</v>
      </c>
      <c r="L151" s="37" t="b">
        <f>IFERROR(__xludf.DUMMYFUNCTION("if(isblank(A151),,REGEXMATCH(B151,""^D *\+ D *$""))"),FALSE)</f>
        <v>0</v>
      </c>
      <c r="M151" s="37" t="b">
        <f>IFERROR(__xludf.DUMMYFUNCTION("if(isblank(A151),,REGEXMATCH(B151,""(^U *\+ D *$)|(^D *\+ U *$)""))"),FALSE)</f>
        <v>0</v>
      </c>
      <c r="N151" s="37" t="b">
        <f>IFERROR(__xludf.DUMMYFUNCTION("if(isblank(A151),,REGEXMATCH(B151,""(^N *\+ D *$)|(^D *\+ N *$)""))"),FALSE)</f>
        <v>0</v>
      </c>
      <c r="O151" s="37" t="b">
        <f>IFERROR(__xludf.DUMMYFUNCTION("if(isblank(A151),,REGEXMATCH(B151,""^U *\+ U *$""))"),FALSE)</f>
        <v>0</v>
      </c>
      <c r="P151" s="37" t="b">
        <f>IFERROR(__xludf.DUMMYFUNCTION("if(isblank(A151),,REGEXMATCH(B151,""(^U *\+ N *$)|(^N *\+ U *$)""))"),FALSE)</f>
        <v>0</v>
      </c>
      <c r="Q151" s="37" t="b">
        <f>IFERROR(__xludf.DUMMYFUNCTION("if(isblank(A151),,REGEXMATCH(B151,""^((I ?\+ ?(D ?I|I ?D))|((D ?I|I ?D) ?\+ ?I)) *$""))"),FALSE)</f>
        <v>0</v>
      </c>
      <c r="R151" s="37" t="b">
        <f>IFERROR(__xludf.DUMMYFUNCTION("if(isblank(A151),,REGEXMATCH(B151,""^((D ?\+ ?(D ?I|I ?D))|((D ?I|I ?D) ?\+ ?D)) *$""))"),FALSE)</f>
        <v>0</v>
      </c>
      <c r="S151" s="37" t="b">
        <f>IFERROR(__xludf.DUMMYFUNCTION("if(isblank(A151),,REGEXMATCH(B151,""^((U ?\+ ?(D ?I|I ?D))|((D ?I|I ?D) ?\+ ?U)) *$""))"),FALSE)</f>
        <v>0</v>
      </c>
      <c r="T151" s="37" t="b">
        <f>IFERROR(__xludf.DUMMYFUNCTION("if(isblank(A151),,REGEXMATCH(B151,""^((N ?\+ ?(D ?I|I ?D))|((D ?I|I ?D) ?\+ ?N)) *$""))"),FALSE)</f>
        <v>0</v>
      </c>
      <c r="U151" s="37" t="b">
        <f>IFERROR(__xludf.DUMMYFUNCTION("if(isblank(A151),,REGEXMATCH(B151,""^((I ?\+ ?(U ?I|I ?U))|((I ?U|U ?I) ?\+ ?I)) *$""))"),FALSE)</f>
        <v>0</v>
      </c>
      <c r="V151" s="37" t="b">
        <f>IFERROR(__xludf.DUMMYFUNCTION("if(isblank(A151),,REGEXMATCH(B151,""^((D ?\+ ?(U ?I|I ?U))|((I ?U|U ?I) ?\+ ?D)) *$""))"),FALSE)</f>
        <v>0</v>
      </c>
      <c r="W151" s="37" t="b">
        <f>IFERROR(__xludf.DUMMYFUNCTION("if(isblank(A151),,REGEXMATCH(B151,""^((U ?\+ ?(U ?I|I ?U))|((I ?U|U ?I) ?\+ ?U)) *$""))"),FALSE)</f>
        <v>0</v>
      </c>
      <c r="X151" s="37" t="b">
        <f>IFERROR(__xludf.DUMMYFUNCTION("if(isblank(A151),,REGEXMATCH(B151,""^((N ?\+ ?(U ?I|I ?U))|((I ?U|U ?I) ?\+ ?N)) *$""))"),FALSE)</f>
        <v>0</v>
      </c>
      <c r="Y151" s="37" t="b">
        <f>IFERROR(__xludf.DUMMYFUNCTION("if(isblank(A151),,REGEXMATCH(B151,""^((I ?\+ ?(U ?D|D ?U))|((D ?U|U ?D) ?\+ ?I)) *$""))"),FALSE)</f>
        <v>0</v>
      </c>
      <c r="Z151" s="37" t="b">
        <f>IFERROR(__xludf.DUMMYFUNCTION("if(isblank(A151),,REGEXMATCH(B151,""^((D ?\+ ?(U ?D|D ?U))|((D ?U|U ?D) ?\+ ?D)) *$""))"),FALSE)</f>
        <v>0</v>
      </c>
      <c r="AA151" s="37" t="b">
        <f>IFERROR(__xludf.DUMMYFUNCTION("if(isblank(A151),,REGEXMATCH(B151,""^((U ?\+ ?(U ?D|D ?U))|((D ?U|U ?D) ?\+ ?U)) *$""))"),FALSE)</f>
        <v>0</v>
      </c>
      <c r="AB151" s="37" t="b">
        <f>IFERROR(__xludf.DUMMYFUNCTION("if(isblank(A151),,REGEXMATCH(B151,""^((D ?I|I ?D) ?\+ ?(D ?I|I ?D)) *$""))"),FALSE)</f>
        <v>0</v>
      </c>
      <c r="AC151" s="37" t="b">
        <f>IFERROR(__xludf.DUMMYFUNCTION("if(isblank(A151),,REGEXMATCH(B151,""^((D ?I|I ?D) ?\+ ?(U ?I|I ?U))|((U ?I|I ?U) ?\+ ?(D ?I|I ?D)) *$""))"),FALSE)</f>
        <v>0</v>
      </c>
      <c r="AD151" s="37" t="b">
        <f>IFERROR(__xludf.DUMMYFUNCTION("if(isblank(A151),,REGEXMATCH(B151,""^I *vs\. I *$""))"),TRUE)</f>
        <v>1</v>
      </c>
      <c r="AE151" s="37" t="b">
        <f>IFERROR(__xludf.DUMMYFUNCTION("if(isblank(A151),,REGEXMATCH(B151,""(^I *vs\. D *$)|(^D *vs\. I *$)""))"),FALSE)</f>
        <v>0</v>
      </c>
      <c r="AF151" s="37" t="b">
        <f>IFERROR(__xludf.DUMMYFUNCTION("if(isblank(A151),,REGEXMATCH(B151,""(^I *vs\. U *$)|(^U *vs\. I *$)""))"),FALSE)</f>
        <v>0</v>
      </c>
      <c r="AG151" s="37" t="b">
        <f>IFERROR(__xludf.DUMMYFUNCTION("if(isblank(A151),,REGEXMATCH(B151,""^D *vs\. D *$""))"),FALSE)</f>
        <v>0</v>
      </c>
      <c r="AH151" s="37" t="b">
        <f>IFERROR(__xludf.DUMMYFUNCTION("if(isblank(A151),,REGEXMATCH(B151,""(^U *vs\. D *$)|(^D *vs\. U *$)""))"),FALSE)</f>
        <v>0</v>
      </c>
      <c r="AI151" s="37" t="b">
        <f>IFERROR(__xludf.DUMMYFUNCTION("if(isblank(A151),,REGEXMATCH(B151,""^U *vs\. U *$""))"),FALSE)</f>
        <v>0</v>
      </c>
      <c r="AJ151" s="37" t="b">
        <f>IFERROR(__xludf.DUMMYFUNCTION("if(isblank(A151),,REGEXMATCH(B151,""^((I ?vs\. ?(D ?I|I ?D))|((D ?I|I ?D) ?vs\. ?I)) *$""))"),FALSE)</f>
        <v>0</v>
      </c>
      <c r="AK151" s="37" t="b">
        <f>IFERROR(__xludf.DUMMYFUNCTION("if(isblank(A151),,REGEXMATCH(B151,""^((D ?vs\. ?(D ?I|I ?D))|((D ?I|I ?D) ?vs\. ?D)) *$""))"),FALSE)</f>
        <v>0</v>
      </c>
      <c r="AL151" s="37" t="b">
        <f>IFERROR(__xludf.DUMMYFUNCTION("if(isblank(A151),,REGEXMATCH(B151,""^((U ?vs\. ?(D ?I|I ?D))|((D ?I|I ?D) ?vs\. ?U)) *$""))"),FALSE)</f>
        <v>0</v>
      </c>
      <c r="AM151" s="37" t="b">
        <f>IFERROR(__xludf.DUMMYFUNCTION("if(isblank(A151),,REGEXMATCH(B151,""^((I ?vs\. ?(U ?I|I ?U))|((U ?I|I ?U) ?vs\. ?I)) *$""))"),FALSE)</f>
        <v>0</v>
      </c>
      <c r="AN151" s="37" t="b">
        <f>IFERROR(__xludf.DUMMYFUNCTION("if(isblank(A151),,REGEXMATCH(B151,""^((D ?vs\. ?(U ?I|I ?U))|((U ?I|I ?U) ?vs\. ?D)) *$""))"),FALSE)</f>
        <v>0</v>
      </c>
      <c r="AO151" s="37" t="b">
        <f>IFERROR(__xludf.DUMMYFUNCTION("if(isblank(A151),,REGEXMATCH(B151,""^((U ?vs\. ?(U ?I|I ?U))|((U ?I|I ?U) ?vs\. ?U)) *$""))"),FALSE)</f>
        <v>0</v>
      </c>
      <c r="AP151" s="37" t="b">
        <f>IFERROR(__xludf.DUMMYFUNCTION("if(isblank(A151),,REGEXMATCH(B151,""^((I ?vs\. ?(U ?D|D ?U))|((D ?U|U ?D) ?vs\. ?I)) *$""))"),FALSE)</f>
        <v>0</v>
      </c>
      <c r="AQ151" s="37" t="b">
        <f>IFERROR(__xludf.DUMMYFUNCTION("if(isblank(A151),,REGEXMATCH(B151,""^((D ?vs\. ?(U ?D|D ?U))|((D ?U|U ?D) ?vs\. ?D)) *$""))"),FALSE)</f>
        <v>0</v>
      </c>
      <c r="AR151" s="37" t="b">
        <f>IFERROR(__xludf.DUMMYFUNCTION("if(isblank(A151),,REGEXMATCH(B151,""^((U ?vs\. ?(U ?D|D ?U))|((D ?U|U ?D) ?vs\. ?U)) *$""))"),FALSE)</f>
        <v>0</v>
      </c>
      <c r="AS151" s="37" t="b">
        <f>IFERROR(__xludf.DUMMYFUNCTION("if(isblank(A151),,REGEXMATCH(B151,""^((D ?I|I ?D) ?vs\. ?(D ?I|I ?D)) *$""))"),FALSE)</f>
        <v>0</v>
      </c>
      <c r="AT151" s="37" t="b">
        <f>IFERROR(__xludf.DUMMYFUNCTION("if(isblank(A151),,REGEXMATCH(B151,""^((D ?I|I ?D) ?vs\. ?(U ?I|I ?U))|((U ?I|I ?U) ?vs\. ?(D ?I|I ?D)) *$""))"),FALSE)</f>
        <v>0</v>
      </c>
      <c r="AU151" s="37" t="b">
        <f>IFERROR(__xludf.DUMMYFUNCTION("if(isblank(A151),,REGEXMATCH(B151,""^((D ?I|I ?D) ?vs\. ?(U ?D|D ?U))|((U ?D|D ?U) ?vs\. ?(D ?I|I ?D)) *$""))"),FALSE)</f>
        <v>0</v>
      </c>
      <c r="AV151" s="37" t="b">
        <f>IFERROR(__xludf.DUMMYFUNCTION("if(isblank(A151),,REGEXMATCH(B151,""^((U ?I|I ?U) ?vs\. ?(U ?I|I ?U)) *$""))"),FALSE)</f>
        <v>0</v>
      </c>
    </row>
    <row r="152" ht="26.25" customHeight="1">
      <c r="A152" s="79" t="str">
        <f>Paper_Textual_Conflict!M152</f>
        <v>D I vs. U I(Java code)
Origin(U vs. U)</v>
      </c>
      <c r="B152" s="37" t="str">
        <f>IFERROR(__xludf.DUMMYFUNCTION("if(isblank(A152),,regexextract(REGEXEXTRACT(A152,""^.*""),""^[^(]*""))"),"D I vs. U I")</f>
        <v>D I vs. U I</v>
      </c>
      <c r="C152" s="37" t="b">
        <f>IFERROR(__xludf.DUMMYFUNCTION("if(isblank(A152),,REGEXMATCH(B152,"".*\+.*"") )"),FALSE)</f>
        <v>0</v>
      </c>
      <c r="D152" s="37" t="b">
        <f>IFERROR(__xludf.DUMMYFUNCTION("if(isblank(A152),,REGEXMATCH(B152,"".*vs.*"") )"),TRUE)</f>
        <v>1</v>
      </c>
      <c r="E152" s="37" t="b">
        <f>Paper_Textual_Conflict!H152</f>
        <v>1</v>
      </c>
      <c r="F152" s="37" t="str">
        <f>Paper_Textual_Conflict!Q152</f>
        <v>Java</v>
      </c>
      <c r="G152" s="33">
        <v>152.0</v>
      </c>
      <c r="H152" s="37" t="b">
        <f>IFERROR(__xludf.DUMMYFUNCTION("if(isblank(A152),,REGEXMATCH(B152,""^I *\+ I *$""))"),FALSE)</f>
        <v>0</v>
      </c>
      <c r="I152" s="37" t="b">
        <f>IFERROR(__xludf.DUMMYFUNCTION("if(isblank(A152),,REGEXMATCH(B152,""(^I *\+ D *$)|(^D *\+ I *$)""))"),FALSE)</f>
        <v>0</v>
      </c>
      <c r="J152" s="37" t="b">
        <f>IFERROR(__xludf.DUMMYFUNCTION("if(isblank(A152),,REGEXMATCH(B152,""(^I *\+ U *$)|(^U *\+ I *$)""))"),FALSE)</f>
        <v>0</v>
      </c>
      <c r="K152" s="37" t="b">
        <f>IFERROR(__xludf.DUMMYFUNCTION("if(isblank(A152),,REGEXMATCH(B152,""(^I *\+ N *$)|(^N *\+ I *$)"") )"),FALSE)</f>
        <v>0</v>
      </c>
      <c r="L152" s="37" t="b">
        <f>IFERROR(__xludf.DUMMYFUNCTION("if(isblank(A152),,REGEXMATCH(B152,""^D *\+ D *$""))"),FALSE)</f>
        <v>0</v>
      </c>
      <c r="M152" s="37" t="b">
        <f>IFERROR(__xludf.DUMMYFUNCTION("if(isblank(A152),,REGEXMATCH(B152,""(^U *\+ D *$)|(^D *\+ U *$)""))"),FALSE)</f>
        <v>0</v>
      </c>
      <c r="N152" s="37" t="b">
        <f>IFERROR(__xludf.DUMMYFUNCTION("if(isblank(A152),,REGEXMATCH(B152,""(^N *\+ D *$)|(^D *\+ N *$)""))"),FALSE)</f>
        <v>0</v>
      </c>
      <c r="O152" s="37" t="b">
        <f>IFERROR(__xludf.DUMMYFUNCTION("if(isblank(A152),,REGEXMATCH(B152,""^U *\+ U *$""))"),FALSE)</f>
        <v>0</v>
      </c>
      <c r="P152" s="37" t="b">
        <f>IFERROR(__xludf.DUMMYFUNCTION("if(isblank(A152),,REGEXMATCH(B152,""(^U *\+ N *$)|(^N *\+ U *$)""))"),FALSE)</f>
        <v>0</v>
      </c>
      <c r="Q152" s="37" t="b">
        <f>IFERROR(__xludf.DUMMYFUNCTION("if(isblank(A152),,REGEXMATCH(B152,""^((I ?\+ ?(D ?I|I ?D))|((D ?I|I ?D) ?\+ ?I)) *$""))"),FALSE)</f>
        <v>0</v>
      </c>
      <c r="R152" s="37" t="b">
        <f>IFERROR(__xludf.DUMMYFUNCTION("if(isblank(A152),,REGEXMATCH(B152,""^((D ?\+ ?(D ?I|I ?D))|((D ?I|I ?D) ?\+ ?D)) *$""))"),FALSE)</f>
        <v>0</v>
      </c>
      <c r="S152" s="37" t="b">
        <f>IFERROR(__xludf.DUMMYFUNCTION("if(isblank(A152),,REGEXMATCH(B152,""^((U ?\+ ?(D ?I|I ?D))|((D ?I|I ?D) ?\+ ?U)) *$""))"),FALSE)</f>
        <v>0</v>
      </c>
      <c r="T152" s="37" t="b">
        <f>IFERROR(__xludf.DUMMYFUNCTION("if(isblank(A152),,REGEXMATCH(B152,""^((N ?\+ ?(D ?I|I ?D))|((D ?I|I ?D) ?\+ ?N)) *$""))"),FALSE)</f>
        <v>0</v>
      </c>
      <c r="U152" s="37" t="b">
        <f>IFERROR(__xludf.DUMMYFUNCTION("if(isblank(A152),,REGEXMATCH(B152,""^((I ?\+ ?(U ?I|I ?U))|((I ?U|U ?I) ?\+ ?I)) *$""))"),FALSE)</f>
        <v>0</v>
      </c>
      <c r="V152" s="37" t="b">
        <f>IFERROR(__xludf.DUMMYFUNCTION("if(isblank(A152),,REGEXMATCH(B152,""^((D ?\+ ?(U ?I|I ?U))|((I ?U|U ?I) ?\+ ?D)) *$""))"),FALSE)</f>
        <v>0</v>
      </c>
      <c r="W152" s="37" t="b">
        <f>IFERROR(__xludf.DUMMYFUNCTION("if(isblank(A152),,REGEXMATCH(B152,""^((U ?\+ ?(U ?I|I ?U))|((I ?U|U ?I) ?\+ ?U)) *$""))"),FALSE)</f>
        <v>0</v>
      </c>
      <c r="X152" s="37" t="b">
        <f>IFERROR(__xludf.DUMMYFUNCTION("if(isblank(A152),,REGEXMATCH(B152,""^((N ?\+ ?(U ?I|I ?U))|((I ?U|U ?I) ?\+ ?N)) *$""))"),FALSE)</f>
        <v>0</v>
      </c>
      <c r="Y152" s="37" t="b">
        <f>IFERROR(__xludf.DUMMYFUNCTION("if(isblank(A152),,REGEXMATCH(B152,""^((I ?\+ ?(U ?D|D ?U))|((D ?U|U ?D) ?\+ ?I)) *$""))"),FALSE)</f>
        <v>0</v>
      </c>
      <c r="Z152" s="37" t="b">
        <f>IFERROR(__xludf.DUMMYFUNCTION("if(isblank(A152),,REGEXMATCH(B152,""^((D ?\+ ?(U ?D|D ?U))|((D ?U|U ?D) ?\+ ?D)) *$""))"),FALSE)</f>
        <v>0</v>
      </c>
      <c r="AA152" s="37" t="b">
        <f>IFERROR(__xludf.DUMMYFUNCTION("if(isblank(A152),,REGEXMATCH(B152,""^((U ?\+ ?(U ?D|D ?U))|((D ?U|U ?D) ?\+ ?U)) *$""))"),FALSE)</f>
        <v>0</v>
      </c>
      <c r="AB152" s="37" t="b">
        <f>IFERROR(__xludf.DUMMYFUNCTION("if(isblank(A152),,REGEXMATCH(B152,""^((D ?I|I ?D) ?\+ ?(D ?I|I ?D)) *$""))"),FALSE)</f>
        <v>0</v>
      </c>
      <c r="AC152" s="37" t="b">
        <f>IFERROR(__xludf.DUMMYFUNCTION("if(isblank(A152),,REGEXMATCH(B152,""^((D ?I|I ?D) ?\+ ?(U ?I|I ?U))|((U ?I|I ?U) ?\+ ?(D ?I|I ?D)) *$""))"),FALSE)</f>
        <v>0</v>
      </c>
      <c r="AD152" s="37" t="b">
        <f>IFERROR(__xludf.DUMMYFUNCTION("if(isblank(A152),,REGEXMATCH(B152,""^I *vs\. I *$""))"),FALSE)</f>
        <v>0</v>
      </c>
      <c r="AE152" s="37" t="b">
        <f>IFERROR(__xludf.DUMMYFUNCTION("if(isblank(A152),,REGEXMATCH(B152,""(^I *vs\. D *$)|(^D *vs\. I *$)""))"),FALSE)</f>
        <v>0</v>
      </c>
      <c r="AF152" s="37" t="b">
        <f>IFERROR(__xludf.DUMMYFUNCTION("if(isblank(A152),,REGEXMATCH(B152,""(^I *vs\. U *$)|(^U *vs\. I *$)""))"),FALSE)</f>
        <v>0</v>
      </c>
      <c r="AG152" s="37" t="b">
        <f>IFERROR(__xludf.DUMMYFUNCTION("if(isblank(A152),,REGEXMATCH(B152,""^D *vs\. D *$""))"),FALSE)</f>
        <v>0</v>
      </c>
      <c r="AH152" s="37" t="b">
        <f>IFERROR(__xludf.DUMMYFUNCTION("if(isblank(A152),,REGEXMATCH(B152,""(^U *vs\. D *$)|(^D *vs\. U *$)""))"),FALSE)</f>
        <v>0</v>
      </c>
      <c r="AI152" s="37" t="b">
        <f>IFERROR(__xludf.DUMMYFUNCTION("if(isblank(A152),,REGEXMATCH(B152,""^U *vs\. U *$""))"),FALSE)</f>
        <v>0</v>
      </c>
      <c r="AJ152" s="37" t="b">
        <f>IFERROR(__xludf.DUMMYFUNCTION("if(isblank(A152),,REGEXMATCH(B152,""^((I ?vs\. ?(D ?I|I ?D))|((D ?I|I ?D) ?vs\. ?I)) *$""))"),FALSE)</f>
        <v>0</v>
      </c>
      <c r="AK152" s="37" t="b">
        <f>IFERROR(__xludf.DUMMYFUNCTION("if(isblank(A152),,REGEXMATCH(B152,""^((D ?vs\. ?(D ?I|I ?D))|((D ?I|I ?D) ?vs\. ?D)) *$""))"),FALSE)</f>
        <v>0</v>
      </c>
      <c r="AL152" s="37" t="b">
        <f>IFERROR(__xludf.DUMMYFUNCTION("if(isblank(A152),,REGEXMATCH(B152,""^((U ?vs\. ?(D ?I|I ?D))|((D ?I|I ?D) ?vs\. ?U)) *$""))"),FALSE)</f>
        <v>0</v>
      </c>
      <c r="AM152" s="37" t="b">
        <f>IFERROR(__xludf.DUMMYFUNCTION("if(isblank(A152),,REGEXMATCH(B152,""^((I ?vs\. ?(U ?I|I ?U))|((U ?I|I ?U) ?vs\. ?I)) *$""))"),FALSE)</f>
        <v>0</v>
      </c>
      <c r="AN152" s="37" t="b">
        <f>IFERROR(__xludf.DUMMYFUNCTION("if(isblank(A152),,REGEXMATCH(B152,""^((D ?vs\. ?(U ?I|I ?U))|((U ?I|I ?U) ?vs\. ?D)) *$""))"),FALSE)</f>
        <v>0</v>
      </c>
      <c r="AO152" s="37" t="b">
        <f>IFERROR(__xludf.DUMMYFUNCTION("if(isblank(A152),,REGEXMATCH(B152,""^((U ?vs\. ?(U ?I|I ?U))|((U ?I|I ?U) ?vs\. ?U)) *$""))"),FALSE)</f>
        <v>0</v>
      </c>
      <c r="AP152" s="37" t="b">
        <f>IFERROR(__xludf.DUMMYFUNCTION("if(isblank(A152),,REGEXMATCH(B152,""^((I ?vs\. ?(U ?D|D ?U))|((D ?U|U ?D) ?vs\. ?I)) *$""))"),FALSE)</f>
        <v>0</v>
      </c>
      <c r="AQ152" s="37" t="b">
        <f>IFERROR(__xludf.DUMMYFUNCTION("if(isblank(A152),,REGEXMATCH(B152,""^((D ?vs\. ?(U ?D|D ?U))|((D ?U|U ?D) ?vs\. ?D)) *$""))"),FALSE)</f>
        <v>0</v>
      </c>
      <c r="AR152" s="37" t="b">
        <f>IFERROR(__xludf.DUMMYFUNCTION("if(isblank(A152),,REGEXMATCH(B152,""^((U ?vs\. ?(U ?D|D ?U))|((D ?U|U ?D) ?vs\. ?U)) *$""))"),FALSE)</f>
        <v>0</v>
      </c>
      <c r="AS152" s="37" t="b">
        <f>IFERROR(__xludf.DUMMYFUNCTION("if(isblank(A152),,REGEXMATCH(B152,""^((D ?I|I ?D) ?vs\. ?(D ?I|I ?D)) *$""))"),FALSE)</f>
        <v>0</v>
      </c>
      <c r="AT152" s="37" t="b">
        <f>IFERROR(__xludf.DUMMYFUNCTION("if(isblank(A152),,REGEXMATCH(B152,""^((D ?I|I ?D) ?vs\. ?(U ?I|I ?U))|((U ?I|I ?U) ?vs\. ?(D ?I|I ?D)) *$""))"),TRUE)</f>
        <v>1</v>
      </c>
      <c r="AU152" s="37" t="b">
        <f>IFERROR(__xludf.DUMMYFUNCTION("if(isblank(A152),,REGEXMATCH(B152,""^((D ?I|I ?D) ?vs\. ?(U ?D|D ?U))|((U ?D|D ?U) ?vs\. ?(D ?I|I ?D)) *$""))"),FALSE)</f>
        <v>0</v>
      </c>
      <c r="AV152" s="37" t="b">
        <f>IFERROR(__xludf.DUMMYFUNCTION("if(isblank(A152),,REGEXMATCH(B152,""^((U ?I|I ?U) ?vs\. ?(U ?I|I ?U)) *$""))"),FALSE)</f>
        <v>0</v>
      </c>
    </row>
    <row r="153" ht="26.25" customHeight="1">
      <c r="A153" s="79" t="str">
        <f>Paper_Textual_Conflict!M153</f>
        <v>I vs. I</v>
      </c>
      <c r="B153" s="37" t="str">
        <f>IFERROR(__xludf.DUMMYFUNCTION("if(isblank(A153),,regexextract(REGEXEXTRACT(A153,""^.*""),""^[^(]*""))"),"I vs. I")</f>
        <v>I vs. I</v>
      </c>
      <c r="C153" s="37" t="b">
        <f>IFERROR(__xludf.DUMMYFUNCTION("if(isblank(A153),,REGEXMATCH(B153,"".*\+.*"") )"),FALSE)</f>
        <v>0</v>
      </c>
      <c r="D153" s="37" t="b">
        <f>IFERROR(__xludf.DUMMYFUNCTION("if(isblank(A153),,REGEXMATCH(B153,"".*vs.*"") )"),TRUE)</f>
        <v>1</v>
      </c>
      <c r="E153" s="37" t="b">
        <f>Paper_Textual_Conflict!H153</f>
        <v>1</v>
      </c>
      <c r="F153" s="37" t="str">
        <f>Paper_Textual_Conflict!Q153</f>
        <v>Java</v>
      </c>
      <c r="G153" s="33">
        <v>153.0</v>
      </c>
      <c r="H153" s="37" t="b">
        <f>IFERROR(__xludf.DUMMYFUNCTION("if(isblank(A153),,REGEXMATCH(B153,""^I *\+ I *$""))"),FALSE)</f>
        <v>0</v>
      </c>
      <c r="I153" s="37" t="b">
        <f>IFERROR(__xludf.DUMMYFUNCTION("if(isblank(A153),,REGEXMATCH(B153,""(^I *\+ D *$)|(^D *\+ I *$)""))"),FALSE)</f>
        <v>0</v>
      </c>
      <c r="J153" s="37" t="b">
        <f>IFERROR(__xludf.DUMMYFUNCTION("if(isblank(A153),,REGEXMATCH(B153,""(^I *\+ U *$)|(^U *\+ I *$)""))"),FALSE)</f>
        <v>0</v>
      </c>
      <c r="K153" s="37" t="b">
        <f>IFERROR(__xludf.DUMMYFUNCTION("if(isblank(A153),,REGEXMATCH(B153,""(^I *\+ N *$)|(^N *\+ I *$)"") )"),FALSE)</f>
        <v>0</v>
      </c>
      <c r="L153" s="37" t="b">
        <f>IFERROR(__xludf.DUMMYFUNCTION("if(isblank(A153),,REGEXMATCH(B153,""^D *\+ D *$""))"),FALSE)</f>
        <v>0</v>
      </c>
      <c r="M153" s="37" t="b">
        <f>IFERROR(__xludf.DUMMYFUNCTION("if(isblank(A153),,REGEXMATCH(B153,""(^U *\+ D *$)|(^D *\+ U *$)""))"),FALSE)</f>
        <v>0</v>
      </c>
      <c r="N153" s="37" t="b">
        <f>IFERROR(__xludf.DUMMYFUNCTION("if(isblank(A153),,REGEXMATCH(B153,""(^N *\+ D *$)|(^D *\+ N *$)""))"),FALSE)</f>
        <v>0</v>
      </c>
      <c r="O153" s="37" t="b">
        <f>IFERROR(__xludf.DUMMYFUNCTION("if(isblank(A153),,REGEXMATCH(B153,""^U *\+ U *$""))"),FALSE)</f>
        <v>0</v>
      </c>
      <c r="P153" s="37" t="b">
        <f>IFERROR(__xludf.DUMMYFUNCTION("if(isblank(A153),,REGEXMATCH(B153,""(^U *\+ N *$)|(^N *\+ U *$)""))"),FALSE)</f>
        <v>0</v>
      </c>
      <c r="Q153" s="37" t="b">
        <f>IFERROR(__xludf.DUMMYFUNCTION("if(isblank(A153),,REGEXMATCH(B153,""^((I ?\+ ?(D ?I|I ?D))|((D ?I|I ?D) ?\+ ?I)) *$""))"),FALSE)</f>
        <v>0</v>
      </c>
      <c r="R153" s="37" t="b">
        <f>IFERROR(__xludf.DUMMYFUNCTION("if(isblank(A153),,REGEXMATCH(B153,""^((D ?\+ ?(D ?I|I ?D))|((D ?I|I ?D) ?\+ ?D)) *$""))"),FALSE)</f>
        <v>0</v>
      </c>
      <c r="S153" s="37" t="b">
        <f>IFERROR(__xludf.DUMMYFUNCTION("if(isblank(A153),,REGEXMATCH(B153,""^((U ?\+ ?(D ?I|I ?D))|((D ?I|I ?D) ?\+ ?U)) *$""))"),FALSE)</f>
        <v>0</v>
      </c>
      <c r="T153" s="37" t="b">
        <f>IFERROR(__xludf.DUMMYFUNCTION("if(isblank(A153),,REGEXMATCH(B153,""^((N ?\+ ?(D ?I|I ?D))|((D ?I|I ?D) ?\+ ?N)) *$""))"),FALSE)</f>
        <v>0</v>
      </c>
      <c r="U153" s="37" t="b">
        <f>IFERROR(__xludf.DUMMYFUNCTION("if(isblank(A153),,REGEXMATCH(B153,""^((I ?\+ ?(U ?I|I ?U))|((I ?U|U ?I) ?\+ ?I)) *$""))"),FALSE)</f>
        <v>0</v>
      </c>
      <c r="V153" s="37" t="b">
        <f>IFERROR(__xludf.DUMMYFUNCTION("if(isblank(A153),,REGEXMATCH(B153,""^((D ?\+ ?(U ?I|I ?U))|((I ?U|U ?I) ?\+ ?D)) *$""))"),FALSE)</f>
        <v>0</v>
      </c>
      <c r="W153" s="37" t="b">
        <f>IFERROR(__xludf.DUMMYFUNCTION("if(isblank(A153),,REGEXMATCH(B153,""^((U ?\+ ?(U ?I|I ?U))|((I ?U|U ?I) ?\+ ?U)) *$""))"),FALSE)</f>
        <v>0</v>
      </c>
      <c r="X153" s="37" t="b">
        <f>IFERROR(__xludf.DUMMYFUNCTION("if(isblank(A153),,REGEXMATCH(B153,""^((N ?\+ ?(U ?I|I ?U))|((I ?U|U ?I) ?\+ ?N)) *$""))"),FALSE)</f>
        <v>0</v>
      </c>
      <c r="Y153" s="37" t="b">
        <f>IFERROR(__xludf.DUMMYFUNCTION("if(isblank(A153),,REGEXMATCH(B153,""^((I ?\+ ?(U ?D|D ?U))|((D ?U|U ?D) ?\+ ?I)) *$""))"),FALSE)</f>
        <v>0</v>
      </c>
      <c r="Z153" s="37" t="b">
        <f>IFERROR(__xludf.DUMMYFUNCTION("if(isblank(A153),,REGEXMATCH(B153,""^((D ?\+ ?(U ?D|D ?U))|((D ?U|U ?D) ?\+ ?D)) *$""))"),FALSE)</f>
        <v>0</v>
      </c>
      <c r="AA153" s="37" t="b">
        <f>IFERROR(__xludf.DUMMYFUNCTION("if(isblank(A153),,REGEXMATCH(B153,""^((U ?\+ ?(U ?D|D ?U))|((D ?U|U ?D) ?\+ ?U)) *$""))"),FALSE)</f>
        <v>0</v>
      </c>
      <c r="AB153" s="37" t="b">
        <f>IFERROR(__xludf.DUMMYFUNCTION("if(isblank(A153),,REGEXMATCH(B153,""^((D ?I|I ?D) ?\+ ?(D ?I|I ?D)) *$""))"),FALSE)</f>
        <v>0</v>
      </c>
      <c r="AC153" s="37" t="b">
        <f>IFERROR(__xludf.DUMMYFUNCTION("if(isblank(A153),,REGEXMATCH(B153,""^((D ?I|I ?D) ?\+ ?(U ?I|I ?U))|((U ?I|I ?U) ?\+ ?(D ?I|I ?D)) *$""))"),FALSE)</f>
        <v>0</v>
      </c>
      <c r="AD153" s="37" t="b">
        <f>IFERROR(__xludf.DUMMYFUNCTION("if(isblank(A153),,REGEXMATCH(B153,""^I *vs\. I *$""))"),TRUE)</f>
        <v>1</v>
      </c>
      <c r="AE153" s="37" t="b">
        <f>IFERROR(__xludf.DUMMYFUNCTION("if(isblank(A153),,REGEXMATCH(B153,""(^I *vs\. D *$)|(^D *vs\. I *$)""))"),FALSE)</f>
        <v>0</v>
      </c>
      <c r="AF153" s="37" t="b">
        <f>IFERROR(__xludf.DUMMYFUNCTION("if(isblank(A153),,REGEXMATCH(B153,""(^I *vs\. U *$)|(^U *vs\. I *$)""))"),FALSE)</f>
        <v>0</v>
      </c>
      <c r="AG153" s="37" t="b">
        <f>IFERROR(__xludf.DUMMYFUNCTION("if(isblank(A153),,REGEXMATCH(B153,""^D *vs\. D *$""))"),FALSE)</f>
        <v>0</v>
      </c>
      <c r="AH153" s="37" t="b">
        <f>IFERROR(__xludf.DUMMYFUNCTION("if(isblank(A153),,REGEXMATCH(B153,""(^U *vs\. D *$)|(^D *vs\. U *$)""))"),FALSE)</f>
        <v>0</v>
      </c>
      <c r="AI153" s="37" t="b">
        <f>IFERROR(__xludf.DUMMYFUNCTION("if(isblank(A153),,REGEXMATCH(B153,""^U *vs\. U *$""))"),FALSE)</f>
        <v>0</v>
      </c>
      <c r="AJ153" s="37" t="b">
        <f>IFERROR(__xludf.DUMMYFUNCTION("if(isblank(A153),,REGEXMATCH(B153,""^((I ?vs\. ?(D ?I|I ?D))|((D ?I|I ?D) ?vs\. ?I)) *$""))"),FALSE)</f>
        <v>0</v>
      </c>
      <c r="AK153" s="37" t="b">
        <f>IFERROR(__xludf.DUMMYFUNCTION("if(isblank(A153),,REGEXMATCH(B153,""^((D ?vs\. ?(D ?I|I ?D))|((D ?I|I ?D) ?vs\. ?D)) *$""))"),FALSE)</f>
        <v>0</v>
      </c>
      <c r="AL153" s="37" t="b">
        <f>IFERROR(__xludf.DUMMYFUNCTION("if(isblank(A153),,REGEXMATCH(B153,""^((U ?vs\. ?(D ?I|I ?D))|((D ?I|I ?D) ?vs\. ?U)) *$""))"),FALSE)</f>
        <v>0</v>
      </c>
      <c r="AM153" s="37" t="b">
        <f>IFERROR(__xludf.DUMMYFUNCTION("if(isblank(A153),,REGEXMATCH(B153,""^((I ?vs\. ?(U ?I|I ?U))|((U ?I|I ?U) ?vs\. ?I)) *$""))"),FALSE)</f>
        <v>0</v>
      </c>
      <c r="AN153" s="37" t="b">
        <f>IFERROR(__xludf.DUMMYFUNCTION("if(isblank(A153),,REGEXMATCH(B153,""^((D ?vs\. ?(U ?I|I ?U))|((U ?I|I ?U) ?vs\. ?D)) *$""))"),FALSE)</f>
        <v>0</v>
      </c>
      <c r="AO153" s="37" t="b">
        <f>IFERROR(__xludf.DUMMYFUNCTION("if(isblank(A153),,REGEXMATCH(B153,""^((U ?vs\. ?(U ?I|I ?U))|((U ?I|I ?U) ?vs\. ?U)) *$""))"),FALSE)</f>
        <v>0</v>
      </c>
      <c r="AP153" s="37" t="b">
        <f>IFERROR(__xludf.DUMMYFUNCTION("if(isblank(A153),,REGEXMATCH(B153,""^((I ?vs\. ?(U ?D|D ?U))|((D ?U|U ?D) ?vs\. ?I)) *$""))"),FALSE)</f>
        <v>0</v>
      </c>
      <c r="AQ153" s="37" t="b">
        <f>IFERROR(__xludf.DUMMYFUNCTION("if(isblank(A153),,REGEXMATCH(B153,""^((D ?vs\. ?(U ?D|D ?U))|((D ?U|U ?D) ?vs\. ?D)) *$""))"),FALSE)</f>
        <v>0</v>
      </c>
      <c r="AR153" s="37" t="b">
        <f>IFERROR(__xludf.DUMMYFUNCTION("if(isblank(A153),,REGEXMATCH(B153,""^((U ?vs\. ?(U ?D|D ?U))|((D ?U|U ?D) ?vs\. ?U)) *$""))"),FALSE)</f>
        <v>0</v>
      </c>
      <c r="AS153" s="37" t="b">
        <f>IFERROR(__xludf.DUMMYFUNCTION("if(isblank(A153),,REGEXMATCH(B153,""^((D ?I|I ?D) ?vs\. ?(D ?I|I ?D)) *$""))"),FALSE)</f>
        <v>0</v>
      </c>
      <c r="AT153" s="37" t="b">
        <f>IFERROR(__xludf.DUMMYFUNCTION("if(isblank(A153),,REGEXMATCH(B153,""^((D ?I|I ?D) ?vs\. ?(U ?I|I ?U))|((U ?I|I ?U) ?vs\. ?(D ?I|I ?D)) *$""))"),FALSE)</f>
        <v>0</v>
      </c>
      <c r="AU153" s="37" t="b">
        <f>IFERROR(__xludf.DUMMYFUNCTION("if(isblank(A153),,REGEXMATCH(B153,""^((D ?I|I ?D) ?vs\. ?(U ?D|D ?U))|((U ?D|D ?U) ?vs\. ?(D ?I|I ?D)) *$""))"),FALSE)</f>
        <v>0</v>
      </c>
      <c r="AV153" s="37" t="b">
        <f>IFERROR(__xludf.DUMMYFUNCTION("if(isblank(A153),,REGEXMATCH(B153,""^((U ?I|I ?U) ?vs\. ?(U ?I|I ?U)) *$""))"),FALSE)</f>
        <v>0</v>
      </c>
    </row>
    <row r="154" ht="26.25" customHeight="1">
      <c r="A154" s="79" t="str">
        <f>Paper_Textual_Conflict!M154</f>
        <v>I vs. I(.md)</v>
      </c>
      <c r="B154" s="37" t="str">
        <f>IFERROR(__xludf.DUMMYFUNCTION("if(isblank(A154),,regexextract(REGEXEXTRACT(A154,""^.*""),""^[^(]*""))"),"I vs. I")</f>
        <v>I vs. I</v>
      </c>
      <c r="C154" s="37" t="b">
        <f>IFERROR(__xludf.DUMMYFUNCTION("if(isblank(A154),,REGEXMATCH(B154,"".*\+.*"") )"),FALSE)</f>
        <v>0</v>
      </c>
      <c r="D154" s="37" t="b">
        <f>IFERROR(__xludf.DUMMYFUNCTION("if(isblank(A154),,REGEXMATCH(B154,"".*vs.*"") )"),TRUE)</f>
        <v>1</v>
      </c>
      <c r="E154" s="37" t="b">
        <f>Paper_Textual_Conflict!H154</f>
        <v>1</v>
      </c>
      <c r="F154" s="37" t="str">
        <f>Paper_Textual_Conflict!Q154</f>
        <v>Non-Java</v>
      </c>
      <c r="G154" s="33">
        <v>154.0</v>
      </c>
      <c r="H154" s="37" t="b">
        <f>IFERROR(__xludf.DUMMYFUNCTION("if(isblank(A154),,REGEXMATCH(B154,""^I *\+ I *$""))"),FALSE)</f>
        <v>0</v>
      </c>
      <c r="I154" s="37" t="b">
        <f>IFERROR(__xludf.DUMMYFUNCTION("if(isblank(A154),,REGEXMATCH(B154,""(^I *\+ D *$)|(^D *\+ I *$)""))"),FALSE)</f>
        <v>0</v>
      </c>
      <c r="J154" s="37" t="b">
        <f>IFERROR(__xludf.DUMMYFUNCTION("if(isblank(A154),,REGEXMATCH(B154,""(^I *\+ U *$)|(^U *\+ I *$)""))"),FALSE)</f>
        <v>0</v>
      </c>
      <c r="K154" s="37" t="b">
        <f>IFERROR(__xludf.DUMMYFUNCTION("if(isblank(A154),,REGEXMATCH(B154,""(^I *\+ N *$)|(^N *\+ I *$)"") )"),FALSE)</f>
        <v>0</v>
      </c>
      <c r="L154" s="37" t="b">
        <f>IFERROR(__xludf.DUMMYFUNCTION("if(isblank(A154),,REGEXMATCH(B154,""^D *\+ D *$""))"),FALSE)</f>
        <v>0</v>
      </c>
      <c r="M154" s="37" t="b">
        <f>IFERROR(__xludf.DUMMYFUNCTION("if(isblank(A154),,REGEXMATCH(B154,""(^U *\+ D *$)|(^D *\+ U *$)""))"),FALSE)</f>
        <v>0</v>
      </c>
      <c r="N154" s="37" t="b">
        <f>IFERROR(__xludf.DUMMYFUNCTION("if(isblank(A154),,REGEXMATCH(B154,""(^N *\+ D *$)|(^D *\+ N *$)""))"),FALSE)</f>
        <v>0</v>
      </c>
      <c r="O154" s="37" t="b">
        <f>IFERROR(__xludf.DUMMYFUNCTION("if(isblank(A154),,REGEXMATCH(B154,""^U *\+ U *$""))"),FALSE)</f>
        <v>0</v>
      </c>
      <c r="P154" s="37" t="b">
        <f>IFERROR(__xludf.DUMMYFUNCTION("if(isblank(A154),,REGEXMATCH(B154,""(^U *\+ N *$)|(^N *\+ U *$)""))"),FALSE)</f>
        <v>0</v>
      </c>
      <c r="Q154" s="37" t="b">
        <f>IFERROR(__xludf.DUMMYFUNCTION("if(isblank(A154),,REGEXMATCH(B154,""^((I ?\+ ?(D ?I|I ?D))|((D ?I|I ?D) ?\+ ?I)) *$""))"),FALSE)</f>
        <v>0</v>
      </c>
      <c r="R154" s="37" t="b">
        <f>IFERROR(__xludf.DUMMYFUNCTION("if(isblank(A154),,REGEXMATCH(B154,""^((D ?\+ ?(D ?I|I ?D))|((D ?I|I ?D) ?\+ ?D)) *$""))"),FALSE)</f>
        <v>0</v>
      </c>
      <c r="S154" s="37" t="b">
        <f>IFERROR(__xludf.DUMMYFUNCTION("if(isblank(A154),,REGEXMATCH(B154,""^((U ?\+ ?(D ?I|I ?D))|((D ?I|I ?D) ?\+ ?U)) *$""))"),FALSE)</f>
        <v>0</v>
      </c>
      <c r="T154" s="37" t="b">
        <f>IFERROR(__xludf.DUMMYFUNCTION("if(isblank(A154),,REGEXMATCH(B154,""^((N ?\+ ?(D ?I|I ?D))|((D ?I|I ?D) ?\+ ?N)) *$""))"),FALSE)</f>
        <v>0</v>
      </c>
      <c r="U154" s="37" t="b">
        <f>IFERROR(__xludf.DUMMYFUNCTION("if(isblank(A154),,REGEXMATCH(B154,""^((I ?\+ ?(U ?I|I ?U))|((I ?U|U ?I) ?\+ ?I)) *$""))"),FALSE)</f>
        <v>0</v>
      </c>
      <c r="V154" s="37" t="b">
        <f>IFERROR(__xludf.DUMMYFUNCTION("if(isblank(A154),,REGEXMATCH(B154,""^((D ?\+ ?(U ?I|I ?U))|((I ?U|U ?I) ?\+ ?D)) *$""))"),FALSE)</f>
        <v>0</v>
      </c>
      <c r="W154" s="37" t="b">
        <f>IFERROR(__xludf.DUMMYFUNCTION("if(isblank(A154),,REGEXMATCH(B154,""^((U ?\+ ?(U ?I|I ?U))|((I ?U|U ?I) ?\+ ?U)) *$""))"),FALSE)</f>
        <v>0</v>
      </c>
      <c r="X154" s="37" t="b">
        <f>IFERROR(__xludf.DUMMYFUNCTION("if(isblank(A154),,REGEXMATCH(B154,""^((N ?\+ ?(U ?I|I ?U))|((I ?U|U ?I) ?\+ ?N)) *$""))"),FALSE)</f>
        <v>0</v>
      </c>
      <c r="Y154" s="37" t="b">
        <f>IFERROR(__xludf.DUMMYFUNCTION("if(isblank(A154),,REGEXMATCH(B154,""^((I ?\+ ?(U ?D|D ?U))|((D ?U|U ?D) ?\+ ?I)) *$""))"),FALSE)</f>
        <v>0</v>
      </c>
      <c r="Z154" s="37" t="b">
        <f>IFERROR(__xludf.DUMMYFUNCTION("if(isblank(A154),,REGEXMATCH(B154,""^((D ?\+ ?(U ?D|D ?U))|((D ?U|U ?D) ?\+ ?D)) *$""))"),FALSE)</f>
        <v>0</v>
      </c>
      <c r="AA154" s="37" t="b">
        <f>IFERROR(__xludf.DUMMYFUNCTION("if(isblank(A154),,REGEXMATCH(B154,""^((U ?\+ ?(U ?D|D ?U))|((D ?U|U ?D) ?\+ ?U)) *$""))"),FALSE)</f>
        <v>0</v>
      </c>
      <c r="AB154" s="37" t="b">
        <f>IFERROR(__xludf.DUMMYFUNCTION("if(isblank(A154),,REGEXMATCH(B154,""^((D ?I|I ?D) ?\+ ?(D ?I|I ?D)) *$""))"),FALSE)</f>
        <v>0</v>
      </c>
      <c r="AC154" s="37" t="b">
        <f>IFERROR(__xludf.DUMMYFUNCTION("if(isblank(A154),,REGEXMATCH(B154,""^((D ?I|I ?D) ?\+ ?(U ?I|I ?U))|((U ?I|I ?U) ?\+ ?(D ?I|I ?D)) *$""))"),FALSE)</f>
        <v>0</v>
      </c>
      <c r="AD154" s="37" t="b">
        <f>IFERROR(__xludf.DUMMYFUNCTION("if(isblank(A154),,REGEXMATCH(B154,""^I *vs\. I *$""))"),TRUE)</f>
        <v>1</v>
      </c>
      <c r="AE154" s="37" t="b">
        <f>IFERROR(__xludf.DUMMYFUNCTION("if(isblank(A154),,REGEXMATCH(B154,""(^I *vs\. D *$)|(^D *vs\. I *$)""))"),FALSE)</f>
        <v>0</v>
      </c>
      <c r="AF154" s="37" t="b">
        <f>IFERROR(__xludf.DUMMYFUNCTION("if(isblank(A154),,REGEXMATCH(B154,""(^I *vs\. U *$)|(^U *vs\. I *$)""))"),FALSE)</f>
        <v>0</v>
      </c>
      <c r="AG154" s="37" t="b">
        <f>IFERROR(__xludf.DUMMYFUNCTION("if(isblank(A154),,REGEXMATCH(B154,""^D *vs\. D *$""))"),FALSE)</f>
        <v>0</v>
      </c>
      <c r="AH154" s="37" t="b">
        <f>IFERROR(__xludf.DUMMYFUNCTION("if(isblank(A154),,REGEXMATCH(B154,""(^U *vs\. D *$)|(^D *vs\. U *$)""))"),FALSE)</f>
        <v>0</v>
      </c>
      <c r="AI154" s="37" t="b">
        <f>IFERROR(__xludf.DUMMYFUNCTION("if(isblank(A154),,REGEXMATCH(B154,""^U *vs\. U *$""))"),FALSE)</f>
        <v>0</v>
      </c>
      <c r="AJ154" s="37" t="b">
        <f>IFERROR(__xludf.DUMMYFUNCTION("if(isblank(A154),,REGEXMATCH(B154,""^((I ?vs\. ?(D ?I|I ?D))|((D ?I|I ?D) ?vs\. ?I)) *$""))"),FALSE)</f>
        <v>0</v>
      </c>
      <c r="AK154" s="37" t="b">
        <f>IFERROR(__xludf.DUMMYFUNCTION("if(isblank(A154),,REGEXMATCH(B154,""^((D ?vs\. ?(D ?I|I ?D))|((D ?I|I ?D) ?vs\. ?D)) *$""))"),FALSE)</f>
        <v>0</v>
      </c>
      <c r="AL154" s="37" t="b">
        <f>IFERROR(__xludf.DUMMYFUNCTION("if(isblank(A154),,REGEXMATCH(B154,""^((U ?vs\. ?(D ?I|I ?D))|((D ?I|I ?D) ?vs\. ?U)) *$""))"),FALSE)</f>
        <v>0</v>
      </c>
      <c r="AM154" s="37" t="b">
        <f>IFERROR(__xludf.DUMMYFUNCTION("if(isblank(A154),,REGEXMATCH(B154,""^((I ?vs\. ?(U ?I|I ?U))|((U ?I|I ?U) ?vs\. ?I)) *$""))"),FALSE)</f>
        <v>0</v>
      </c>
      <c r="AN154" s="37" t="b">
        <f>IFERROR(__xludf.DUMMYFUNCTION("if(isblank(A154),,REGEXMATCH(B154,""^((D ?vs\. ?(U ?I|I ?U))|((U ?I|I ?U) ?vs\. ?D)) *$""))"),FALSE)</f>
        <v>0</v>
      </c>
      <c r="AO154" s="37" t="b">
        <f>IFERROR(__xludf.DUMMYFUNCTION("if(isblank(A154),,REGEXMATCH(B154,""^((U ?vs\. ?(U ?I|I ?U))|((U ?I|I ?U) ?vs\. ?U)) *$""))"),FALSE)</f>
        <v>0</v>
      </c>
      <c r="AP154" s="37" t="b">
        <f>IFERROR(__xludf.DUMMYFUNCTION("if(isblank(A154),,REGEXMATCH(B154,""^((I ?vs\. ?(U ?D|D ?U))|((D ?U|U ?D) ?vs\. ?I)) *$""))"),FALSE)</f>
        <v>0</v>
      </c>
      <c r="AQ154" s="37" t="b">
        <f>IFERROR(__xludf.DUMMYFUNCTION("if(isblank(A154),,REGEXMATCH(B154,""^((D ?vs\. ?(U ?D|D ?U))|((D ?U|U ?D) ?vs\. ?D)) *$""))"),FALSE)</f>
        <v>0</v>
      </c>
      <c r="AR154" s="37" t="b">
        <f>IFERROR(__xludf.DUMMYFUNCTION("if(isblank(A154),,REGEXMATCH(B154,""^((U ?vs\. ?(U ?D|D ?U))|((D ?U|U ?D) ?vs\. ?U)) *$""))"),FALSE)</f>
        <v>0</v>
      </c>
      <c r="AS154" s="37" t="b">
        <f>IFERROR(__xludf.DUMMYFUNCTION("if(isblank(A154),,REGEXMATCH(B154,""^((D ?I|I ?D) ?vs\. ?(D ?I|I ?D)) *$""))"),FALSE)</f>
        <v>0</v>
      </c>
      <c r="AT154" s="37" t="b">
        <f>IFERROR(__xludf.DUMMYFUNCTION("if(isblank(A154),,REGEXMATCH(B154,""^((D ?I|I ?D) ?vs\. ?(U ?I|I ?U))|((U ?I|I ?U) ?vs\. ?(D ?I|I ?D)) *$""))"),FALSE)</f>
        <v>0</v>
      </c>
      <c r="AU154" s="37" t="b">
        <f>IFERROR(__xludf.DUMMYFUNCTION("if(isblank(A154),,REGEXMATCH(B154,""^((D ?I|I ?D) ?vs\. ?(U ?D|D ?U))|((U ?D|D ?U) ?vs\. ?(D ?I|I ?D)) *$""))"),FALSE)</f>
        <v>0</v>
      </c>
      <c r="AV154" s="37" t="b">
        <f>IFERROR(__xludf.DUMMYFUNCTION("if(isblank(A154),,REGEXMATCH(B154,""^((U ?I|I ?U) ?vs\. ?(U ?I|I ?U)) *$""))"),FALSE)</f>
        <v>0</v>
      </c>
    </row>
    <row r="155" ht="26.25" customHeight="1">
      <c r="A155" s="79" t="str">
        <f>Paper_Textual_Conflict!M155</f>
        <v>U + U I</v>
      </c>
      <c r="B155" s="37" t="str">
        <f>IFERROR(__xludf.DUMMYFUNCTION("if(isblank(A155),,regexextract(REGEXEXTRACT(A155,""^.*""),""^[^(]*""))"),"U + U I")</f>
        <v>U + U I</v>
      </c>
      <c r="C155" s="37" t="b">
        <f>IFERROR(__xludf.DUMMYFUNCTION("if(isblank(A155),,REGEXMATCH(B155,"".*\+.*"") )"),TRUE)</f>
        <v>1</v>
      </c>
      <c r="D155" s="37" t="b">
        <f>IFERROR(__xludf.DUMMYFUNCTION("if(isblank(A155),,REGEXMATCH(B155,"".*vs.*"") )"),FALSE)</f>
        <v>0</v>
      </c>
      <c r="E155" s="37" t="b">
        <f>Paper_Textual_Conflict!H155</f>
        <v>0</v>
      </c>
      <c r="F155" s="37" t="str">
        <f>Paper_Textual_Conflict!Q155</f>
        <v>Java</v>
      </c>
      <c r="G155" s="33">
        <v>155.0</v>
      </c>
      <c r="H155" s="37" t="b">
        <f>IFERROR(__xludf.DUMMYFUNCTION("if(isblank(A155),,REGEXMATCH(B155,""^I *\+ I *$""))"),FALSE)</f>
        <v>0</v>
      </c>
      <c r="I155" s="37" t="b">
        <f>IFERROR(__xludf.DUMMYFUNCTION("if(isblank(A155),,REGEXMATCH(B155,""(^I *\+ D *$)|(^D *\+ I *$)""))"),FALSE)</f>
        <v>0</v>
      </c>
      <c r="J155" s="37" t="b">
        <f>IFERROR(__xludf.DUMMYFUNCTION("if(isblank(A155),,REGEXMATCH(B155,""(^I *\+ U *$)|(^U *\+ I *$)""))"),FALSE)</f>
        <v>0</v>
      </c>
      <c r="K155" s="37" t="b">
        <f>IFERROR(__xludf.DUMMYFUNCTION("if(isblank(A155),,REGEXMATCH(B155,""(^I *\+ N *$)|(^N *\+ I *$)"") )"),FALSE)</f>
        <v>0</v>
      </c>
      <c r="L155" s="37" t="b">
        <f>IFERROR(__xludf.DUMMYFUNCTION("if(isblank(A155),,REGEXMATCH(B155,""^D *\+ D *$""))"),FALSE)</f>
        <v>0</v>
      </c>
      <c r="M155" s="37" t="b">
        <f>IFERROR(__xludf.DUMMYFUNCTION("if(isblank(A155),,REGEXMATCH(B155,""(^U *\+ D *$)|(^D *\+ U *$)""))"),FALSE)</f>
        <v>0</v>
      </c>
      <c r="N155" s="37" t="b">
        <f>IFERROR(__xludf.DUMMYFUNCTION("if(isblank(A155),,REGEXMATCH(B155,""(^N *\+ D *$)|(^D *\+ N *$)""))"),FALSE)</f>
        <v>0</v>
      </c>
      <c r="O155" s="37" t="b">
        <f>IFERROR(__xludf.DUMMYFUNCTION("if(isblank(A155),,REGEXMATCH(B155,""^U *\+ U *$""))"),FALSE)</f>
        <v>0</v>
      </c>
      <c r="P155" s="37" t="b">
        <f>IFERROR(__xludf.DUMMYFUNCTION("if(isblank(A155),,REGEXMATCH(B155,""(^U *\+ N *$)|(^N *\+ U *$)""))"),FALSE)</f>
        <v>0</v>
      </c>
      <c r="Q155" s="37" t="b">
        <f>IFERROR(__xludf.DUMMYFUNCTION("if(isblank(A155),,REGEXMATCH(B155,""^((I ?\+ ?(D ?I|I ?D))|((D ?I|I ?D) ?\+ ?I)) *$""))"),FALSE)</f>
        <v>0</v>
      </c>
      <c r="R155" s="37" t="b">
        <f>IFERROR(__xludf.DUMMYFUNCTION("if(isblank(A155),,REGEXMATCH(B155,""^((D ?\+ ?(D ?I|I ?D))|((D ?I|I ?D) ?\+ ?D)) *$""))"),FALSE)</f>
        <v>0</v>
      </c>
      <c r="S155" s="37" t="b">
        <f>IFERROR(__xludf.DUMMYFUNCTION("if(isblank(A155),,REGEXMATCH(B155,""^((U ?\+ ?(D ?I|I ?D))|((D ?I|I ?D) ?\+ ?U)) *$""))"),FALSE)</f>
        <v>0</v>
      </c>
      <c r="T155" s="37" t="b">
        <f>IFERROR(__xludf.DUMMYFUNCTION("if(isblank(A155),,REGEXMATCH(B155,""^((N ?\+ ?(D ?I|I ?D))|((D ?I|I ?D) ?\+ ?N)) *$""))"),FALSE)</f>
        <v>0</v>
      </c>
      <c r="U155" s="37" t="b">
        <f>IFERROR(__xludf.DUMMYFUNCTION("if(isblank(A155),,REGEXMATCH(B155,""^((I ?\+ ?(U ?I|I ?U))|((I ?U|U ?I) ?\+ ?I)) *$""))"),FALSE)</f>
        <v>0</v>
      </c>
      <c r="V155" s="37" t="b">
        <f>IFERROR(__xludf.DUMMYFUNCTION("if(isblank(A155),,REGEXMATCH(B155,""^((D ?\+ ?(U ?I|I ?U))|((I ?U|U ?I) ?\+ ?D)) *$""))"),FALSE)</f>
        <v>0</v>
      </c>
      <c r="W155" s="37" t="b">
        <f>IFERROR(__xludf.DUMMYFUNCTION("if(isblank(A155),,REGEXMATCH(B155,""^((U ?\+ ?(U ?I|I ?U))|((I ?U|U ?I) ?\+ ?U)) *$""))"),TRUE)</f>
        <v>1</v>
      </c>
      <c r="X155" s="37" t="b">
        <f>IFERROR(__xludf.DUMMYFUNCTION("if(isblank(A155),,REGEXMATCH(B155,""^((N ?\+ ?(U ?I|I ?U))|((I ?U|U ?I) ?\+ ?N)) *$""))"),FALSE)</f>
        <v>0</v>
      </c>
      <c r="Y155" s="37" t="b">
        <f>IFERROR(__xludf.DUMMYFUNCTION("if(isblank(A155),,REGEXMATCH(B155,""^((I ?\+ ?(U ?D|D ?U))|((D ?U|U ?D) ?\+ ?I)) *$""))"),FALSE)</f>
        <v>0</v>
      </c>
      <c r="Z155" s="37" t="b">
        <f>IFERROR(__xludf.DUMMYFUNCTION("if(isblank(A155),,REGEXMATCH(B155,""^((D ?\+ ?(U ?D|D ?U))|((D ?U|U ?D) ?\+ ?D)) *$""))"),FALSE)</f>
        <v>0</v>
      </c>
      <c r="AA155" s="37" t="b">
        <f>IFERROR(__xludf.DUMMYFUNCTION("if(isblank(A155),,REGEXMATCH(B155,""^((U ?\+ ?(U ?D|D ?U))|((D ?U|U ?D) ?\+ ?U)) *$""))"),FALSE)</f>
        <v>0</v>
      </c>
      <c r="AB155" s="37" t="b">
        <f>IFERROR(__xludf.DUMMYFUNCTION("if(isblank(A155),,REGEXMATCH(B155,""^((D ?I|I ?D) ?\+ ?(D ?I|I ?D)) *$""))"),FALSE)</f>
        <v>0</v>
      </c>
      <c r="AC155" s="37" t="b">
        <f>IFERROR(__xludf.DUMMYFUNCTION("if(isblank(A155),,REGEXMATCH(B155,""^((D ?I|I ?D) ?\+ ?(U ?I|I ?U))|((U ?I|I ?U) ?\+ ?(D ?I|I ?D)) *$""))"),FALSE)</f>
        <v>0</v>
      </c>
      <c r="AD155" s="37" t="b">
        <f>IFERROR(__xludf.DUMMYFUNCTION("if(isblank(A155),,REGEXMATCH(B155,""^I *vs\. I *$""))"),FALSE)</f>
        <v>0</v>
      </c>
      <c r="AE155" s="37" t="b">
        <f>IFERROR(__xludf.DUMMYFUNCTION("if(isblank(A155),,REGEXMATCH(B155,""(^I *vs\. D *$)|(^D *vs\. I *$)""))"),FALSE)</f>
        <v>0</v>
      </c>
      <c r="AF155" s="37" t="b">
        <f>IFERROR(__xludf.DUMMYFUNCTION("if(isblank(A155),,REGEXMATCH(B155,""(^I *vs\. U *$)|(^U *vs\. I *$)""))"),FALSE)</f>
        <v>0</v>
      </c>
      <c r="AG155" s="37" t="b">
        <f>IFERROR(__xludf.DUMMYFUNCTION("if(isblank(A155),,REGEXMATCH(B155,""^D *vs\. D *$""))"),FALSE)</f>
        <v>0</v>
      </c>
      <c r="AH155" s="37" t="b">
        <f>IFERROR(__xludf.DUMMYFUNCTION("if(isblank(A155),,REGEXMATCH(B155,""(^U *vs\. D *$)|(^D *vs\. U *$)""))"),FALSE)</f>
        <v>0</v>
      </c>
      <c r="AI155" s="37" t="b">
        <f>IFERROR(__xludf.DUMMYFUNCTION("if(isblank(A155),,REGEXMATCH(B155,""^U *vs\. U *$""))"),FALSE)</f>
        <v>0</v>
      </c>
      <c r="AJ155" s="37" t="b">
        <f>IFERROR(__xludf.DUMMYFUNCTION("if(isblank(A155),,REGEXMATCH(B155,""^((I ?vs\. ?(D ?I|I ?D))|((D ?I|I ?D) ?vs\. ?I)) *$""))"),FALSE)</f>
        <v>0</v>
      </c>
      <c r="AK155" s="37" t="b">
        <f>IFERROR(__xludf.DUMMYFUNCTION("if(isblank(A155),,REGEXMATCH(B155,""^((D ?vs\. ?(D ?I|I ?D))|((D ?I|I ?D) ?vs\. ?D)) *$""))"),FALSE)</f>
        <v>0</v>
      </c>
      <c r="AL155" s="37" t="b">
        <f>IFERROR(__xludf.DUMMYFUNCTION("if(isblank(A155),,REGEXMATCH(B155,""^((U ?vs\. ?(D ?I|I ?D))|((D ?I|I ?D) ?vs\. ?U)) *$""))"),FALSE)</f>
        <v>0</v>
      </c>
      <c r="AM155" s="37" t="b">
        <f>IFERROR(__xludf.DUMMYFUNCTION("if(isblank(A155),,REGEXMATCH(B155,""^((I ?vs\. ?(U ?I|I ?U))|((U ?I|I ?U) ?vs\. ?I)) *$""))"),FALSE)</f>
        <v>0</v>
      </c>
      <c r="AN155" s="37" t="b">
        <f>IFERROR(__xludf.DUMMYFUNCTION("if(isblank(A155),,REGEXMATCH(B155,""^((D ?vs\. ?(U ?I|I ?U))|((U ?I|I ?U) ?vs\. ?D)) *$""))"),FALSE)</f>
        <v>0</v>
      </c>
      <c r="AO155" s="37" t="b">
        <f>IFERROR(__xludf.DUMMYFUNCTION("if(isblank(A155),,REGEXMATCH(B155,""^((U ?vs\. ?(U ?I|I ?U))|((U ?I|I ?U) ?vs\. ?U)) *$""))"),FALSE)</f>
        <v>0</v>
      </c>
      <c r="AP155" s="37" t="b">
        <f>IFERROR(__xludf.DUMMYFUNCTION("if(isblank(A155),,REGEXMATCH(B155,""^((I ?vs\. ?(U ?D|D ?U))|((D ?U|U ?D) ?vs\. ?I)) *$""))"),FALSE)</f>
        <v>0</v>
      </c>
      <c r="AQ155" s="37" t="b">
        <f>IFERROR(__xludf.DUMMYFUNCTION("if(isblank(A155),,REGEXMATCH(B155,""^((D ?vs\. ?(U ?D|D ?U))|((D ?U|U ?D) ?vs\. ?D)) *$""))"),FALSE)</f>
        <v>0</v>
      </c>
      <c r="AR155" s="37" t="b">
        <f>IFERROR(__xludf.DUMMYFUNCTION("if(isblank(A155),,REGEXMATCH(B155,""^((U ?vs\. ?(U ?D|D ?U))|((D ?U|U ?D) ?vs\. ?U)) *$""))"),FALSE)</f>
        <v>0</v>
      </c>
      <c r="AS155" s="37" t="b">
        <f>IFERROR(__xludf.DUMMYFUNCTION("if(isblank(A155),,REGEXMATCH(B155,""^((D ?I|I ?D) ?vs\. ?(D ?I|I ?D)) *$""))"),FALSE)</f>
        <v>0</v>
      </c>
      <c r="AT155" s="37" t="b">
        <f>IFERROR(__xludf.DUMMYFUNCTION("if(isblank(A155),,REGEXMATCH(B155,""^((D ?I|I ?D) ?vs\. ?(U ?I|I ?U))|((U ?I|I ?U) ?vs\. ?(D ?I|I ?D)) *$""))"),FALSE)</f>
        <v>0</v>
      </c>
      <c r="AU155" s="37" t="b">
        <f>IFERROR(__xludf.DUMMYFUNCTION("if(isblank(A155),,REGEXMATCH(B155,""^((D ?I|I ?D) ?vs\. ?(U ?D|D ?U))|((U ?D|D ?U) ?vs\. ?(D ?I|I ?D)) *$""))"),FALSE)</f>
        <v>0</v>
      </c>
      <c r="AV155" s="37" t="b">
        <f>IFERROR(__xludf.DUMMYFUNCTION("if(isblank(A155),,REGEXMATCH(B155,""^((U ?I|I ?U) ?vs\. ?(U ?I|I ?U)) *$""))"),FALSE)</f>
        <v>0</v>
      </c>
    </row>
    <row r="156" ht="26.25" customHeight="1">
      <c r="A156" s="79" t="str">
        <f>Paper_Textual_Conflict!M156</f>
        <v>D I vs. D I(Java code)
Origin(U vs. U)</v>
      </c>
      <c r="B156" s="37" t="str">
        <f>IFERROR(__xludf.DUMMYFUNCTION("if(isblank(A156),,regexextract(REGEXEXTRACT(A156,""^.*""),""^[^(]*""))"),"D I vs. D I")</f>
        <v>D I vs. D I</v>
      </c>
      <c r="C156" s="37" t="b">
        <f>IFERROR(__xludf.DUMMYFUNCTION("if(isblank(A156),,REGEXMATCH(B156,"".*\+.*"") )"),FALSE)</f>
        <v>0</v>
      </c>
      <c r="D156" s="37" t="b">
        <f>IFERROR(__xludf.DUMMYFUNCTION("if(isblank(A156),,REGEXMATCH(B156,"".*vs.*"") )"),TRUE)</f>
        <v>1</v>
      </c>
      <c r="E156" s="37" t="b">
        <f>Paper_Textual_Conflict!H156</f>
        <v>1</v>
      </c>
      <c r="F156" s="37" t="str">
        <f>Paper_Textual_Conflict!Q156</f>
        <v>Java</v>
      </c>
      <c r="G156" s="33">
        <v>156.0</v>
      </c>
      <c r="H156" s="37" t="b">
        <f>IFERROR(__xludf.DUMMYFUNCTION("if(isblank(A156),,REGEXMATCH(B156,""^I *\+ I *$""))"),FALSE)</f>
        <v>0</v>
      </c>
      <c r="I156" s="37" t="b">
        <f>IFERROR(__xludf.DUMMYFUNCTION("if(isblank(A156),,REGEXMATCH(B156,""(^I *\+ D *$)|(^D *\+ I *$)""))"),FALSE)</f>
        <v>0</v>
      </c>
      <c r="J156" s="37" t="b">
        <f>IFERROR(__xludf.DUMMYFUNCTION("if(isblank(A156),,REGEXMATCH(B156,""(^I *\+ U *$)|(^U *\+ I *$)""))"),FALSE)</f>
        <v>0</v>
      </c>
      <c r="K156" s="37" t="b">
        <f>IFERROR(__xludf.DUMMYFUNCTION("if(isblank(A156),,REGEXMATCH(B156,""(^I *\+ N *$)|(^N *\+ I *$)"") )"),FALSE)</f>
        <v>0</v>
      </c>
      <c r="L156" s="37" t="b">
        <f>IFERROR(__xludf.DUMMYFUNCTION("if(isblank(A156),,REGEXMATCH(B156,""^D *\+ D *$""))"),FALSE)</f>
        <v>0</v>
      </c>
      <c r="M156" s="37" t="b">
        <f>IFERROR(__xludf.DUMMYFUNCTION("if(isblank(A156),,REGEXMATCH(B156,""(^U *\+ D *$)|(^D *\+ U *$)""))"),FALSE)</f>
        <v>0</v>
      </c>
      <c r="N156" s="37" t="b">
        <f>IFERROR(__xludf.DUMMYFUNCTION("if(isblank(A156),,REGEXMATCH(B156,""(^N *\+ D *$)|(^D *\+ N *$)""))"),FALSE)</f>
        <v>0</v>
      </c>
      <c r="O156" s="37" t="b">
        <f>IFERROR(__xludf.DUMMYFUNCTION("if(isblank(A156),,REGEXMATCH(B156,""^U *\+ U *$""))"),FALSE)</f>
        <v>0</v>
      </c>
      <c r="P156" s="37" t="b">
        <f>IFERROR(__xludf.DUMMYFUNCTION("if(isblank(A156),,REGEXMATCH(B156,""(^U *\+ N *$)|(^N *\+ U *$)""))"),FALSE)</f>
        <v>0</v>
      </c>
      <c r="Q156" s="37" t="b">
        <f>IFERROR(__xludf.DUMMYFUNCTION("if(isblank(A156),,REGEXMATCH(B156,""^((I ?\+ ?(D ?I|I ?D))|((D ?I|I ?D) ?\+ ?I)) *$""))"),FALSE)</f>
        <v>0</v>
      </c>
      <c r="R156" s="37" t="b">
        <f>IFERROR(__xludf.DUMMYFUNCTION("if(isblank(A156),,REGEXMATCH(B156,""^((D ?\+ ?(D ?I|I ?D))|((D ?I|I ?D) ?\+ ?D)) *$""))"),FALSE)</f>
        <v>0</v>
      </c>
      <c r="S156" s="37" t="b">
        <f>IFERROR(__xludf.DUMMYFUNCTION("if(isblank(A156),,REGEXMATCH(B156,""^((U ?\+ ?(D ?I|I ?D))|((D ?I|I ?D) ?\+ ?U)) *$""))"),FALSE)</f>
        <v>0</v>
      </c>
      <c r="T156" s="37" t="b">
        <f>IFERROR(__xludf.DUMMYFUNCTION("if(isblank(A156),,REGEXMATCH(B156,""^((N ?\+ ?(D ?I|I ?D))|((D ?I|I ?D) ?\+ ?N)) *$""))"),FALSE)</f>
        <v>0</v>
      </c>
      <c r="U156" s="37" t="b">
        <f>IFERROR(__xludf.DUMMYFUNCTION("if(isblank(A156),,REGEXMATCH(B156,""^((I ?\+ ?(U ?I|I ?U))|((I ?U|U ?I) ?\+ ?I)) *$""))"),FALSE)</f>
        <v>0</v>
      </c>
      <c r="V156" s="37" t="b">
        <f>IFERROR(__xludf.DUMMYFUNCTION("if(isblank(A156),,REGEXMATCH(B156,""^((D ?\+ ?(U ?I|I ?U))|((I ?U|U ?I) ?\+ ?D)) *$""))"),FALSE)</f>
        <v>0</v>
      </c>
      <c r="W156" s="37" t="b">
        <f>IFERROR(__xludf.DUMMYFUNCTION("if(isblank(A156),,REGEXMATCH(B156,""^((U ?\+ ?(U ?I|I ?U))|((I ?U|U ?I) ?\+ ?U)) *$""))"),FALSE)</f>
        <v>0</v>
      </c>
      <c r="X156" s="37" t="b">
        <f>IFERROR(__xludf.DUMMYFUNCTION("if(isblank(A156),,REGEXMATCH(B156,""^((N ?\+ ?(U ?I|I ?U))|((I ?U|U ?I) ?\+ ?N)) *$""))"),FALSE)</f>
        <v>0</v>
      </c>
      <c r="Y156" s="37" t="b">
        <f>IFERROR(__xludf.DUMMYFUNCTION("if(isblank(A156),,REGEXMATCH(B156,""^((I ?\+ ?(U ?D|D ?U))|((D ?U|U ?D) ?\+ ?I)) *$""))"),FALSE)</f>
        <v>0</v>
      </c>
      <c r="Z156" s="37" t="b">
        <f>IFERROR(__xludf.DUMMYFUNCTION("if(isblank(A156),,REGEXMATCH(B156,""^((D ?\+ ?(U ?D|D ?U))|((D ?U|U ?D) ?\+ ?D)) *$""))"),FALSE)</f>
        <v>0</v>
      </c>
      <c r="AA156" s="37" t="b">
        <f>IFERROR(__xludf.DUMMYFUNCTION("if(isblank(A156),,REGEXMATCH(B156,""^((U ?\+ ?(U ?D|D ?U))|((D ?U|U ?D) ?\+ ?U)) *$""))"),FALSE)</f>
        <v>0</v>
      </c>
      <c r="AB156" s="37" t="b">
        <f>IFERROR(__xludf.DUMMYFUNCTION("if(isblank(A156),,REGEXMATCH(B156,""^((D ?I|I ?D) ?\+ ?(D ?I|I ?D)) *$""))"),FALSE)</f>
        <v>0</v>
      </c>
      <c r="AC156" s="37" t="b">
        <f>IFERROR(__xludf.DUMMYFUNCTION("if(isblank(A156),,REGEXMATCH(B156,""^((D ?I|I ?D) ?\+ ?(U ?I|I ?U))|((U ?I|I ?U) ?\+ ?(D ?I|I ?D)) *$""))"),FALSE)</f>
        <v>0</v>
      </c>
      <c r="AD156" s="37" t="b">
        <f>IFERROR(__xludf.DUMMYFUNCTION("if(isblank(A156),,REGEXMATCH(B156,""^I *vs\. I *$""))"),FALSE)</f>
        <v>0</v>
      </c>
      <c r="AE156" s="37" t="b">
        <f>IFERROR(__xludf.DUMMYFUNCTION("if(isblank(A156),,REGEXMATCH(B156,""(^I *vs\. D *$)|(^D *vs\. I *$)""))"),FALSE)</f>
        <v>0</v>
      </c>
      <c r="AF156" s="37" t="b">
        <f>IFERROR(__xludf.DUMMYFUNCTION("if(isblank(A156),,REGEXMATCH(B156,""(^I *vs\. U *$)|(^U *vs\. I *$)""))"),FALSE)</f>
        <v>0</v>
      </c>
      <c r="AG156" s="37" t="b">
        <f>IFERROR(__xludf.DUMMYFUNCTION("if(isblank(A156),,REGEXMATCH(B156,""^D *vs\. D *$""))"),FALSE)</f>
        <v>0</v>
      </c>
      <c r="AH156" s="37" t="b">
        <f>IFERROR(__xludf.DUMMYFUNCTION("if(isblank(A156),,REGEXMATCH(B156,""(^U *vs\. D *$)|(^D *vs\. U *$)""))"),FALSE)</f>
        <v>0</v>
      </c>
      <c r="AI156" s="37" t="b">
        <f>IFERROR(__xludf.DUMMYFUNCTION("if(isblank(A156),,REGEXMATCH(B156,""^U *vs\. U *$""))"),FALSE)</f>
        <v>0</v>
      </c>
      <c r="AJ156" s="37" t="b">
        <f>IFERROR(__xludf.DUMMYFUNCTION("if(isblank(A156),,REGEXMATCH(B156,""^((I ?vs\. ?(D ?I|I ?D))|((D ?I|I ?D) ?vs\. ?I)) *$""))"),FALSE)</f>
        <v>0</v>
      </c>
      <c r="AK156" s="37" t="b">
        <f>IFERROR(__xludf.DUMMYFUNCTION("if(isblank(A156),,REGEXMATCH(B156,""^((D ?vs\. ?(D ?I|I ?D))|((D ?I|I ?D) ?vs\. ?D)) *$""))"),FALSE)</f>
        <v>0</v>
      </c>
      <c r="AL156" s="37" t="b">
        <f>IFERROR(__xludf.DUMMYFUNCTION("if(isblank(A156),,REGEXMATCH(B156,""^((U ?vs\. ?(D ?I|I ?D))|((D ?I|I ?D) ?vs\. ?U)) *$""))"),FALSE)</f>
        <v>0</v>
      </c>
      <c r="AM156" s="37" t="b">
        <f>IFERROR(__xludf.DUMMYFUNCTION("if(isblank(A156),,REGEXMATCH(B156,""^((I ?vs\. ?(U ?I|I ?U))|((U ?I|I ?U) ?vs\. ?I)) *$""))"),FALSE)</f>
        <v>0</v>
      </c>
      <c r="AN156" s="37" t="b">
        <f>IFERROR(__xludf.DUMMYFUNCTION("if(isblank(A156),,REGEXMATCH(B156,""^((D ?vs\. ?(U ?I|I ?U))|((U ?I|I ?U) ?vs\. ?D)) *$""))"),FALSE)</f>
        <v>0</v>
      </c>
      <c r="AO156" s="37" t="b">
        <f>IFERROR(__xludf.DUMMYFUNCTION("if(isblank(A156),,REGEXMATCH(B156,""^((U ?vs\. ?(U ?I|I ?U))|((U ?I|I ?U) ?vs\. ?U)) *$""))"),FALSE)</f>
        <v>0</v>
      </c>
      <c r="AP156" s="37" t="b">
        <f>IFERROR(__xludf.DUMMYFUNCTION("if(isblank(A156),,REGEXMATCH(B156,""^((I ?vs\. ?(U ?D|D ?U))|((D ?U|U ?D) ?vs\. ?I)) *$""))"),FALSE)</f>
        <v>0</v>
      </c>
      <c r="AQ156" s="37" t="b">
        <f>IFERROR(__xludf.DUMMYFUNCTION("if(isblank(A156),,REGEXMATCH(B156,""^((D ?vs\. ?(U ?D|D ?U))|((D ?U|U ?D) ?vs\. ?D)) *$""))"),FALSE)</f>
        <v>0</v>
      </c>
      <c r="AR156" s="37" t="b">
        <f>IFERROR(__xludf.DUMMYFUNCTION("if(isblank(A156),,REGEXMATCH(B156,""^((U ?vs\. ?(U ?D|D ?U))|((D ?U|U ?D) ?vs\. ?U)) *$""))"),FALSE)</f>
        <v>0</v>
      </c>
      <c r="AS156" s="37" t="b">
        <f>IFERROR(__xludf.DUMMYFUNCTION("if(isblank(A156),,REGEXMATCH(B156,""^((D ?I|I ?D) ?vs\. ?(D ?I|I ?D)) *$""))"),TRUE)</f>
        <v>1</v>
      </c>
      <c r="AT156" s="37" t="b">
        <f>IFERROR(__xludf.DUMMYFUNCTION("if(isblank(A156),,REGEXMATCH(B156,""^((D ?I|I ?D) ?vs\. ?(U ?I|I ?U))|((U ?I|I ?U) ?vs\. ?(D ?I|I ?D)) *$""))"),FALSE)</f>
        <v>0</v>
      </c>
      <c r="AU156" s="37" t="b">
        <f>IFERROR(__xludf.DUMMYFUNCTION("if(isblank(A156),,REGEXMATCH(B156,""^((D ?I|I ?D) ?vs\. ?(U ?D|D ?U))|((U ?D|D ?U) ?vs\. ?(D ?I|I ?D)) *$""))"),FALSE)</f>
        <v>0</v>
      </c>
      <c r="AV156" s="37" t="b">
        <f>IFERROR(__xludf.DUMMYFUNCTION("if(isblank(A156),,REGEXMATCH(B156,""^((U ?I|I ?U) ?vs\. ?(U ?I|I ?U)) *$""))"),FALSE)</f>
        <v>0</v>
      </c>
    </row>
    <row r="157" ht="26.25" customHeight="1">
      <c r="A157" s="79" t="str">
        <f>Paper_Textual_Conflict!M157</f>
        <v>D vs. U (.md file deletion vs. update)</v>
      </c>
      <c r="B157" s="37" t="str">
        <f>IFERROR(__xludf.DUMMYFUNCTION("if(isblank(A157),,regexextract(REGEXEXTRACT(A157,""^.*""),""^[^(]*""))"),"D vs. U ")</f>
        <v>D vs. U </v>
      </c>
      <c r="C157" s="37" t="b">
        <f>IFERROR(__xludf.DUMMYFUNCTION("if(isblank(A157),,REGEXMATCH(B157,"".*\+.*"") )"),FALSE)</f>
        <v>0</v>
      </c>
      <c r="D157" s="37" t="b">
        <f>IFERROR(__xludf.DUMMYFUNCTION("if(isblank(A157),,REGEXMATCH(B157,"".*vs.*"") )"),TRUE)</f>
        <v>1</v>
      </c>
      <c r="E157" s="37" t="b">
        <f>Paper_Textual_Conflict!H157</f>
        <v>1</v>
      </c>
      <c r="F157" s="37" t="str">
        <f>Paper_Textual_Conflict!Q157</f>
        <v>Non-Java</v>
      </c>
      <c r="G157" s="33">
        <v>157.0</v>
      </c>
      <c r="H157" s="37" t="b">
        <f>IFERROR(__xludf.DUMMYFUNCTION("if(isblank(A157),,REGEXMATCH(B157,""^I *\+ I *$""))"),FALSE)</f>
        <v>0</v>
      </c>
      <c r="I157" s="37" t="b">
        <f>IFERROR(__xludf.DUMMYFUNCTION("if(isblank(A157),,REGEXMATCH(B157,""(^I *\+ D *$)|(^D *\+ I *$)""))"),FALSE)</f>
        <v>0</v>
      </c>
      <c r="J157" s="37" t="b">
        <f>IFERROR(__xludf.DUMMYFUNCTION("if(isblank(A157),,REGEXMATCH(B157,""(^I *\+ U *$)|(^U *\+ I *$)""))"),FALSE)</f>
        <v>0</v>
      </c>
      <c r="K157" s="37" t="b">
        <f>IFERROR(__xludf.DUMMYFUNCTION("if(isblank(A157),,REGEXMATCH(B157,""(^I *\+ N *$)|(^N *\+ I *$)"") )"),FALSE)</f>
        <v>0</v>
      </c>
      <c r="L157" s="37" t="b">
        <f>IFERROR(__xludf.DUMMYFUNCTION("if(isblank(A157),,REGEXMATCH(B157,""^D *\+ D *$""))"),FALSE)</f>
        <v>0</v>
      </c>
      <c r="M157" s="37" t="b">
        <f>IFERROR(__xludf.DUMMYFUNCTION("if(isblank(A157),,REGEXMATCH(B157,""(^U *\+ D *$)|(^D *\+ U *$)""))"),FALSE)</f>
        <v>0</v>
      </c>
      <c r="N157" s="37" t="b">
        <f>IFERROR(__xludf.DUMMYFUNCTION("if(isblank(A157),,REGEXMATCH(B157,""(^N *\+ D *$)|(^D *\+ N *$)""))"),FALSE)</f>
        <v>0</v>
      </c>
      <c r="O157" s="37" t="b">
        <f>IFERROR(__xludf.DUMMYFUNCTION("if(isblank(A157),,REGEXMATCH(B157,""^U *\+ U *$""))"),FALSE)</f>
        <v>0</v>
      </c>
      <c r="P157" s="37" t="b">
        <f>IFERROR(__xludf.DUMMYFUNCTION("if(isblank(A157),,REGEXMATCH(B157,""(^U *\+ N *$)|(^N *\+ U *$)""))"),FALSE)</f>
        <v>0</v>
      </c>
      <c r="Q157" s="37" t="b">
        <f>IFERROR(__xludf.DUMMYFUNCTION("if(isblank(A157),,REGEXMATCH(B157,""^((I ?\+ ?(D ?I|I ?D))|((D ?I|I ?D) ?\+ ?I)) *$""))"),FALSE)</f>
        <v>0</v>
      </c>
      <c r="R157" s="37" t="b">
        <f>IFERROR(__xludf.DUMMYFUNCTION("if(isblank(A157),,REGEXMATCH(B157,""^((D ?\+ ?(D ?I|I ?D))|((D ?I|I ?D) ?\+ ?D)) *$""))"),FALSE)</f>
        <v>0</v>
      </c>
      <c r="S157" s="37" t="b">
        <f>IFERROR(__xludf.DUMMYFUNCTION("if(isblank(A157),,REGEXMATCH(B157,""^((U ?\+ ?(D ?I|I ?D))|((D ?I|I ?D) ?\+ ?U)) *$""))"),FALSE)</f>
        <v>0</v>
      </c>
      <c r="T157" s="37" t="b">
        <f>IFERROR(__xludf.DUMMYFUNCTION("if(isblank(A157),,REGEXMATCH(B157,""^((N ?\+ ?(D ?I|I ?D))|((D ?I|I ?D) ?\+ ?N)) *$""))"),FALSE)</f>
        <v>0</v>
      </c>
      <c r="U157" s="37" t="b">
        <f>IFERROR(__xludf.DUMMYFUNCTION("if(isblank(A157),,REGEXMATCH(B157,""^((I ?\+ ?(U ?I|I ?U))|((I ?U|U ?I) ?\+ ?I)) *$""))"),FALSE)</f>
        <v>0</v>
      </c>
      <c r="V157" s="37" t="b">
        <f>IFERROR(__xludf.DUMMYFUNCTION("if(isblank(A157),,REGEXMATCH(B157,""^((D ?\+ ?(U ?I|I ?U))|((I ?U|U ?I) ?\+ ?D)) *$""))"),FALSE)</f>
        <v>0</v>
      </c>
      <c r="W157" s="37" t="b">
        <f>IFERROR(__xludf.DUMMYFUNCTION("if(isblank(A157),,REGEXMATCH(B157,""^((U ?\+ ?(U ?I|I ?U))|((I ?U|U ?I) ?\+ ?U)) *$""))"),FALSE)</f>
        <v>0</v>
      </c>
      <c r="X157" s="37" t="b">
        <f>IFERROR(__xludf.DUMMYFUNCTION("if(isblank(A157),,REGEXMATCH(B157,""^((N ?\+ ?(U ?I|I ?U))|((I ?U|U ?I) ?\+ ?N)) *$""))"),FALSE)</f>
        <v>0</v>
      </c>
      <c r="Y157" s="37" t="b">
        <f>IFERROR(__xludf.DUMMYFUNCTION("if(isblank(A157),,REGEXMATCH(B157,""^((I ?\+ ?(U ?D|D ?U))|((D ?U|U ?D) ?\+ ?I)) *$""))"),FALSE)</f>
        <v>0</v>
      </c>
      <c r="Z157" s="37" t="b">
        <f>IFERROR(__xludf.DUMMYFUNCTION("if(isblank(A157),,REGEXMATCH(B157,""^((D ?\+ ?(U ?D|D ?U))|((D ?U|U ?D) ?\+ ?D)) *$""))"),FALSE)</f>
        <v>0</v>
      </c>
      <c r="AA157" s="37" t="b">
        <f>IFERROR(__xludf.DUMMYFUNCTION("if(isblank(A157),,REGEXMATCH(B157,""^((U ?\+ ?(U ?D|D ?U))|((D ?U|U ?D) ?\+ ?U)) *$""))"),FALSE)</f>
        <v>0</v>
      </c>
      <c r="AB157" s="37" t="b">
        <f>IFERROR(__xludf.DUMMYFUNCTION("if(isblank(A157),,REGEXMATCH(B157,""^((D ?I|I ?D) ?\+ ?(D ?I|I ?D)) *$""))"),FALSE)</f>
        <v>0</v>
      </c>
      <c r="AC157" s="37" t="b">
        <f>IFERROR(__xludf.DUMMYFUNCTION("if(isblank(A157),,REGEXMATCH(B157,""^((D ?I|I ?D) ?\+ ?(U ?I|I ?U))|((U ?I|I ?U) ?\+ ?(D ?I|I ?D)) *$""))"),FALSE)</f>
        <v>0</v>
      </c>
      <c r="AD157" s="37" t="b">
        <f>IFERROR(__xludf.DUMMYFUNCTION("if(isblank(A157),,REGEXMATCH(B157,""^I *vs\. I *$""))"),FALSE)</f>
        <v>0</v>
      </c>
      <c r="AE157" s="37" t="b">
        <f>IFERROR(__xludf.DUMMYFUNCTION("if(isblank(A157),,REGEXMATCH(B157,""(^I *vs\. D *$)|(^D *vs\. I *$)""))"),FALSE)</f>
        <v>0</v>
      </c>
      <c r="AF157" s="37" t="b">
        <f>IFERROR(__xludf.DUMMYFUNCTION("if(isblank(A157),,REGEXMATCH(B157,""(^I *vs\. U *$)|(^U *vs\. I *$)""))"),FALSE)</f>
        <v>0</v>
      </c>
      <c r="AG157" s="37" t="b">
        <f>IFERROR(__xludf.DUMMYFUNCTION("if(isblank(A157),,REGEXMATCH(B157,""^D *vs\. D *$""))"),FALSE)</f>
        <v>0</v>
      </c>
      <c r="AH157" s="37" t="b">
        <f>IFERROR(__xludf.DUMMYFUNCTION("if(isblank(A157),,REGEXMATCH(B157,""(^U *vs\. D *$)|(^D *vs\. U *$)""))"),TRUE)</f>
        <v>1</v>
      </c>
      <c r="AI157" s="37" t="b">
        <f>IFERROR(__xludf.DUMMYFUNCTION("if(isblank(A157),,REGEXMATCH(B157,""^U *vs\. U *$""))"),FALSE)</f>
        <v>0</v>
      </c>
      <c r="AJ157" s="37" t="b">
        <f>IFERROR(__xludf.DUMMYFUNCTION("if(isblank(A157),,REGEXMATCH(B157,""^((I ?vs\. ?(D ?I|I ?D))|((D ?I|I ?D) ?vs\. ?I)) *$""))"),FALSE)</f>
        <v>0</v>
      </c>
      <c r="AK157" s="37" t="b">
        <f>IFERROR(__xludf.DUMMYFUNCTION("if(isblank(A157),,REGEXMATCH(B157,""^((D ?vs\. ?(D ?I|I ?D))|((D ?I|I ?D) ?vs\. ?D)) *$""))"),FALSE)</f>
        <v>0</v>
      </c>
      <c r="AL157" s="37" t="b">
        <f>IFERROR(__xludf.DUMMYFUNCTION("if(isblank(A157),,REGEXMATCH(B157,""^((U ?vs\. ?(D ?I|I ?D))|((D ?I|I ?D) ?vs\. ?U)) *$""))"),FALSE)</f>
        <v>0</v>
      </c>
      <c r="AM157" s="37" t="b">
        <f>IFERROR(__xludf.DUMMYFUNCTION("if(isblank(A157),,REGEXMATCH(B157,""^((I ?vs\. ?(U ?I|I ?U))|((U ?I|I ?U) ?vs\. ?I)) *$""))"),FALSE)</f>
        <v>0</v>
      </c>
      <c r="AN157" s="37" t="b">
        <f>IFERROR(__xludf.DUMMYFUNCTION("if(isblank(A157),,REGEXMATCH(B157,""^((D ?vs\. ?(U ?I|I ?U))|((U ?I|I ?U) ?vs\. ?D)) *$""))"),FALSE)</f>
        <v>0</v>
      </c>
      <c r="AO157" s="37" t="b">
        <f>IFERROR(__xludf.DUMMYFUNCTION("if(isblank(A157),,REGEXMATCH(B157,""^((U ?vs\. ?(U ?I|I ?U))|((U ?I|I ?U) ?vs\. ?U)) *$""))"),FALSE)</f>
        <v>0</v>
      </c>
      <c r="AP157" s="37" t="b">
        <f>IFERROR(__xludf.DUMMYFUNCTION("if(isblank(A157),,REGEXMATCH(B157,""^((I ?vs\. ?(U ?D|D ?U))|((D ?U|U ?D) ?vs\. ?I)) *$""))"),FALSE)</f>
        <v>0</v>
      </c>
      <c r="AQ157" s="37" t="b">
        <f>IFERROR(__xludf.DUMMYFUNCTION("if(isblank(A157),,REGEXMATCH(B157,""^((D ?vs\. ?(U ?D|D ?U))|((D ?U|U ?D) ?vs\. ?D)) *$""))"),FALSE)</f>
        <v>0</v>
      </c>
      <c r="AR157" s="37" t="b">
        <f>IFERROR(__xludf.DUMMYFUNCTION("if(isblank(A157),,REGEXMATCH(B157,""^((U ?vs\. ?(U ?D|D ?U))|((D ?U|U ?D) ?vs\. ?U)) *$""))"),FALSE)</f>
        <v>0</v>
      </c>
      <c r="AS157" s="37" t="b">
        <f>IFERROR(__xludf.DUMMYFUNCTION("if(isblank(A157),,REGEXMATCH(B157,""^((D ?I|I ?D) ?vs\. ?(D ?I|I ?D)) *$""))"),FALSE)</f>
        <v>0</v>
      </c>
      <c r="AT157" s="37" t="b">
        <f>IFERROR(__xludf.DUMMYFUNCTION("if(isblank(A157),,REGEXMATCH(B157,""^((D ?I|I ?D) ?vs\. ?(U ?I|I ?U))|((U ?I|I ?U) ?vs\. ?(D ?I|I ?D)) *$""))"),FALSE)</f>
        <v>0</v>
      </c>
      <c r="AU157" s="37" t="b">
        <f>IFERROR(__xludf.DUMMYFUNCTION("if(isblank(A157),,REGEXMATCH(B157,""^((D ?I|I ?D) ?vs\. ?(U ?D|D ?U))|((U ?D|D ?U) ?vs\. ?(D ?I|I ?D)) *$""))"),FALSE)</f>
        <v>0</v>
      </c>
      <c r="AV157" s="37" t="b">
        <f>IFERROR(__xludf.DUMMYFUNCTION("if(isblank(A157),,REGEXMATCH(B157,""^((U ?I|I ?U) ?vs\. ?(U ?I|I ?U)) *$""))"),FALSE)</f>
        <v>0</v>
      </c>
    </row>
    <row r="158" ht="26.25" customHeight="1">
      <c r="A158" s="79" t="str">
        <f>Paper_Textual_Conflict!M158</f>
        <v>U + I (import)
Origin(D I vs. I)</v>
      </c>
      <c r="B158" s="37" t="str">
        <f>IFERROR(__xludf.DUMMYFUNCTION("if(isblank(A158),,regexextract(REGEXEXTRACT(A158,""^.*""),""^[^(]*""))"),"U + I ")</f>
        <v>U + I </v>
      </c>
      <c r="C158" s="37" t="b">
        <f>IFERROR(__xludf.DUMMYFUNCTION("if(isblank(A158),,REGEXMATCH(B158,"".*\+.*"") )"),TRUE)</f>
        <v>1</v>
      </c>
      <c r="D158" s="37" t="b">
        <f>IFERROR(__xludf.DUMMYFUNCTION("if(isblank(A158),,REGEXMATCH(B158,"".*vs.*"") )"),FALSE)</f>
        <v>0</v>
      </c>
      <c r="E158" s="37" t="b">
        <f>Paper_Textual_Conflict!H158</f>
        <v>0</v>
      </c>
      <c r="F158" s="37" t="str">
        <f>Paper_Textual_Conflict!Q158</f>
        <v>Java</v>
      </c>
      <c r="G158" s="33">
        <v>158.0</v>
      </c>
      <c r="H158" s="37" t="b">
        <f>IFERROR(__xludf.DUMMYFUNCTION("if(isblank(A158),,REGEXMATCH(B158,""^I *\+ I *$""))"),FALSE)</f>
        <v>0</v>
      </c>
      <c r="I158" s="37" t="b">
        <f>IFERROR(__xludf.DUMMYFUNCTION("if(isblank(A158),,REGEXMATCH(B158,""(^I *\+ D *$)|(^D *\+ I *$)""))"),FALSE)</f>
        <v>0</v>
      </c>
      <c r="J158" s="37" t="b">
        <f>IFERROR(__xludf.DUMMYFUNCTION("if(isblank(A158),,REGEXMATCH(B158,""(^I *\+ U *$)|(^U *\+ I *$)""))"),TRUE)</f>
        <v>1</v>
      </c>
      <c r="K158" s="37" t="b">
        <f>IFERROR(__xludf.DUMMYFUNCTION("if(isblank(A158),,REGEXMATCH(B158,""(^I *\+ N *$)|(^N *\+ I *$)"") )"),FALSE)</f>
        <v>0</v>
      </c>
      <c r="L158" s="37" t="b">
        <f>IFERROR(__xludf.DUMMYFUNCTION("if(isblank(A158),,REGEXMATCH(B158,""^D *\+ D *$""))"),FALSE)</f>
        <v>0</v>
      </c>
      <c r="M158" s="37" t="b">
        <f>IFERROR(__xludf.DUMMYFUNCTION("if(isblank(A158),,REGEXMATCH(B158,""(^U *\+ D *$)|(^D *\+ U *$)""))"),FALSE)</f>
        <v>0</v>
      </c>
      <c r="N158" s="37" t="b">
        <f>IFERROR(__xludf.DUMMYFUNCTION("if(isblank(A158),,REGEXMATCH(B158,""(^N *\+ D *$)|(^D *\+ N *$)""))"),FALSE)</f>
        <v>0</v>
      </c>
      <c r="O158" s="37" t="b">
        <f>IFERROR(__xludf.DUMMYFUNCTION("if(isblank(A158),,REGEXMATCH(B158,""^U *\+ U *$""))"),FALSE)</f>
        <v>0</v>
      </c>
      <c r="P158" s="37" t="b">
        <f>IFERROR(__xludf.DUMMYFUNCTION("if(isblank(A158),,REGEXMATCH(B158,""(^U *\+ N *$)|(^N *\+ U *$)""))"),FALSE)</f>
        <v>0</v>
      </c>
      <c r="Q158" s="37" t="b">
        <f>IFERROR(__xludf.DUMMYFUNCTION("if(isblank(A158),,REGEXMATCH(B158,""^((I ?\+ ?(D ?I|I ?D))|((D ?I|I ?D) ?\+ ?I)) *$""))"),FALSE)</f>
        <v>0</v>
      </c>
      <c r="R158" s="37" t="b">
        <f>IFERROR(__xludf.DUMMYFUNCTION("if(isblank(A158),,REGEXMATCH(B158,""^((D ?\+ ?(D ?I|I ?D))|((D ?I|I ?D) ?\+ ?D)) *$""))"),FALSE)</f>
        <v>0</v>
      </c>
      <c r="S158" s="37" t="b">
        <f>IFERROR(__xludf.DUMMYFUNCTION("if(isblank(A158),,REGEXMATCH(B158,""^((U ?\+ ?(D ?I|I ?D))|((D ?I|I ?D) ?\+ ?U)) *$""))"),FALSE)</f>
        <v>0</v>
      </c>
      <c r="T158" s="37" t="b">
        <f>IFERROR(__xludf.DUMMYFUNCTION("if(isblank(A158),,REGEXMATCH(B158,""^((N ?\+ ?(D ?I|I ?D))|((D ?I|I ?D) ?\+ ?N)) *$""))"),FALSE)</f>
        <v>0</v>
      </c>
      <c r="U158" s="37" t="b">
        <f>IFERROR(__xludf.DUMMYFUNCTION("if(isblank(A158),,REGEXMATCH(B158,""^((I ?\+ ?(U ?I|I ?U))|((I ?U|U ?I) ?\+ ?I)) *$""))"),FALSE)</f>
        <v>0</v>
      </c>
      <c r="V158" s="37" t="b">
        <f>IFERROR(__xludf.DUMMYFUNCTION("if(isblank(A158),,REGEXMATCH(B158,""^((D ?\+ ?(U ?I|I ?U))|((I ?U|U ?I) ?\+ ?D)) *$""))"),FALSE)</f>
        <v>0</v>
      </c>
      <c r="W158" s="37" t="b">
        <f>IFERROR(__xludf.DUMMYFUNCTION("if(isblank(A158),,REGEXMATCH(B158,""^((U ?\+ ?(U ?I|I ?U))|((I ?U|U ?I) ?\+ ?U)) *$""))"),FALSE)</f>
        <v>0</v>
      </c>
      <c r="X158" s="37" t="b">
        <f>IFERROR(__xludf.DUMMYFUNCTION("if(isblank(A158),,REGEXMATCH(B158,""^((N ?\+ ?(U ?I|I ?U))|((I ?U|U ?I) ?\+ ?N)) *$""))"),FALSE)</f>
        <v>0</v>
      </c>
      <c r="Y158" s="37" t="b">
        <f>IFERROR(__xludf.DUMMYFUNCTION("if(isblank(A158),,REGEXMATCH(B158,""^((I ?\+ ?(U ?D|D ?U))|((D ?U|U ?D) ?\+ ?I)) *$""))"),FALSE)</f>
        <v>0</v>
      </c>
      <c r="Z158" s="37" t="b">
        <f>IFERROR(__xludf.DUMMYFUNCTION("if(isblank(A158),,REGEXMATCH(B158,""^((D ?\+ ?(U ?D|D ?U))|((D ?U|U ?D) ?\+ ?D)) *$""))"),FALSE)</f>
        <v>0</v>
      </c>
      <c r="AA158" s="37" t="b">
        <f>IFERROR(__xludf.DUMMYFUNCTION("if(isblank(A158),,REGEXMATCH(B158,""^((U ?\+ ?(U ?D|D ?U))|((D ?U|U ?D) ?\+ ?U)) *$""))"),FALSE)</f>
        <v>0</v>
      </c>
      <c r="AB158" s="37" t="b">
        <f>IFERROR(__xludf.DUMMYFUNCTION("if(isblank(A158),,REGEXMATCH(B158,""^((D ?I|I ?D) ?\+ ?(D ?I|I ?D)) *$""))"),FALSE)</f>
        <v>0</v>
      </c>
      <c r="AC158" s="37" t="b">
        <f>IFERROR(__xludf.DUMMYFUNCTION("if(isblank(A158),,REGEXMATCH(B158,""^((D ?I|I ?D) ?\+ ?(U ?I|I ?U))|((U ?I|I ?U) ?\+ ?(D ?I|I ?D)) *$""))"),FALSE)</f>
        <v>0</v>
      </c>
      <c r="AD158" s="37" t="b">
        <f>IFERROR(__xludf.DUMMYFUNCTION("if(isblank(A158),,REGEXMATCH(B158,""^I *vs\. I *$""))"),FALSE)</f>
        <v>0</v>
      </c>
      <c r="AE158" s="37" t="b">
        <f>IFERROR(__xludf.DUMMYFUNCTION("if(isblank(A158),,REGEXMATCH(B158,""(^I *vs\. D *$)|(^D *vs\. I *$)""))"),FALSE)</f>
        <v>0</v>
      </c>
      <c r="AF158" s="37" t="b">
        <f>IFERROR(__xludf.DUMMYFUNCTION("if(isblank(A158),,REGEXMATCH(B158,""(^I *vs\. U *$)|(^U *vs\. I *$)""))"),FALSE)</f>
        <v>0</v>
      </c>
      <c r="AG158" s="37" t="b">
        <f>IFERROR(__xludf.DUMMYFUNCTION("if(isblank(A158),,REGEXMATCH(B158,""^D *vs\. D *$""))"),FALSE)</f>
        <v>0</v>
      </c>
      <c r="AH158" s="37" t="b">
        <f>IFERROR(__xludf.DUMMYFUNCTION("if(isblank(A158),,REGEXMATCH(B158,""(^U *vs\. D *$)|(^D *vs\. U *$)""))"),FALSE)</f>
        <v>0</v>
      </c>
      <c r="AI158" s="37" t="b">
        <f>IFERROR(__xludf.DUMMYFUNCTION("if(isblank(A158),,REGEXMATCH(B158,""^U *vs\. U *$""))"),FALSE)</f>
        <v>0</v>
      </c>
      <c r="AJ158" s="37" t="b">
        <f>IFERROR(__xludf.DUMMYFUNCTION("if(isblank(A158),,REGEXMATCH(B158,""^((I ?vs\. ?(D ?I|I ?D))|((D ?I|I ?D) ?vs\. ?I)) *$""))"),FALSE)</f>
        <v>0</v>
      </c>
      <c r="AK158" s="37" t="b">
        <f>IFERROR(__xludf.DUMMYFUNCTION("if(isblank(A158),,REGEXMATCH(B158,""^((D ?vs\. ?(D ?I|I ?D))|((D ?I|I ?D) ?vs\. ?D)) *$""))"),FALSE)</f>
        <v>0</v>
      </c>
      <c r="AL158" s="37" t="b">
        <f>IFERROR(__xludf.DUMMYFUNCTION("if(isblank(A158),,REGEXMATCH(B158,""^((U ?vs\. ?(D ?I|I ?D))|((D ?I|I ?D) ?vs\. ?U)) *$""))"),FALSE)</f>
        <v>0</v>
      </c>
      <c r="AM158" s="37" t="b">
        <f>IFERROR(__xludf.DUMMYFUNCTION("if(isblank(A158),,REGEXMATCH(B158,""^((I ?vs\. ?(U ?I|I ?U))|((U ?I|I ?U) ?vs\. ?I)) *$""))"),FALSE)</f>
        <v>0</v>
      </c>
      <c r="AN158" s="37" t="b">
        <f>IFERROR(__xludf.DUMMYFUNCTION("if(isblank(A158),,REGEXMATCH(B158,""^((D ?vs\. ?(U ?I|I ?U))|((U ?I|I ?U) ?vs\. ?D)) *$""))"),FALSE)</f>
        <v>0</v>
      </c>
      <c r="AO158" s="37" t="b">
        <f>IFERROR(__xludf.DUMMYFUNCTION("if(isblank(A158),,REGEXMATCH(B158,""^((U ?vs\. ?(U ?I|I ?U))|((U ?I|I ?U) ?vs\. ?U)) *$""))"),FALSE)</f>
        <v>0</v>
      </c>
      <c r="AP158" s="37" t="b">
        <f>IFERROR(__xludf.DUMMYFUNCTION("if(isblank(A158),,REGEXMATCH(B158,""^((I ?vs\. ?(U ?D|D ?U))|((D ?U|U ?D) ?vs\. ?I)) *$""))"),FALSE)</f>
        <v>0</v>
      </c>
      <c r="AQ158" s="37" t="b">
        <f>IFERROR(__xludf.DUMMYFUNCTION("if(isblank(A158),,REGEXMATCH(B158,""^((D ?vs\. ?(U ?D|D ?U))|((D ?U|U ?D) ?vs\. ?D)) *$""))"),FALSE)</f>
        <v>0</v>
      </c>
      <c r="AR158" s="37" t="b">
        <f>IFERROR(__xludf.DUMMYFUNCTION("if(isblank(A158),,REGEXMATCH(B158,""^((U ?vs\. ?(U ?D|D ?U))|((D ?U|U ?D) ?vs\. ?U)) *$""))"),FALSE)</f>
        <v>0</v>
      </c>
      <c r="AS158" s="37" t="b">
        <f>IFERROR(__xludf.DUMMYFUNCTION("if(isblank(A158),,REGEXMATCH(B158,""^((D ?I|I ?D) ?vs\. ?(D ?I|I ?D)) *$""))"),FALSE)</f>
        <v>0</v>
      </c>
      <c r="AT158" s="37" t="b">
        <f>IFERROR(__xludf.DUMMYFUNCTION("if(isblank(A158),,REGEXMATCH(B158,""^((D ?I|I ?D) ?vs\. ?(U ?I|I ?U))|((U ?I|I ?U) ?vs\. ?(D ?I|I ?D)) *$""))"),FALSE)</f>
        <v>0</v>
      </c>
      <c r="AU158" s="37" t="b">
        <f>IFERROR(__xludf.DUMMYFUNCTION("if(isblank(A158),,REGEXMATCH(B158,""^((D ?I|I ?D) ?vs\. ?(U ?D|D ?U))|((U ?D|D ?U) ?vs\. ?(D ?I|I ?D)) *$""))"),FALSE)</f>
        <v>0</v>
      </c>
      <c r="AV158" s="37" t="b">
        <f>IFERROR(__xludf.DUMMYFUNCTION("if(isblank(A158),,REGEXMATCH(B158,""^((U ?I|I ?U) ?vs\. ?(U ?I|I ?U)) *$""))"),FALSE)</f>
        <v>0</v>
      </c>
    </row>
    <row r="159" ht="26.25" customHeight="1">
      <c r="A159" s="79" t="str">
        <f>Paper_Textual_Conflict!M159</f>
        <v>D vs. D U
R includes L</v>
      </c>
      <c r="B159" s="37" t="str">
        <f>IFERROR(__xludf.DUMMYFUNCTION("if(isblank(A159),,regexextract(REGEXEXTRACT(A159,""^.*""),""^[^(]*""))"),"D vs. D U")</f>
        <v>D vs. D U</v>
      </c>
      <c r="C159" s="37" t="b">
        <f>IFERROR(__xludf.DUMMYFUNCTION("if(isblank(A159),,REGEXMATCH(B159,"".*\+.*"") )"),FALSE)</f>
        <v>0</v>
      </c>
      <c r="D159" s="37" t="b">
        <f>IFERROR(__xludf.DUMMYFUNCTION("if(isblank(A159),,REGEXMATCH(B159,"".*vs.*"") )"),TRUE)</f>
        <v>1</v>
      </c>
      <c r="E159" s="37" t="b">
        <f>Paper_Textual_Conflict!H159</f>
        <v>1</v>
      </c>
      <c r="F159" s="37" t="str">
        <f>Paper_Textual_Conflict!Q159</f>
        <v>Java</v>
      </c>
      <c r="G159" s="33">
        <v>159.0</v>
      </c>
      <c r="H159" s="37" t="b">
        <f>IFERROR(__xludf.DUMMYFUNCTION("if(isblank(A159),,REGEXMATCH(B159,""^I *\+ I *$""))"),FALSE)</f>
        <v>0</v>
      </c>
      <c r="I159" s="37" t="b">
        <f>IFERROR(__xludf.DUMMYFUNCTION("if(isblank(A159),,REGEXMATCH(B159,""(^I *\+ D *$)|(^D *\+ I *$)""))"),FALSE)</f>
        <v>0</v>
      </c>
      <c r="J159" s="37" t="b">
        <f>IFERROR(__xludf.DUMMYFUNCTION("if(isblank(A159),,REGEXMATCH(B159,""(^I *\+ U *$)|(^U *\+ I *$)""))"),FALSE)</f>
        <v>0</v>
      </c>
      <c r="K159" s="37" t="b">
        <f>IFERROR(__xludf.DUMMYFUNCTION("if(isblank(A159),,REGEXMATCH(B159,""(^I *\+ N *$)|(^N *\+ I *$)"") )"),FALSE)</f>
        <v>0</v>
      </c>
      <c r="L159" s="37" t="b">
        <f>IFERROR(__xludf.DUMMYFUNCTION("if(isblank(A159),,REGEXMATCH(B159,""^D *\+ D *$""))"),FALSE)</f>
        <v>0</v>
      </c>
      <c r="M159" s="37" t="b">
        <f>IFERROR(__xludf.DUMMYFUNCTION("if(isblank(A159),,REGEXMATCH(B159,""(^U *\+ D *$)|(^D *\+ U *$)""))"),FALSE)</f>
        <v>0</v>
      </c>
      <c r="N159" s="37" t="b">
        <f>IFERROR(__xludf.DUMMYFUNCTION("if(isblank(A159),,REGEXMATCH(B159,""(^N *\+ D *$)|(^D *\+ N *$)""))"),FALSE)</f>
        <v>0</v>
      </c>
      <c r="O159" s="37" t="b">
        <f>IFERROR(__xludf.DUMMYFUNCTION("if(isblank(A159),,REGEXMATCH(B159,""^U *\+ U *$""))"),FALSE)</f>
        <v>0</v>
      </c>
      <c r="P159" s="37" t="b">
        <f>IFERROR(__xludf.DUMMYFUNCTION("if(isblank(A159),,REGEXMATCH(B159,""(^U *\+ N *$)|(^N *\+ U *$)""))"),FALSE)</f>
        <v>0</v>
      </c>
      <c r="Q159" s="37" t="b">
        <f>IFERROR(__xludf.DUMMYFUNCTION("if(isblank(A159),,REGEXMATCH(B159,""^((I ?\+ ?(D ?I|I ?D))|((D ?I|I ?D) ?\+ ?I)) *$""))"),FALSE)</f>
        <v>0</v>
      </c>
      <c r="R159" s="37" t="b">
        <f>IFERROR(__xludf.DUMMYFUNCTION("if(isblank(A159),,REGEXMATCH(B159,""^((D ?\+ ?(D ?I|I ?D))|((D ?I|I ?D) ?\+ ?D)) *$""))"),FALSE)</f>
        <v>0</v>
      </c>
      <c r="S159" s="37" t="b">
        <f>IFERROR(__xludf.DUMMYFUNCTION("if(isblank(A159),,REGEXMATCH(B159,""^((U ?\+ ?(D ?I|I ?D))|((D ?I|I ?D) ?\+ ?U)) *$""))"),FALSE)</f>
        <v>0</v>
      </c>
      <c r="T159" s="37" t="b">
        <f>IFERROR(__xludf.DUMMYFUNCTION("if(isblank(A159),,REGEXMATCH(B159,""^((N ?\+ ?(D ?I|I ?D))|((D ?I|I ?D) ?\+ ?N)) *$""))"),FALSE)</f>
        <v>0</v>
      </c>
      <c r="U159" s="37" t="b">
        <f>IFERROR(__xludf.DUMMYFUNCTION("if(isblank(A159),,REGEXMATCH(B159,""^((I ?\+ ?(U ?I|I ?U))|((I ?U|U ?I) ?\+ ?I)) *$""))"),FALSE)</f>
        <v>0</v>
      </c>
      <c r="V159" s="37" t="b">
        <f>IFERROR(__xludf.DUMMYFUNCTION("if(isblank(A159),,REGEXMATCH(B159,""^((D ?\+ ?(U ?I|I ?U))|((I ?U|U ?I) ?\+ ?D)) *$""))"),FALSE)</f>
        <v>0</v>
      </c>
      <c r="W159" s="37" t="b">
        <f>IFERROR(__xludf.DUMMYFUNCTION("if(isblank(A159),,REGEXMATCH(B159,""^((U ?\+ ?(U ?I|I ?U))|((I ?U|U ?I) ?\+ ?U)) *$""))"),FALSE)</f>
        <v>0</v>
      </c>
      <c r="X159" s="37" t="b">
        <f>IFERROR(__xludf.DUMMYFUNCTION("if(isblank(A159),,REGEXMATCH(B159,""^((N ?\+ ?(U ?I|I ?U))|((I ?U|U ?I) ?\+ ?N)) *$""))"),FALSE)</f>
        <v>0</v>
      </c>
      <c r="Y159" s="37" t="b">
        <f>IFERROR(__xludf.DUMMYFUNCTION("if(isblank(A159),,REGEXMATCH(B159,""^((I ?\+ ?(U ?D|D ?U))|((D ?U|U ?D) ?\+ ?I)) *$""))"),FALSE)</f>
        <v>0</v>
      </c>
      <c r="Z159" s="37" t="b">
        <f>IFERROR(__xludf.DUMMYFUNCTION("if(isblank(A159),,REGEXMATCH(B159,""^((D ?\+ ?(U ?D|D ?U))|((D ?U|U ?D) ?\+ ?D)) *$""))"),FALSE)</f>
        <v>0</v>
      </c>
      <c r="AA159" s="37" t="b">
        <f>IFERROR(__xludf.DUMMYFUNCTION("if(isblank(A159),,REGEXMATCH(B159,""^((U ?\+ ?(U ?D|D ?U))|((D ?U|U ?D) ?\+ ?U)) *$""))"),FALSE)</f>
        <v>0</v>
      </c>
      <c r="AB159" s="37" t="b">
        <f>IFERROR(__xludf.DUMMYFUNCTION("if(isblank(A159),,REGEXMATCH(B159,""^((D ?I|I ?D) ?\+ ?(D ?I|I ?D)) *$""))"),FALSE)</f>
        <v>0</v>
      </c>
      <c r="AC159" s="37" t="b">
        <f>IFERROR(__xludf.DUMMYFUNCTION("if(isblank(A159),,REGEXMATCH(B159,""^((D ?I|I ?D) ?\+ ?(U ?I|I ?U))|((U ?I|I ?U) ?\+ ?(D ?I|I ?D)) *$""))"),FALSE)</f>
        <v>0</v>
      </c>
      <c r="AD159" s="37" t="b">
        <f>IFERROR(__xludf.DUMMYFUNCTION("if(isblank(A159),,REGEXMATCH(B159,""^I *vs\. I *$""))"),FALSE)</f>
        <v>0</v>
      </c>
      <c r="AE159" s="37" t="b">
        <f>IFERROR(__xludf.DUMMYFUNCTION("if(isblank(A159),,REGEXMATCH(B159,""(^I *vs\. D *$)|(^D *vs\. I *$)""))"),FALSE)</f>
        <v>0</v>
      </c>
      <c r="AF159" s="37" t="b">
        <f>IFERROR(__xludf.DUMMYFUNCTION("if(isblank(A159),,REGEXMATCH(B159,""(^I *vs\. U *$)|(^U *vs\. I *$)""))"),FALSE)</f>
        <v>0</v>
      </c>
      <c r="AG159" s="37" t="b">
        <f>IFERROR(__xludf.DUMMYFUNCTION("if(isblank(A159),,REGEXMATCH(B159,""^D *vs\. D *$""))"),FALSE)</f>
        <v>0</v>
      </c>
      <c r="AH159" s="37" t="b">
        <f>IFERROR(__xludf.DUMMYFUNCTION("if(isblank(A159),,REGEXMATCH(B159,""(^U *vs\. D *$)|(^D *vs\. U *$)""))"),FALSE)</f>
        <v>0</v>
      </c>
      <c r="AI159" s="37" t="b">
        <f>IFERROR(__xludf.DUMMYFUNCTION("if(isblank(A159),,REGEXMATCH(B159,""^U *vs\. U *$""))"),FALSE)</f>
        <v>0</v>
      </c>
      <c r="AJ159" s="37" t="b">
        <f>IFERROR(__xludf.DUMMYFUNCTION("if(isblank(A159),,REGEXMATCH(B159,""^((I ?vs\. ?(D ?I|I ?D))|((D ?I|I ?D) ?vs\. ?I)) *$""))"),FALSE)</f>
        <v>0</v>
      </c>
      <c r="AK159" s="37" t="b">
        <f>IFERROR(__xludf.DUMMYFUNCTION("if(isblank(A159),,REGEXMATCH(B159,""^((D ?vs\. ?(D ?I|I ?D))|((D ?I|I ?D) ?vs\. ?D)) *$""))"),FALSE)</f>
        <v>0</v>
      </c>
      <c r="AL159" s="37" t="b">
        <f>IFERROR(__xludf.DUMMYFUNCTION("if(isblank(A159),,REGEXMATCH(B159,""^((U ?vs\. ?(D ?I|I ?D))|((D ?I|I ?D) ?vs\. ?U)) *$""))"),FALSE)</f>
        <v>0</v>
      </c>
      <c r="AM159" s="37" t="b">
        <f>IFERROR(__xludf.DUMMYFUNCTION("if(isblank(A159),,REGEXMATCH(B159,""^((I ?vs\. ?(U ?I|I ?U))|((U ?I|I ?U) ?vs\. ?I)) *$""))"),FALSE)</f>
        <v>0</v>
      </c>
      <c r="AN159" s="37" t="b">
        <f>IFERROR(__xludf.DUMMYFUNCTION("if(isblank(A159),,REGEXMATCH(B159,""^((D ?vs\. ?(U ?I|I ?U))|((U ?I|I ?U) ?vs\. ?D)) *$""))"),FALSE)</f>
        <v>0</v>
      </c>
      <c r="AO159" s="37" t="b">
        <f>IFERROR(__xludf.DUMMYFUNCTION("if(isblank(A159),,REGEXMATCH(B159,""^((U ?vs\. ?(U ?I|I ?U))|((U ?I|I ?U) ?vs\. ?U)) *$""))"),FALSE)</f>
        <v>0</v>
      </c>
      <c r="AP159" s="37" t="b">
        <f>IFERROR(__xludf.DUMMYFUNCTION("if(isblank(A159),,REGEXMATCH(B159,""^((I ?vs\. ?(U ?D|D ?U))|((D ?U|U ?D) ?vs\. ?I)) *$""))"),FALSE)</f>
        <v>0</v>
      </c>
      <c r="AQ159" s="37" t="b">
        <f>IFERROR(__xludf.DUMMYFUNCTION("if(isblank(A159),,REGEXMATCH(B159,""^((D ?vs\. ?(U ?D|D ?U))|((D ?U|U ?D) ?vs\. ?D)) *$""))"),TRUE)</f>
        <v>1</v>
      </c>
      <c r="AR159" s="37" t="b">
        <f>IFERROR(__xludf.DUMMYFUNCTION("if(isblank(A159),,REGEXMATCH(B159,""^((U ?vs\. ?(U ?D|D ?U))|((D ?U|U ?D) ?vs\. ?U)) *$""))"),FALSE)</f>
        <v>0</v>
      </c>
      <c r="AS159" s="37" t="b">
        <f>IFERROR(__xludf.DUMMYFUNCTION("if(isblank(A159),,REGEXMATCH(B159,""^((D ?I|I ?D) ?vs\. ?(D ?I|I ?D)) *$""))"),FALSE)</f>
        <v>0</v>
      </c>
      <c r="AT159" s="37" t="b">
        <f>IFERROR(__xludf.DUMMYFUNCTION("if(isblank(A159),,REGEXMATCH(B159,""^((D ?I|I ?D) ?vs\. ?(U ?I|I ?U))|((U ?I|I ?U) ?vs\. ?(D ?I|I ?D)) *$""))"),FALSE)</f>
        <v>0</v>
      </c>
      <c r="AU159" s="37" t="b">
        <f>IFERROR(__xludf.DUMMYFUNCTION("if(isblank(A159),,REGEXMATCH(B159,""^((D ?I|I ?D) ?vs\. ?(U ?D|D ?U))|((U ?D|D ?U) ?vs\. ?(D ?I|I ?D)) *$""))"),FALSE)</f>
        <v>0</v>
      </c>
      <c r="AV159" s="37" t="b">
        <f>IFERROR(__xludf.DUMMYFUNCTION("if(isblank(A159),,REGEXMATCH(B159,""^((U ?I|I ?U) ?vs\. ?(U ?I|I ?U)) *$""))"),FALSE)</f>
        <v>0</v>
      </c>
    </row>
    <row r="160" ht="26.25" customHeight="1">
      <c r="A160" s="79" t="str">
        <f>Paper_Textual_Conflict!M160</f>
        <v>U vs. U (xml, version no) L &gt; R version</v>
      </c>
      <c r="B160" s="37" t="str">
        <f>IFERROR(__xludf.DUMMYFUNCTION("if(isblank(A160),,regexextract(REGEXEXTRACT(A160,""^.*""),""^[^(]*""))"),"U vs. U ")</f>
        <v>U vs. U </v>
      </c>
      <c r="C160" s="37" t="b">
        <f>IFERROR(__xludf.DUMMYFUNCTION("if(isblank(A160),,REGEXMATCH(B160,"".*\+.*"") )"),FALSE)</f>
        <v>0</v>
      </c>
      <c r="D160" s="37" t="b">
        <f>IFERROR(__xludf.DUMMYFUNCTION("if(isblank(A160),,REGEXMATCH(B160,"".*vs.*"") )"),TRUE)</f>
        <v>1</v>
      </c>
      <c r="E160" s="37" t="b">
        <f>Paper_Textual_Conflict!H160</f>
        <v>1</v>
      </c>
      <c r="F160" s="37" t="str">
        <f>Paper_Textual_Conflict!Q160</f>
        <v>Non-Java</v>
      </c>
      <c r="G160" s="33">
        <v>160.0</v>
      </c>
      <c r="H160" s="37" t="b">
        <f>IFERROR(__xludf.DUMMYFUNCTION("if(isblank(A160),,REGEXMATCH(B160,""^I *\+ I *$""))"),FALSE)</f>
        <v>0</v>
      </c>
      <c r="I160" s="37" t="b">
        <f>IFERROR(__xludf.DUMMYFUNCTION("if(isblank(A160),,REGEXMATCH(B160,""(^I *\+ D *$)|(^D *\+ I *$)""))"),FALSE)</f>
        <v>0</v>
      </c>
      <c r="J160" s="37" t="b">
        <f>IFERROR(__xludf.DUMMYFUNCTION("if(isblank(A160),,REGEXMATCH(B160,""(^I *\+ U *$)|(^U *\+ I *$)""))"),FALSE)</f>
        <v>0</v>
      </c>
      <c r="K160" s="37" t="b">
        <f>IFERROR(__xludf.DUMMYFUNCTION("if(isblank(A160),,REGEXMATCH(B160,""(^I *\+ N *$)|(^N *\+ I *$)"") )"),FALSE)</f>
        <v>0</v>
      </c>
      <c r="L160" s="37" t="b">
        <f>IFERROR(__xludf.DUMMYFUNCTION("if(isblank(A160),,REGEXMATCH(B160,""^D *\+ D *$""))"),FALSE)</f>
        <v>0</v>
      </c>
      <c r="M160" s="37" t="b">
        <f>IFERROR(__xludf.DUMMYFUNCTION("if(isblank(A160),,REGEXMATCH(B160,""(^U *\+ D *$)|(^D *\+ U *$)""))"),FALSE)</f>
        <v>0</v>
      </c>
      <c r="N160" s="37" t="b">
        <f>IFERROR(__xludf.DUMMYFUNCTION("if(isblank(A160),,REGEXMATCH(B160,""(^N *\+ D *$)|(^D *\+ N *$)""))"),FALSE)</f>
        <v>0</v>
      </c>
      <c r="O160" s="37" t="b">
        <f>IFERROR(__xludf.DUMMYFUNCTION("if(isblank(A160),,REGEXMATCH(B160,""^U *\+ U *$""))"),FALSE)</f>
        <v>0</v>
      </c>
      <c r="P160" s="37" t="b">
        <f>IFERROR(__xludf.DUMMYFUNCTION("if(isblank(A160),,REGEXMATCH(B160,""(^U *\+ N *$)|(^N *\+ U *$)""))"),FALSE)</f>
        <v>0</v>
      </c>
      <c r="Q160" s="37" t="b">
        <f>IFERROR(__xludf.DUMMYFUNCTION("if(isblank(A160),,REGEXMATCH(B160,""^((I ?\+ ?(D ?I|I ?D))|((D ?I|I ?D) ?\+ ?I)) *$""))"),FALSE)</f>
        <v>0</v>
      </c>
      <c r="R160" s="37" t="b">
        <f>IFERROR(__xludf.DUMMYFUNCTION("if(isblank(A160),,REGEXMATCH(B160,""^((D ?\+ ?(D ?I|I ?D))|((D ?I|I ?D) ?\+ ?D)) *$""))"),FALSE)</f>
        <v>0</v>
      </c>
      <c r="S160" s="37" t="b">
        <f>IFERROR(__xludf.DUMMYFUNCTION("if(isblank(A160),,REGEXMATCH(B160,""^((U ?\+ ?(D ?I|I ?D))|((D ?I|I ?D) ?\+ ?U)) *$""))"),FALSE)</f>
        <v>0</v>
      </c>
      <c r="T160" s="37" t="b">
        <f>IFERROR(__xludf.DUMMYFUNCTION("if(isblank(A160),,REGEXMATCH(B160,""^((N ?\+ ?(D ?I|I ?D))|((D ?I|I ?D) ?\+ ?N)) *$""))"),FALSE)</f>
        <v>0</v>
      </c>
      <c r="U160" s="37" t="b">
        <f>IFERROR(__xludf.DUMMYFUNCTION("if(isblank(A160),,REGEXMATCH(B160,""^((I ?\+ ?(U ?I|I ?U))|((I ?U|U ?I) ?\+ ?I)) *$""))"),FALSE)</f>
        <v>0</v>
      </c>
      <c r="V160" s="37" t="b">
        <f>IFERROR(__xludf.DUMMYFUNCTION("if(isblank(A160),,REGEXMATCH(B160,""^((D ?\+ ?(U ?I|I ?U))|((I ?U|U ?I) ?\+ ?D)) *$""))"),FALSE)</f>
        <v>0</v>
      </c>
      <c r="W160" s="37" t="b">
        <f>IFERROR(__xludf.DUMMYFUNCTION("if(isblank(A160),,REGEXMATCH(B160,""^((U ?\+ ?(U ?I|I ?U))|((I ?U|U ?I) ?\+ ?U)) *$""))"),FALSE)</f>
        <v>0</v>
      </c>
      <c r="X160" s="37" t="b">
        <f>IFERROR(__xludf.DUMMYFUNCTION("if(isblank(A160),,REGEXMATCH(B160,""^((N ?\+ ?(U ?I|I ?U))|((I ?U|U ?I) ?\+ ?N)) *$""))"),FALSE)</f>
        <v>0</v>
      </c>
      <c r="Y160" s="37" t="b">
        <f>IFERROR(__xludf.DUMMYFUNCTION("if(isblank(A160),,REGEXMATCH(B160,""^((I ?\+ ?(U ?D|D ?U))|((D ?U|U ?D) ?\+ ?I)) *$""))"),FALSE)</f>
        <v>0</v>
      </c>
      <c r="Z160" s="37" t="b">
        <f>IFERROR(__xludf.DUMMYFUNCTION("if(isblank(A160),,REGEXMATCH(B160,""^((D ?\+ ?(U ?D|D ?U))|((D ?U|U ?D) ?\+ ?D)) *$""))"),FALSE)</f>
        <v>0</v>
      </c>
      <c r="AA160" s="37" t="b">
        <f>IFERROR(__xludf.DUMMYFUNCTION("if(isblank(A160),,REGEXMATCH(B160,""^((U ?\+ ?(U ?D|D ?U))|((D ?U|U ?D) ?\+ ?U)) *$""))"),FALSE)</f>
        <v>0</v>
      </c>
      <c r="AB160" s="37" t="b">
        <f>IFERROR(__xludf.DUMMYFUNCTION("if(isblank(A160),,REGEXMATCH(B160,""^((D ?I|I ?D) ?\+ ?(D ?I|I ?D)) *$""))"),FALSE)</f>
        <v>0</v>
      </c>
      <c r="AC160" s="37" t="b">
        <f>IFERROR(__xludf.DUMMYFUNCTION("if(isblank(A160),,REGEXMATCH(B160,""^((D ?I|I ?D) ?\+ ?(U ?I|I ?U))|((U ?I|I ?U) ?\+ ?(D ?I|I ?D)) *$""))"),FALSE)</f>
        <v>0</v>
      </c>
      <c r="AD160" s="37" t="b">
        <f>IFERROR(__xludf.DUMMYFUNCTION("if(isblank(A160),,REGEXMATCH(B160,""^I *vs\. I *$""))"),FALSE)</f>
        <v>0</v>
      </c>
      <c r="AE160" s="37" t="b">
        <f>IFERROR(__xludf.DUMMYFUNCTION("if(isblank(A160),,REGEXMATCH(B160,""(^I *vs\. D *$)|(^D *vs\. I *$)""))"),FALSE)</f>
        <v>0</v>
      </c>
      <c r="AF160" s="37" t="b">
        <f>IFERROR(__xludf.DUMMYFUNCTION("if(isblank(A160),,REGEXMATCH(B160,""(^I *vs\. U *$)|(^U *vs\. I *$)""))"),FALSE)</f>
        <v>0</v>
      </c>
      <c r="AG160" s="37" t="b">
        <f>IFERROR(__xludf.DUMMYFUNCTION("if(isblank(A160),,REGEXMATCH(B160,""^D *vs\. D *$""))"),FALSE)</f>
        <v>0</v>
      </c>
      <c r="AH160" s="37" t="b">
        <f>IFERROR(__xludf.DUMMYFUNCTION("if(isblank(A160),,REGEXMATCH(B160,""(^U *vs\. D *$)|(^D *vs\. U *$)""))"),FALSE)</f>
        <v>0</v>
      </c>
      <c r="AI160" s="37" t="b">
        <f>IFERROR(__xludf.DUMMYFUNCTION("if(isblank(A160),,REGEXMATCH(B160,""^U *vs\. U *$""))"),TRUE)</f>
        <v>1</v>
      </c>
      <c r="AJ160" s="37" t="b">
        <f>IFERROR(__xludf.DUMMYFUNCTION("if(isblank(A160),,REGEXMATCH(B160,""^((I ?vs\. ?(D ?I|I ?D))|((D ?I|I ?D) ?vs\. ?I)) *$""))"),FALSE)</f>
        <v>0</v>
      </c>
      <c r="AK160" s="37" t="b">
        <f>IFERROR(__xludf.DUMMYFUNCTION("if(isblank(A160),,REGEXMATCH(B160,""^((D ?vs\. ?(D ?I|I ?D))|((D ?I|I ?D) ?vs\. ?D)) *$""))"),FALSE)</f>
        <v>0</v>
      </c>
      <c r="AL160" s="37" t="b">
        <f>IFERROR(__xludf.DUMMYFUNCTION("if(isblank(A160),,REGEXMATCH(B160,""^((U ?vs\. ?(D ?I|I ?D))|((D ?I|I ?D) ?vs\. ?U)) *$""))"),FALSE)</f>
        <v>0</v>
      </c>
      <c r="AM160" s="37" t="b">
        <f>IFERROR(__xludf.DUMMYFUNCTION("if(isblank(A160),,REGEXMATCH(B160,""^((I ?vs\. ?(U ?I|I ?U))|((U ?I|I ?U) ?vs\. ?I)) *$""))"),FALSE)</f>
        <v>0</v>
      </c>
      <c r="AN160" s="37" t="b">
        <f>IFERROR(__xludf.DUMMYFUNCTION("if(isblank(A160),,REGEXMATCH(B160,""^((D ?vs\. ?(U ?I|I ?U))|((U ?I|I ?U) ?vs\. ?D)) *$""))"),FALSE)</f>
        <v>0</v>
      </c>
      <c r="AO160" s="37" t="b">
        <f>IFERROR(__xludf.DUMMYFUNCTION("if(isblank(A160),,REGEXMATCH(B160,""^((U ?vs\. ?(U ?I|I ?U))|((U ?I|I ?U) ?vs\. ?U)) *$""))"),FALSE)</f>
        <v>0</v>
      </c>
      <c r="AP160" s="37" t="b">
        <f>IFERROR(__xludf.DUMMYFUNCTION("if(isblank(A160),,REGEXMATCH(B160,""^((I ?vs\. ?(U ?D|D ?U))|((D ?U|U ?D) ?vs\. ?I)) *$""))"),FALSE)</f>
        <v>0</v>
      </c>
      <c r="AQ160" s="37" t="b">
        <f>IFERROR(__xludf.DUMMYFUNCTION("if(isblank(A160),,REGEXMATCH(B160,""^((D ?vs\. ?(U ?D|D ?U))|((D ?U|U ?D) ?vs\. ?D)) *$""))"),FALSE)</f>
        <v>0</v>
      </c>
      <c r="AR160" s="37" t="b">
        <f>IFERROR(__xludf.DUMMYFUNCTION("if(isblank(A160),,REGEXMATCH(B160,""^((U ?vs\. ?(U ?D|D ?U))|((D ?U|U ?D) ?vs\. ?U)) *$""))"),FALSE)</f>
        <v>0</v>
      </c>
      <c r="AS160" s="37" t="b">
        <f>IFERROR(__xludf.DUMMYFUNCTION("if(isblank(A160),,REGEXMATCH(B160,""^((D ?I|I ?D) ?vs\. ?(D ?I|I ?D)) *$""))"),FALSE)</f>
        <v>0</v>
      </c>
      <c r="AT160" s="37" t="b">
        <f>IFERROR(__xludf.DUMMYFUNCTION("if(isblank(A160),,REGEXMATCH(B160,""^((D ?I|I ?D) ?vs\. ?(U ?I|I ?U))|((U ?I|I ?U) ?vs\. ?(D ?I|I ?D)) *$""))"),FALSE)</f>
        <v>0</v>
      </c>
      <c r="AU160" s="37" t="b">
        <f>IFERROR(__xludf.DUMMYFUNCTION("if(isblank(A160),,REGEXMATCH(B160,""^((D ?I|I ?D) ?vs\. ?(U ?D|D ?U))|((U ?D|D ?U) ?vs\. ?(D ?I|I ?D)) *$""))"),FALSE)</f>
        <v>0</v>
      </c>
      <c r="AV160" s="37" t="b">
        <f>IFERROR(__xludf.DUMMYFUNCTION("if(isblank(A160),,REGEXMATCH(B160,""^((U ?I|I ?U) ?vs\. ?(U ?I|I ?U)) *$""))"),FALSE)</f>
        <v>0</v>
      </c>
    </row>
    <row r="161" ht="26.25" customHeight="1">
      <c r="A161" s="79" t="str">
        <f>Paper_Textual_Conflict!M161</f>
        <v>U vs. D</v>
      </c>
      <c r="B161" s="37" t="str">
        <f>IFERROR(__xludf.DUMMYFUNCTION("if(isblank(A161),,regexextract(REGEXEXTRACT(A161,""^.*""),""^[^(]*""))"),"U vs. D")</f>
        <v>U vs. D</v>
      </c>
      <c r="C161" s="37" t="b">
        <f>IFERROR(__xludf.DUMMYFUNCTION("if(isblank(A161),,REGEXMATCH(B161,"".*\+.*"") )"),FALSE)</f>
        <v>0</v>
      </c>
      <c r="D161" s="37" t="b">
        <f>IFERROR(__xludf.DUMMYFUNCTION("if(isblank(A161),,REGEXMATCH(B161,"".*vs.*"") )"),TRUE)</f>
        <v>1</v>
      </c>
      <c r="E161" s="37" t="b">
        <f>Paper_Textual_Conflict!H161</f>
        <v>1</v>
      </c>
      <c r="F161" s="37" t="str">
        <f>Paper_Textual_Conflict!Q161</f>
        <v>Non-Java</v>
      </c>
      <c r="G161" s="33">
        <v>161.0</v>
      </c>
      <c r="H161" s="37" t="b">
        <f>IFERROR(__xludf.DUMMYFUNCTION("if(isblank(A161),,REGEXMATCH(B161,""^I *\+ I *$""))"),FALSE)</f>
        <v>0</v>
      </c>
      <c r="I161" s="37" t="b">
        <f>IFERROR(__xludf.DUMMYFUNCTION("if(isblank(A161),,REGEXMATCH(B161,""(^I *\+ D *$)|(^D *\+ I *$)""))"),FALSE)</f>
        <v>0</v>
      </c>
      <c r="J161" s="37" t="b">
        <f>IFERROR(__xludf.DUMMYFUNCTION("if(isblank(A161),,REGEXMATCH(B161,""(^I *\+ U *$)|(^U *\+ I *$)""))"),FALSE)</f>
        <v>0</v>
      </c>
      <c r="K161" s="37" t="b">
        <f>IFERROR(__xludf.DUMMYFUNCTION("if(isblank(A161),,REGEXMATCH(B161,""(^I *\+ N *$)|(^N *\+ I *$)"") )"),FALSE)</f>
        <v>0</v>
      </c>
      <c r="L161" s="37" t="b">
        <f>IFERROR(__xludf.DUMMYFUNCTION("if(isblank(A161),,REGEXMATCH(B161,""^D *\+ D *$""))"),FALSE)</f>
        <v>0</v>
      </c>
      <c r="M161" s="37" t="b">
        <f>IFERROR(__xludf.DUMMYFUNCTION("if(isblank(A161),,REGEXMATCH(B161,""(^U *\+ D *$)|(^D *\+ U *$)""))"),FALSE)</f>
        <v>0</v>
      </c>
      <c r="N161" s="37" t="b">
        <f>IFERROR(__xludf.DUMMYFUNCTION("if(isblank(A161),,REGEXMATCH(B161,""(^N *\+ D *$)|(^D *\+ N *$)""))"),FALSE)</f>
        <v>0</v>
      </c>
      <c r="O161" s="37" t="b">
        <f>IFERROR(__xludf.DUMMYFUNCTION("if(isblank(A161),,REGEXMATCH(B161,""^U *\+ U *$""))"),FALSE)</f>
        <v>0</v>
      </c>
      <c r="P161" s="37" t="b">
        <f>IFERROR(__xludf.DUMMYFUNCTION("if(isblank(A161),,REGEXMATCH(B161,""(^U *\+ N *$)|(^N *\+ U *$)""))"),FALSE)</f>
        <v>0</v>
      </c>
      <c r="Q161" s="37" t="b">
        <f>IFERROR(__xludf.DUMMYFUNCTION("if(isblank(A161),,REGEXMATCH(B161,""^((I ?\+ ?(D ?I|I ?D))|((D ?I|I ?D) ?\+ ?I)) *$""))"),FALSE)</f>
        <v>0</v>
      </c>
      <c r="R161" s="37" t="b">
        <f>IFERROR(__xludf.DUMMYFUNCTION("if(isblank(A161),,REGEXMATCH(B161,""^((D ?\+ ?(D ?I|I ?D))|((D ?I|I ?D) ?\+ ?D)) *$""))"),FALSE)</f>
        <v>0</v>
      </c>
      <c r="S161" s="37" t="b">
        <f>IFERROR(__xludf.DUMMYFUNCTION("if(isblank(A161),,REGEXMATCH(B161,""^((U ?\+ ?(D ?I|I ?D))|((D ?I|I ?D) ?\+ ?U)) *$""))"),FALSE)</f>
        <v>0</v>
      </c>
      <c r="T161" s="37" t="b">
        <f>IFERROR(__xludf.DUMMYFUNCTION("if(isblank(A161),,REGEXMATCH(B161,""^((N ?\+ ?(D ?I|I ?D))|((D ?I|I ?D) ?\+ ?N)) *$""))"),FALSE)</f>
        <v>0</v>
      </c>
      <c r="U161" s="37" t="b">
        <f>IFERROR(__xludf.DUMMYFUNCTION("if(isblank(A161),,REGEXMATCH(B161,""^((I ?\+ ?(U ?I|I ?U))|((I ?U|U ?I) ?\+ ?I)) *$""))"),FALSE)</f>
        <v>0</v>
      </c>
      <c r="V161" s="37" t="b">
        <f>IFERROR(__xludf.DUMMYFUNCTION("if(isblank(A161),,REGEXMATCH(B161,""^((D ?\+ ?(U ?I|I ?U))|((I ?U|U ?I) ?\+ ?D)) *$""))"),FALSE)</f>
        <v>0</v>
      </c>
      <c r="W161" s="37" t="b">
        <f>IFERROR(__xludf.DUMMYFUNCTION("if(isblank(A161),,REGEXMATCH(B161,""^((U ?\+ ?(U ?I|I ?U))|((I ?U|U ?I) ?\+ ?U)) *$""))"),FALSE)</f>
        <v>0</v>
      </c>
      <c r="X161" s="37" t="b">
        <f>IFERROR(__xludf.DUMMYFUNCTION("if(isblank(A161),,REGEXMATCH(B161,""^((N ?\+ ?(U ?I|I ?U))|((I ?U|U ?I) ?\+ ?N)) *$""))"),FALSE)</f>
        <v>0</v>
      </c>
      <c r="Y161" s="37" t="b">
        <f>IFERROR(__xludf.DUMMYFUNCTION("if(isblank(A161),,REGEXMATCH(B161,""^((I ?\+ ?(U ?D|D ?U))|((D ?U|U ?D) ?\+ ?I)) *$""))"),FALSE)</f>
        <v>0</v>
      </c>
      <c r="Z161" s="37" t="b">
        <f>IFERROR(__xludf.DUMMYFUNCTION("if(isblank(A161),,REGEXMATCH(B161,""^((D ?\+ ?(U ?D|D ?U))|((D ?U|U ?D) ?\+ ?D)) *$""))"),FALSE)</f>
        <v>0</v>
      </c>
      <c r="AA161" s="37" t="b">
        <f>IFERROR(__xludf.DUMMYFUNCTION("if(isblank(A161),,REGEXMATCH(B161,""^((U ?\+ ?(U ?D|D ?U))|((D ?U|U ?D) ?\+ ?U)) *$""))"),FALSE)</f>
        <v>0</v>
      </c>
      <c r="AB161" s="37" t="b">
        <f>IFERROR(__xludf.DUMMYFUNCTION("if(isblank(A161),,REGEXMATCH(B161,""^((D ?I|I ?D) ?\+ ?(D ?I|I ?D)) *$""))"),FALSE)</f>
        <v>0</v>
      </c>
      <c r="AC161" s="37" t="b">
        <f>IFERROR(__xludf.DUMMYFUNCTION("if(isblank(A161),,REGEXMATCH(B161,""^((D ?I|I ?D) ?\+ ?(U ?I|I ?U))|((U ?I|I ?U) ?\+ ?(D ?I|I ?D)) *$""))"),FALSE)</f>
        <v>0</v>
      </c>
      <c r="AD161" s="37" t="b">
        <f>IFERROR(__xludf.DUMMYFUNCTION("if(isblank(A161),,REGEXMATCH(B161,""^I *vs\. I *$""))"),FALSE)</f>
        <v>0</v>
      </c>
      <c r="AE161" s="37" t="b">
        <f>IFERROR(__xludf.DUMMYFUNCTION("if(isblank(A161),,REGEXMATCH(B161,""(^I *vs\. D *$)|(^D *vs\. I *$)""))"),FALSE)</f>
        <v>0</v>
      </c>
      <c r="AF161" s="37" t="b">
        <f>IFERROR(__xludf.DUMMYFUNCTION("if(isblank(A161),,REGEXMATCH(B161,""(^I *vs\. U *$)|(^U *vs\. I *$)""))"),FALSE)</f>
        <v>0</v>
      </c>
      <c r="AG161" s="37" t="b">
        <f>IFERROR(__xludf.DUMMYFUNCTION("if(isblank(A161),,REGEXMATCH(B161,""^D *vs\. D *$""))"),FALSE)</f>
        <v>0</v>
      </c>
      <c r="AH161" s="37" t="b">
        <f>IFERROR(__xludf.DUMMYFUNCTION("if(isblank(A161),,REGEXMATCH(B161,""(^U *vs\. D *$)|(^D *vs\. U *$)""))"),TRUE)</f>
        <v>1</v>
      </c>
      <c r="AI161" s="37" t="b">
        <f>IFERROR(__xludf.DUMMYFUNCTION("if(isblank(A161),,REGEXMATCH(B161,""^U *vs\. U *$""))"),FALSE)</f>
        <v>0</v>
      </c>
      <c r="AJ161" s="37" t="b">
        <f>IFERROR(__xludf.DUMMYFUNCTION("if(isblank(A161),,REGEXMATCH(B161,""^((I ?vs\. ?(D ?I|I ?D))|((D ?I|I ?D) ?vs\. ?I)) *$""))"),FALSE)</f>
        <v>0</v>
      </c>
      <c r="AK161" s="37" t="b">
        <f>IFERROR(__xludf.DUMMYFUNCTION("if(isblank(A161),,REGEXMATCH(B161,""^((D ?vs\. ?(D ?I|I ?D))|((D ?I|I ?D) ?vs\. ?D)) *$""))"),FALSE)</f>
        <v>0</v>
      </c>
      <c r="AL161" s="37" t="b">
        <f>IFERROR(__xludf.DUMMYFUNCTION("if(isblank(A161),,REGEXMATCH(B161,""^((U ?vs\. ?(D ?I|I ?D))|((D ?I|I ?D) ?vs\. ?U)) *$""))"),FALSE)</f>
        <v>0</v>
      </c>
      <c r="AM161" s="37" t="b">
        <f>IFERROR(__xludf.DUMMYFUNCTION("if(isblank(A161),,REGEXMATCH(B161,""^((I ?vs\. ?(U ?I|I ?U))|((U ?I|I ?U) ?vs\. ?I)) *$""))"),FALSE)</f>
        <v>0</v>
      </c>
      <c r="AN161" s="37" t="b">
        <f>IFERROR(__xludf.DUMMYFUNCTION("if(isblank(A161),,REGEXMATCH(B161,""^((D ?vs\. ?(U ?I|I ?U))|((U ?I|I ?U) ?vs\. ?D)) *$""))"),FALSE)</f>
        <v>0</v>
      </c>
      <c r="AO161" s="37" t="b">
        <f>IFERROR(__xludf.DUMMYFUNCTION("if(isblank(A161),,REGEXMATCH(B161,""^((U ?vs\. ?(U ?I|I ?U))|((U ?I|I ?U) ?vs\. ?U)) *$""))"),FALSE)</f>
        <v>0</v>
      </c>
      <c r="AP161" s="37" t="b">
        <f>IFERROR(__xludf.DUMMYFUNCTION("if(isblank(A161),,REGEXMATCH(B161,""^((I ?vs\. ?(U ?D|D ?U))|((D ?U|U ?D) ?vs\. ?I)) *$""))"),FALSE)</f>
        <v>0</v>
      </c>
      <c r="AQ161" s="37" t="b">
        <f>IFERROR(__xludf.DUMMYFUNCTION("if(isblank(A161),,REGEXMATCH(B161,""^((D ?vs\. ?(U ?D|D ?U))|((D ?U|U ?D) ?vs\. ?D)) *$""))"),FALSE)</f>
        <v>0</v>
      </c>
      <c r="AR161" s="37" t="b">
        <f>IFERROR(__xludf.DUMMYFUNCTION("if(isblank(A161),,REGEXMATCH(B161,""^((U ?vs\. ?(U ?D|D ?U))|((D ?U|U ?D) ?vs\. ?U)) *$""))"),FALSE)</f>
        <v>0</v>
      </c>
      <c r="AS161" s="37" t="b">
        <f>IFERROR(__xludf.DUMMYFUNCTION("if(isblank(A161),,REGEXMATCH(B161,""^((D ?I|I ?D) ?vs\. ?(D ?I|I ?D)) *$""))"),FALSE)</f>
        <v>0</v>
      </c>
      <c r="AT161" s="37" t="b">
        <f>IFERROR(__xludf.DUMMYFUNCTION("if(isblank(A161),,REGEXMATCH(B161,""^((D ?I|I ?D) ?vs\. ?(U ?I|I ?U))|((U ?I|I ?U) ?vs\. ?(D ?I|I ?D)) *$""))"),FALSE)</f>
        <v>0</v>
      </c>
      <c r="AU161" s="37" t="b">
        <f>IFERROR(__xludf.DUMMYFUNCTION("if(isblank(A161),,REGEXMATCH(B161,""^((D ?I|I ?D) ?vs\. ?(U ?D|D ?U))|((U ?D|D ?U) ?vs\. ?(D ?I|I ?D)) *$""))"),FALSE)</f>
        <v>0</v>
      </c>
      <c r="AV161" s="37" t="b">
        <f>IFERROR(__xludf.DUMMYFUNCTION("if(isblank(A161),,REGEXMATCH(B161,""^((U ?I|I ?U) ?vs\. ?(U ?I|I ?U)) *$""))"),FALSE)</f>
        <v>0</v>
      </c>
    </row>
    <row r="162" ht="26.25" customHeight="1">
      <c r="A162" s="79" t="str">
        <f>Paper_Textual_Conflict!M162</f>
        <v>D I + U I
Origin(D I vs. U I)</v>
      </c>
      <c r="B162" s="37" t="str">
        <f>IFERROR(__xludf.DUMMYFUNCTION("if(isblank(A162),,regexextract(REGEXEXTRACT(A162,""^.*""),""^[^(]*""))"),"D I + U I")</f>
        <v>D I + U I</v>
      </c>
      <c r="C162" s="37" t="b">
        <f>IFERROR(__xludf.DUMMYFUNCTION("if(isblank(A162),,REGEXMATCH(B162,"".*\+.*"") )"),TRUE)</f>
        <v>1</v>
      </c>
      <c r="D162" s="37" t="b">
        <f>IFERROR(__xludf.DUMMYFUNCTION("if(isblank(A162),,REGEXMATCH(B162,"".*vs.*"") )"),FALSE)</f>
        <v>0</v>
      </c>
      <c r="E162" s="37" t="b">
        <f>Paper_Textual_Conflict!H162</f>
        <v>0</v>
      </c>
      <c r="F162" s="37" t="str">
        <f>Paper_Textual_Conflict!Q162</f>
        <v>Non-Java</v>
      </c>
      <c r="G162" s="33">
        <v>162.0</v>
      </c>
      <c r="H162" s="37" t="b">
        <f>IFERROR(__xludf.DUMMYFUNCTION("if(isblank(A162),,REGEXMATCH(B162,""^I *\+ I *$""))"),FALSE)</f>
        <v>0</v>
      </c>
      <c r="I162" s="37" t="b">
        <f>IFERROR(__xludf.DUMMYFUNCTION("if(isblank(A162),,REGEXMATCH(B162,""(^I *\+ D *$)|(^D *\+ I *$)""))"),FALSE)</f>
        <v>0</v>
      </c>
      <c r="J162" s="37" t="b">
        <f>IFERROR(__xludf.DUMMYFUNCTION("if(isblank(A162),,REGEXMATCH(B162,""(^I *\+ U *$)|(^U *\+ I *$)""))"),FALSE)</f>
        <v>0</v>
      </c>
      <c r="K162" s="37" t="b">
        <f>IFERROR(__xludf.DUMMYFUNCTION("if(isblank(A162),,REGEXMATCH(B162,""(^I *\+ N *$)|(^N *\+ I *$)"") )"),FALSE)</f>
        <v>0</v>
      </c>
      <c r="L162" s="37" t="b">
        <f>IFERROR(__xludf.DUMMYFUNCTION("if(isblank(A162),,REGEXMATCH(B162,""^D *\+ D *$""))"),FALSE)</f>
        <v>0</v>
      </c>
      <c r="M162" s="37" t="b">
        <f>IFERROR(__xludf.DUMMYFUNCTION("if(isblank(A162),,REGEXMATCH(B162,""(^U *\+ D *$)|(^D *\+ U *$)""))"),FALSE)</f>
        <v>0</v>
      </c>
      <c r="N162" s="37" t="b">
        <f>IFERROR(__xludf.DUMMYFUNCTION("if(isblank(A162),,REGEXMATCH(B162,""(^N *\+ D *$)|(^D *\+ N *$)""))"),FALSE)</f>
        <v>0</v>
      </c>
      <c r="O162" s="37" t="b">
        <f>IFERROR(__xludf.DUMMYFUNCTION("if(isblank(A162),,REGEXMATCH(B162,""^U *\+ U *$""))"),FALSE)</f>
        <v>0</v>
      </c>
      <c r="P162" s="37" t="b">
        <f>IFERROR(__xludf.DUMMYFUNCTION("if(isblank(A162),,REGEXMATCH(B162,""(^U *\+ N *$)|(^N *\+ U *$)""))"),FALSE)</f>
        <v>0</v>
      </c>
      <c r="Q162" s="37" t="b">
        <f>IFERROR(__xludf.DUMMYFUNCTION("if(isblank(A162),,REGEXMATCH(B162,""^((I ?\+ ?(D ?I|I ?D))|((D ?I|I ?D) ?\+ ?I)) *$""))"),FALSE)</f>
        <v>0</v>
      </c>
      <c r="R162" s="37" t="b">
        <f>IFERROR(__xludf.DUMMYFUNCTION("if(isblank(A162),,REGEXMATCH(B162,""^((D ?\+ ?(D ?I|I ?D))|((D ?I|I ?D) ?\+ ?D)) *$""))"),FALSE)</f>
        <v>0</v>
      </c>
      <c r="S162" s="37" t="b">
        <f>IFERROR(__xludf.DUMMYFUNCTION("if(isblank(A162),,REGEXMATCH(B162,""^((U ?\+ ?(D ?I|I ?D))|((D ?I|I ?D) ?\+ ?U)) *$""))"),FALSE)</f>
        <v>0</v>
      </c>
      <c r="T162" s="37" t="b">
        <f>IFERROR(__xludf.DUMMYFUNCTION("if(isblank(A162),,REGEXMATCH(B162,""^((N ?\+ ?(D ?I|I ?D))|((D ?I|I ?D) ?\+ ?N)) *$""))"),FALSE)</f>
        <v>0</v>
      </c>
      <c r="U162" s="37" t="b">
        <f>IFERROR(__xludf.DUMMYFUNCTION("if(isblank(A162),,REGEXMATCH(B162,""^((I ?\+ ?(U ?I|I ?U))|((I ?U|U ?I) ?\+ ?I)) *$""))"),FALSE)</f>
        <v>0</v>
      </c>
      <c r="V162" s="37" t="b">
        <f>IFERROR(__xludf.DUMMYFUNCTION("if(isblank(A162),,REGEXMATCH(B162,""^((D ?\+ ?(U ?I|I ?U))|((I ?U|U ?I) ?\+ ?D)) *$""))"),FALSE)</f>
        <v>0</v>
      </c>
      <c r="W162" s="37" t="b">
        <f>IFERROR(__xludf.DUMMYFUNCTION("if(isblank(A162),,REGEXMATCH(B162,""^((U ?\+ ?(U ?I|I ?U))|((I ?U|U ?I) ?\+ ?U)) *$""))"),FALSE)</f>
        <v>0</v>
      </c>
      <c r="X162" s="37" t="b">
        <f>IFERROR(__xludf.DUMMYFUNCTION("if(isblank(A162),,REGEXMATCH(B162,""^((N ?\+ ?(U ?I|I ?U))|((I ?U|U ?I) ?\+ ?N)) *$""))"),FALSE)</f>
        <v>0</v>
      </c>
      <c r="Y162" s="37" t="b">
        <f>IFERROR(__xludf.DUMMYFUNCTION("if(isblank(A162),,REGEXMATCH(B162,""^((I ?\+ ?(U ?D|D ?U))|((D ?U|U ?D) ?\+ ?I)) *$""))"),FALSE)</f>
        <v>0</v>
      </c>
      <c r="Z162" s="37" t="b">
        <f>IFERROR(__xludf.DUMMYFUNCTION("if(isblank(A162),,REGEXMATCH(B162,""^((D ?\+ ?(U ?D|D ?U))|((D ?U|U ?D) ?\+ ?D)) *$""))"),FALSE)</f>
        <v>0</v>
      </c>
      <c r="AA162" s="37" t="b">
        <f>IFERROR(__xludf.DUMMYFUNCTION("if(isblank(A162),,REGEXMATCH(B162,""^((U ?\+ ?(U ?D|D ?U))|((D ?U|U ?D) ?\+ ?U)) *$""))"),FALSE)</f>
        <v>0</v>
      </c>
      <c r="AB162" s="37" t="b">
        <f>IFERROR(__xludf.DUMMYFUNCTION("if(isblank(A162),,REGEXMATCH(B162,""^((D ?I|I ?D) ?\+ ?(D ?I|I ?D)) *$""))"),FALSE)</f>
        <v>0</v>
      </c>
      <c r="AC162" s="37" t="b">
        <f>IFERROR(__xludf.DUMMYFUNCTION("if(isblank(A162),,REGEXMATCH(B162,""^((D ?I|I ?D) ?\+ ?(U ?I|I ?U))|((U ?I|I ?U) ?\+ ?(D ?I|I ?D)) *$""))"),TRUE)</f>
        <v>1</v>
      </c>
      <c r="AD162" s="37" t="b">
        <f>IFERROR(__xludf.DUMMYFUNCTION("if(isblank(A162),,REGEXMATCH(B162,""^I *vs\. I *$""))"),FALSE)</f>
        <v>0</v>
      </c>
      <c r="AE162" s="37" t="b">
        <f>IFERROR(__xludf.DUMMYFUNCTION("if(isblank(A162),,REGEXMATCH(B162,""(^I *vs\. D *$)|(^D *vs\. I *$)""))"),FALSE)</f>
        <v>0</v>
      </c>
      <c r="AF162" s="37" t="b">
        <f>IFERROR(__xludf.DUMMYFUNCTION("if(isblank(A162),,REGEXMATCH(B162,""(^I *vs\. U *$)|(^U *vs\. I *$)""))"),FALSE)</f>
        <v>0</v>
      </c>
      <c r="AG162" s="37" t="b">
        <f>IFERROR(__xludf.DUMMYFUNCTION("if(isblank(A162),,REGEXMATCH(B162,""^D *vs\. D *$""))"),FALSE)</f>
        <v>0</v>
      </c>
      <c r="AH162" s="37" t="b">
        <f>IFERROR(__xludf.DUMMYFUNCTION("if(isblank(A162),,REGEXMATCH(B162,""(^U *vs\. D *$)|(^D *vs\. U *$)""))"),FALSE)</f>
        <v>0</v>
      </c>
      <c r="AI162" s="37" t="b">
        <f>IFERROR(__xludf.DUMMYFUNCTION("if(isblank(A162),,REGEXMATCH(B162,""^U *vs\. U *$""))"),FALSE)</f>
        <v>0</v>
      </c>
      <c r="AJ162" s="37" t="b">
        <f>IFERROR(__xludf.DUMMYFUNCTION("if(isblank(A162),,REGEXMATCH(B162,""^((I ?vs\. ?(D ?I|I ?D))|((D ?I|I ?D) ?vs\. ?I)) *$""))"),FALSE)</f>
        <v>0</v>
      </c>
      <c r="AK162" s="37" t="b">
        <f>IFERROR(__xludf.DUMMYFUNCTION("if(isblank(A162),,REGEXMATCH(B162,""^((D ?vs\. ?(D ?I|I ?D))|((D ?I|I ?D) ?vs\. ?D)) *$""))"),FALSE)</f>
        <v>0</v>
      </c>
      <c r="AL162" s="37" t="b">
        <f>IFERROR(__xludf.DUMMYFUNCTION("if(isblank(A162),,REGEXMATCH(B162,""^((U ?vs\. ?(D ?I|I ?D))|((D ?I|I ?D) ?vs\. ?U)) *$""))"),FALSE)</f>
        <v>0</v>
      </c>
      <c r="AM162" s="37" t="b">
        <f>IFERROR(__xludf.DUMMYFUNCTION("if(isblank(A162),,REGEXMATCH(B162,""^((I ?vs\. ?(U ?I|I ?U))|((U ?I|I ?U) ?vs\. ?I)) *$""))"),FALSE)</f>
        <v>0</v>
      </c>
      <c r="AN162" s="37" t="b">
        <f>IFERROR(__xludf.DUMMYFUNCTION("if(isblank(A162),,REGEXMATCH(B162,""^((D ?vs\. ?(U ?I|I ?U))|((U ?I|I ?U) ?vs\. ?D)) *$""))"),FALSE)</f>
        <v>0</v>
      </c>
      <c r="AO162" s="37" t="b">
        <f>IFERROR(__xludf.DUMMYFUNCTION("if(isblank(A162),,REGEXMATCH(B162,""^((U ?vs\. ?(U ?I|I ?U))|((U ?I|I ?U) ?vs\. ?U)) *$""))"),FALSE)</f>
        <v>0</v>
      </c>
      <c r="AP162" s="37" t="b">
        <f>IFERROR(__xludf.DUMMYFUNCTION("if(isblank(A162),,REGEXMATCH(B162,""^((I ?vs\. ?(U ?D|D ?U))|((D ?U|U ?D) ?vs\. ?I)) *$""))"),FALSE)</f>
        <v>0</v>
      </c>
      <c r="AQ162" s="37" t="b">
        <f>IFERROR(__xludf.DUMMYFUNCTION("if(isblank(A162),,REGEXMATCH(B162,""^((D ?vs\. ?(U ?D|D ?U))|((D ?U|U ?D) ?vs\. ?D)) *$""))"),FALSE)</f>
        <v>0</v>
      </c>
      <c r="AR162" s="37" t="b">
        <f>IFERROR(__xludf.DUMMYFUNCTION("if(isblank(A162),,REGEXMATCH(B162,""^((U ?vs\. ?(U ?D|D ?U))|((D ?U|U ?D) ?vs\. ?U)) *$""))"),FALSE)</f>
        <v>0</v>
      </c>
      <c r="AS162" s="37" t="b">
        <f>IFERROR(__xludf.DUMMYFUNCTION("if(isblank(A162),,REGEXMATCH(B162,""^((D ?I|I ?D) ?vs\. ?(D ?I|I ?D)) *$""))"),FALSE)</f>
        <v>0</v>
      </c>
      <c r="AT162" s="37" t="b">
        <f>IFERROR(__xludf.DUMMYFUNCTION("if(isblank(A162),,REGEXMATCH(B162,""^((D ?I|I ?D) ?vs\. ?(U ?I|I ?U))|((U ?I|I ?U) ?vs\. ?(D ?I|I ?D)) *$""))"),FALSE)</f>
        <v>0</v>
      </c>
      <c r="AU162" s="37" t="b">
        <f>IFERROR(__xludf.DUMMYFUNCTION("if(isblank(A162),,REGEXMATCH(B162,""^((D ?I|I ?D) ?vs\. ?(U ?D|D ?U))|((U ?D|D ?U) ?vs\. ?(D ?I|I ?D)) *$""))"),FALSE)</f>
        <v>0</v>
      </c>
      <c r="AV162" s="37" t="b">
        <f>IFERROR(__xludf.DUMMYFUNCTION("if(isblank(A162),,REGEXMATCH(B162,""^((U ?I|I ?U) ?vs\. ?(U ?I|I ?U)) *$""))"),FALSE)</f>
        <v>0</v>
      </c>
    </row>
    <row r="163" ht="26.25" customHeight="1">
      <c r="A163" s="79" t="str">
        <f>Paper_Textual_Conflict!M163</f>
        <v>I + D I
Origin(I vs. D I)</v>
      </c>
      <c r="B163" s="37" t="str">
        <f>IFERROR(__xludf.DUMMYFUNCTION("if(isblank(A163),,regexextract(REGEXEXTRACT(A163,""^.*""),""^[^(]*""))"),"I + D I")</f>
        <v>I + D I</v>
      </c>
      <c r="C163" s="37" t="b">
        <f>IFERROR(__xludf.DUMMYFUNCTION("if(isblank(A163),,REGEXMATCH(B163,"".*\+.*"") )"),TRUE)</f>
        <v>1</v>
      </c>
      <c r="D163" s="37" t="b">
        <f>IFERROR(__xludf.DUMMYFUNCTION("if(isblank(A163),,REGEXMATCH(B163,"".*vs.*"") )"),FALSE)</f>
        <v>0</v>
      </c>
      <c r="E163" s="37" t="b">
        <f>Paper_Textual_Conflict!H163</f>
        <v>0</v>
      </c>
      <c r="F163" s="37" t="str">
        <f>Paper_Textual_Conflict!Q163</f>
        <v>Non-Java</v>
      </c>
      <c r="G163" s="33">
        <v>163.0</v>
      </c>
      <c r="H163" s="37" t="b">
        <f>IFERROR(__xludf.DUMMYFUNCTION("if(isblank(A163),,REGEXMATCH(B163,""^I *\+ I *$""))"),FALSE)</f>
        <v>0</v>
      </c>
      <c r="I163" s="37" t="b">
        <f>IFERROR(__xludf.DUMMYFUNCTION("if(isblank(A163),,REGEXMATCH(B163,""(^I *\+ D *$)|(^D *\+ I *$)""))"),FALSE)</f>
        <v>0</v>
      </c>
      <c r="J163" s="37" t="b">
        <f>IFERROR(__xludf.DUMMYFUNCTION("if(isblank(A163),,REGEXMATCH(B163,""(^I *\+ U *$)|(^U *\+ I *$)""))"),FALSE)</f>
        <v>0</v>
      </c>
      <c r="K163" s="37" t="b">
        <f>IFERROR(__xludf.DUMMYFUNCTION("if(isblank(A163),,REGEXMATCH(B163,""(^I *\+ N *$)|(^N *\+ I *$)"") )"),FALSE)</f>
        <v>0</v>
      </c>
      <c r="L163" s="37" t="b">
        <f>IFERROR(__xludf.DUMMYFUNCTION("if(isblank(A163),,REGEXMATCH(B163,""^D *\+ D *$""))"),FALSE)</f>
        <v>0</v>
      </c>
      <c r="M163" s="37" t="b">
        <f>IFERROR(__xludf.DUMMYFUNCTION("if(isblank(A163),,REGEXMATCH(B163,""(^U *\+ D *$)|(^D *\+ U *$)""))"),FALSE)</f>
        <v>0</v>
      </c>
      <c r="N163" s="37" t="b">
        <f>IFERROR(__xludf.DUMMYFUNCTION("if(isblank(A163),,REGEXMATCH(B163,""(^N *\+ D *$)|(^D *\+ N *$)""))"),FALSE)</f>
        <v>0</v>
      </c>
      <c r="O163" s="37" t="b">
        <f>IFERROR(__xludf.DUMMYFUNCTION("if(isblank(A163),,REGEXMATCH(B163,""^U *\+ U *$""))"),FALSE)</f>
        <v>0</v>
      </c>
      <c r="P163" s="37" t="b">
        <f>IFERROR(__xludf.DUMMYFUNCTION("if(isblank(A163),,REGEXMATCH(B163,""(^U *\+ N *$)|(^N *\+ U *$)""))"),FALSE)</f>
        <v>0</v>
      </c>
      <c r="Q163" s="37" t="b">
        <f>IFERROR(__xludf.DUMMYFUNCTION("if(isblank(A163),,REGEXMATCH(B163,""^((I ?\+ ?(D ?I|I ?D))|((D ?I|I ?D) ?\+ ?I)) *$""))"),TRUE)</f>
        <v>1</v>
      </c>
      <c r="R163" s="37" t="b">
        <f>IFERROR(__xludf.DUMMYFUNCTION("if(isblank(A163),,REGEXMATCH(B163,""^((D ?\+ ?(D ?I|I ?D))|((D ?I|I ?D) ?\+ ?D)) *$""))"),FALSE)</f>
        <v>0</v>
      </c>
      <c r="S163" s="37" t="b">
        <f>IFERROR(__xludf.DUMMYFUNCTION("if(isblank(A163),,REGEXMATCH(B163,""^((U ?\+ ?(D ?I|I ?D))|((D ?I|I ?D) ?\+ ?U)) *$""))"),FALSE)</f>
        <v>0</v>
      </c>
      <c r="T163" s="37" t="b">
        <f>IFERROR(__xludf.DUMMYFUNCTION("if(isblank(A163),,REGEXMATCH(B163,""^((N ?\+ ?(D ?I|I ?D))|((D ?I|I ?D) ?\+ ?N)) *$""))"),FALSE)</f>
        <v>0</v>
      </c>
      <c r="U163" s="37" t="b">
        <f>IFERROR(__xludf.DUMMYFUNCTION("if(isblank(A163),,REGEXMATCH(B163,""^((I ?\+ ?(U ?I|I ?U))|((I ?U|U ?I) ?\+ ?I)) *$""))"),FALSE)</f>
        <v>0</v>
      </c>
      <c r="V163" s="37" t="b">
        <f>IFERROR(__xludf.DUMMYFUNCTION("if(isblank(A163),,REGEXMATCH(B163,""^((D ?\+ ?(U ?I|I ?U))|((I ?U|U ?I) ?\+ ?D)) *$""))"),FALSE)</f>
        <v>0</v>
      </c>
      <c r="W163" s="37" t="b">
        <f>IFERROR(__xludf.DUMMYFUNCTION("if(isblank(A163),,REGEXMATCH(B163,""^((U ?\+ ?(U ?I|I ?U))|((I ?U|U ?I) ?\+ ?U)) *$""))"),FALSE)</f>
        <v>0</v>
      </c>
      <c r="X163" s="37" t="b">
        <f>IFERROR(__xludf.DUMMYFUNCTION("if(isblank(A163),,REGEXMATCH(B163,""^((N ?\+ ?(U ?I|I ?U))|((I ?U|U ?I) ?\+ ?N)) *$""))"),FALSE)</f>
        <v>0</v>
      </c>
      <c r="Y163" s="37" t="b">
        <f>IFERROR(__xludf.DUMMYFUNCTION("if(isblank(A163),,REGEXMATCH(B163,""^((I ?\+ ?(U ?D|D ?U))|((D ?U|U ?D) ?\+ ?I)) *$""))"),FALSE)</f>
        <v>0</v>
      </c>
      <c r="Z163" s="37" t="b">
        <f>IFERROR(__xludf.DUMMYFUNCTION("if(isblank(A163),,REGEXMATCH(B163,""^((D ?\+ ?(U ?D|D ?U))|((D ?U|U ?D) ?\+ ?D)) *$""))"),FALSE)</f>
        <v>0</v>
      </c>
      <c r="AA163" s="37" t="b">
        <f>IFERROR(__xludf.DUMMYFUNCTION("if(isblank(A163),,REGEXMATCH(B163,""^((U ?\+ ?(U ?D|D ?U))|((D ?U|U ?D) ?\+ ?U)) *$""))"),FALSE)</f>
        <v>0</v>
      </c>
      <c r="AB163" s="37" t="b">
        <f>IFERROR(__xludf.DUMMYFUNCTION("if(isblank(A163),,REGEXMATCH(B163,""^((D ?I|I ?D) ?\+ ?(D ?I|I ?D)) *$""))"),FALSE)</f>
        <v>0</v>
      </c>
      <c r="AC163" s="37" t="b">
        <f>IFERROR(__xludf.DUMMYFUNCTION("if(isblank(A163),,REGEXMATCH(B163,""^((D ?I|I ?D) ?\+ ?(U ?I|I ?U))|((U ?I|I ?U) ?\+ ?(D ?I|I ?D)) *$""))"),FALSE)</f>
        <v>0</v>
      </c>
      <c r="AD163" s="37" t="b">
        <f>IFERROR(__xludf.DUMMYFUNCTION("if(isblank(A163),,REGEXMATCH(B163,""^I *vs\. I *$""))"),FALSE)</f>
        <v>0</v>
      </c>
      <c r="AE163" s="37" t="b">
        <f>IFERROR(__xludf.DUMMYFUNCTION("if(isblank(A163),,REGEXMATCH(B163,""(^I *vs\. D *$)|(^D *vs\. I *$)""))"),FALSE)</f>
        <v>0</v>
      </c>
      <c r="AF163" s="37" t="b">
        <f>IFERROR(__xludf.DUMMYFUNCTION("if(isblank(A163),,REGEXMATCH(B163,""(^I *vs\. U *$)|(^U *vs\. I *$)""))"),FALSE)</f>
        <v>0</v>
      </c>
      <c r="AG163" s="37" t="b">
        <f>IFERROR(__xludf.DUMMYFUNCTION("if(isblank(A163),,REGEXMATCH(B163,""^D *vs\. D *$""))"),FALSE)</f>
        <v>0</v>
      </c>
      <c r="AH163" s="37" t="b">
        <f>IFERROR(__xludf.DUMMYFUNCTION("if(isblank(A163),,REGEXMATCH(B163,""(^U *vs\. D *$)|(^D *vs\. U *$)""))"),FALSE)</f>
        <v>0</v>
      </c>
      <c r="AI163" s="37" t="b">
        <f>IFERROR(__xludf.DUMMYFUNCTION("if(isblank(A163),,REGEXMATCH(B163,""^U *vs\. U *$""))"),FALSE)</f>
        <v>0</v>
      </c>
      <c r="AJ163" s="37" t="b">
        <f>IFERROR(__xludf.DUMMYFUNCTION("if(isblank(A163),,REGEXMATCH(B163,""^((I ?vs\. ?(D ?I|I ?D))|((D ?I|I ?D) ?vs\. ?I)) *$""))"),FALSE)</f>
        <v>0</v>
      </c>
      <c r="AK163" s="37" t="b">
        <f>IFERROR(__xludf.DUMMYFUNCTION("if(isblank(A163),,REGEXMATCH(B163,""^((D ?vs\. ?(D ?I|I ?D))|((D ?I|I ?D) ?vs\. ?D)) *$""))"),FALSE)</f>
        <v>0</v>
      </c>
      <c r="AL163" s="37" t="b">
        <f>IFERROR(__xludf.DUMMYFUNCTION("if(isblank(A163),,REGEXMATCH(B163,""^((U ?vs\. ?(D ?I|I ?D))|((D ?I|I ?D) ?vs\. ?U)) *$""))"),FALSE)</f>
        <v>0</v>
      </c>
      <c r="AM163" s="37" t="b">
        <f>IFERROR(__xludf.DUMMYFUNCTION("if(isblank(A163),,REGEXMATCH(B163,""^((I ?vs\. ?(U ?I|I ?U))|((U ?I|I ?U) ?vs\. ?I)) *$""))"),FALSE)</f>
        <v>0</v>
      </c>
      <c r="AN163" s="37" t="b">
        <f>IFERROR(__xludf.DUMMYFUNCTION("if(isblank(A163),,REGEXMATCH(B163,""^((D ?vs\. ?(U ?I|I ?U))|((U ?I|I ?U) ?vs\. ?D)) *$""))"),FALSE)</f>
        <v>0</v>
      </c>
      <c r="AO163" s="37" t="b">
        <f>IFERROR(__xludf.DUMMYFUNCTION("if(isblank(A163),,REGEXMATCH(B163,""^((U ?vs\. ?(U ?I|I ?U))|((U ?I|I ?U) ?vs\. ?U)) *$""))"),FALSE)</f>
        <v>0</v>
      </c>
      <c r="AP163" s="37" t="b">
        <f>IFERROR(__xludf.DUMMYFUNCTION("if(isblank(A163),,REGEXMATCH(B163,""^((I ?vs\. ?(U ?D|D ?U))|((D ?U|U ?D) ?vs\. ?I)) *$""))"),FALSE)</f>
        <v>0</v>
      </c>
      <c r="AQ163" s="37" t="b">
        <f>IFERROR(__xludf.DUMMYFUNCTION("if(isblank(A163),,REGEXMATCH(B163,""^((D ?vs\. ?(U ?D|D ?U))|((D ?U|U ?D) ?vs\. ?D)) *$""))"),FALSE)</f>
        <v>0</v>
      </c>
      <c r="AR163" s="37" t="b">
        <f>IFERROR(__xludf.DUMMYFUNCTION("if(isblank(A163),,REGEXMATCH(B163,""^((U ?vs\. ?(U ?D|D ?U))|((D ?U|U ?D) ?vs\. ?U)) *$""))"),FALSE)</f>
        <v>0</v>
      </c>
      <c r="AS163" s="37" t="b">
        <f>IFERROR(__xludf.DUMMYFUNCTION("if(isblank(A163),,REGEXMATCH(B163,""^((D ?I|I ?D) ?vs\. ?(D ?I|I ?D)) *$""))"),FALSE)</f>
        <v>0</v>
      </c>
      <c r="AT163" s="37" t="b">
        <f>IFERROR(__xludf.DUMMYFUNCTION("if(isblank(A163),,REGEXMATCH(B163,""^((D ?I|I ?D) ?vs\. ?(U ?I|I ?U))|((U ?I|I ?U) ?vs\. ?(D ?I|I ?D)) *$""))"),FALSE)</f>
        <v>0</v>
      </c>
      <c r="AU163" s="37" t="b">
        <f>IFERROR(__xludf.DUMMYFUNCTION("if(isblank(A163),,REGEXMATCH(B163,""^((D ?I|I ?D) ?vs\. ?(U ?D|D ?U))|((U ?D|D ?U) ?vs\. ?(D ?I|I ?D)) *$""))"),FALSE)</f>
        <v>0</v>
      </c>
      <c r="AV163" s="37" t="b">
        <f>IFERROR(__xludf.DUMMYFUNCTION("if(isblank(A163),,REGEXMATCH(B163,""^((U ?I|I ?U) ?vs\. ?(U ?I|I ?U)) *$""))"),FALSE)</f>
        <v>0</v>
      </c>
    </row>
    <row r="164" ht="26.25" customHeight="1">
      <c r="A164" s="79" t="str">
        <f>Paper_Textual_Conflict!M164</f>
        <v>U vs. D(.classpath)
Origin(U vs. D I)</v>
      </c>
      <c r="B164" s="37" t="str">
        <f>IFERROR(__xludf.DUMMYFUNCTION("if(isblank(A164),,regexextract(REGEXEXTRACT(A164,""^.*""),""^[^(]*""))"),"U vs. D")</f>
        <v>U vs. D</v>
      </c>
      <c r="C164" s="37" t="b">
        <f>IFERROR(__xludf.DUMMYFUNCTION("if(isblank(A164),,REGEXMATCH(B164,"".*\+.*"") )"),FALSE)</f>
        <v>0</v>
      </c>
      <c r="D164" s="37" t="b">
        <f>IFERROR(__xludf.DUMMYFUNCTION("if(isblank(A164),,REGEXMATCH(B164,"".*vs.*"") )"),TRUE)</f>
        <v>1</v>
      </c>
      <c r="E164" s="37" t="b">
        <f>Paper_Textual_Conflict!H164</f>
        <v>1</v>
      </c>
      <c r="F164" s="37" t="str">
        <f>Paper_Textual_Conflict!Q164</f>
        <v>Non-Java</v>
      </c>
      <c r="G164" s="33">
        <v>164.0</v>
      </c>
      <c r="H164" s="37" t="b">
        <f>IFERROR(__xludf.DUMMYFUNCTION("if(isblank(A164),,REGEXMATCH(B164,""^I *\+ I *$""))"),FALSE)</f>
        <v>0</v>
      </c>
      <c r="I164" s="37" t="b">
        <f>IFERROR(__xludf.DUMMYFUNCTION("if(isblank(A164),,REGEXMATCH(B164,""(^I *\+ D *$)|(^D *\+ I *$)""))"),FALSE)</f>
        <v>0</v>
      </c>
      <c r="J164" s="37" t="b">
        <f>IFERROR(__xludf.DUMMYFUNCTION("if(isblank(A164),,REGEXMATCH(B164,""(^I *\+ U *$)|(^U *\+ I *$)""))"),FALSE)</f>
        <v>0</v>
      </c>
      <c r="K164" s="37" t="b">
        <f>IFERROR(__xludf.DUMMYFUNCTION("if(isblank(A164),,REGEXMATCH(B164,""(^I *\+ N *$)|(^N *\+ I *$)"") )"),FALSE)</f>
        <v>0</v>
      </c>
      <c r="L164" s="37" t="b">
        <f>IFERROR(__xludf.DUMMYFUNCTION("if(isblank(A164),,REGEXMATCH(B164,""^D *\+ D *$""))"),FALSE)</f>
        <v>0</v>
      </c>
      <c r="M164" s="37" t="b">
        <f>IFERROR(__xludf.DUMMYFUNCTION("if(isblank(A164),,REGEXMATCH(B164,""(^U *\+ D *$)|(^D *\+ U *$)""))"),FALSE)</f>
        <v>0</v>
      </c>
      <c r="N164" s="37" t="b">
        <f>IFERROR(__xludf.DUMMYFUNCTION("if(isblank(A164),,REGEXMATCH(B164,""(^N *\+ D *$)|(^D *\+ N *$)""))"),FALSE)</f>
        <v>0</v>
      </c>
      <c r="O164" s="37" t="b">
        <f>IFERROR(__xludf.DUMMYFUNCTION("if(isblank(A164),,REGEXMATCH(B164,""^U *\+ U *$""))"),FALSE)</f>
        <v>0</v>
      </c>
      <c r="P164" s="37" t="b">
        <f>IFERROR(__xludf.DUMMYFUNCTION("if(isblank(A164),,REGEXMATCH(B164,""(^U *\+ N *$)|(^N *\+ U *$)""))"),FALSE)</f>
        <v>0</v>
      </c>
      <c r="Q164" s="37" t="b">
        <f>IFERROR(__xludf.DUMMYFUNCTION("if(isblank(A164),,REGEXMATCH(B164,""^((I ?\+ ?(D ?I|I ?D))|((D ?I|I ?D) ?\+ ?I)) *$""))"),FALSE)</f>
        <v>0</v>
      </c>
      <c r="R164" s="37" t="b">
        <f>IFERROR(__xludf.DUMMYFUNCTION("if(isblank(A164),,REGEXMATCH(B164,""^((D ?\+ ?(D ?I|I ?D))|((D ?I|I ?D) ?\+ ?D)) *$""))"),FALSE)</f>
        <v>0</v>
      </c>
      <c r="S164" s="37" t="b">
        <f>IFERROR(__xludf.DUMMYFUNCTION("if(isblank(A164),,REGEXMATCH(B164,""^((U ?\+ ?(D ?I|I ?D))|((D ?I|I ?D) ?\+ ?U)) *$""))"),FALSE)</f>
        <v>0</v>
      </c>
      <c r="T164" s="37" t="b">
        <f>IFERROR(__xludf.DUMMYFUNCTION("if(isblank(A164),,REGEXMATCH(B164,""^((N ?\+ ?(D ?I|I ?D))|((D ?I|I ?D) ?\+ ?N)) *$""))"),FALSE)</f>
        <v>0</v>
      </c>
      <c r="U164" s="37" t="b">
        <f>IFERROR(__xludf.DUMMYFUNCTION("if(isblank(A164),,REGEXMATCH(B164,""^((I ?\+ ?(U ?I|I ?U))|((I ?U|U ?I) ?\+ ?I)) *$""))"),FALSE)</f>
        <v>0</v>
      </c>
      <c r="V164" s="37" t="b">
        <f>IFERROR(__xludf.DUMMYFUNCTION("if(isblank(A164),,REGEXMATCH(B164,""^((D ?\+ ?(U ?I|I ?U))|((I ?U|U ?I) ?\+ ?D)) *$""))"),FALSE)</f>
        <v>0</v>
      </c>
      <c r="W164" s="37" t="b">
        <f>IFERROR(__xludf.DUMMYFUNCTION("if(isblank(A164),,REGEXMATCH(B164,""^((U ?\+ ?(U ?I|I ?U))|((I ?U|U ?I) ?\+ ?U)) *$""))"),FALSE)</f>
        <v>0</v>
      </c>
      <c r="X164" s="37" t="b">
        <f>IFERROR(__xludf.DUMMYFUNCTION("if(isblank(A164),,REGEXMATCH(B164,""^((N ?\+ ?(U ?I|I ?U))|((I ?U|U ?I) ?\+ ?N)) *$""))"),FALSE)</f>
        <v>0</v>
      </c>
      <c r="Y164" s="37" t="b">
        <f>IFERROR(__xludf.DUMMYFUNCTION("if(isblank(A164),,REGEXMATCH(B164,""^((I ?\+ ?(U ?D|D ?U))|((D ?U|U ?D) ?\+ ?I)) *$""))"),FALSE)</f>
        <v>0</v>
      </c>
      <c r="Z164" s="37" t="b">
        <f>IFERROR(__xludf.DUMMYFUNCTION("if(isblank(A164),,REGEXMATCH(B164,""^((D ?\+ ?(U ?D|D ?U))|((D ?U|U ?D) ?\+ ?D)) *$""))"),FALSE)</f>
        <v>0</v>
      </c>
      <c r="AA164" s="37" t="b">
        <f>IFERROR(__xludf.DUMMYFUNCTION("if(isblank(A164),,REGEXMATCH(B164,""^((U ?\+ ?(U ?D|D ?U))|((D ?U|U ?D) ?\+ ?U)) *$""))"),FALSE)</f>
        <v>0</v>
      </c>
      <c r="AB164" s="37" t="b">
        <f>IFERROR(__xludf.DUMMYFUNCTION("if(isblank(A164),,REGEXMATCH(B164,""^((D ?I|I ?D) ?\+ ?(D ?I|I ?D)) *$""))"),FALSE)</f>
        <v>0</v>
      </c>
      <c r="AC164" s="37" t="b">
        <f>IFERROR(__xludf.DUMMYFUNCTION("if(isblank(A164),,REGEXMATCH(B164,""^((D ?I|I ?D) ?\+ ?(U ?I|I ?U))|((U ?I|I ?U) ?\+ ?(D ?I|I ?D)) *$""))"),FALSE)</f>
        <v>0</v>
      </c>
      <c r="AD164" s="37" t="b">
        <f>IFERROR(__xludf.DUMMYFUNCTION("if(isblank(A164),,REGEXMATCH(B164,""^I *vs\. I *$""))"),FALSE)</f>
        <v>0</v>
      </c>
      <c r="AE164" s="37" t="b">
        <f>IFERROR(__xludf.DUMMYFUNCTION("if(isblank(A164),,REGEXMATCH(B164,""(^I *vs\. D *$)|(^D *vs\. I *$)""))"),FALSE)</f>
        <v>0</v>
      </c>
      <c r="AF164" s="37" t="b">
        <f>IFERROR(__xludf.DUMMYFUNCTION("if(isblank(A164),,REGEXMATCH(B164,""(^I *vs\. U *$)|(^U *vs\. I *$)""))"),FALSE)</f>
        <v>0</v>
      </c>
      <c r="AG164" s="37" t="b">
        <f>IFERROR(__xludf.DUMMYFUNCTION("if(isblank(A164),,REGEXMATCH(B164,""^D *vs\. D *$""))"),FALSE)</f>
        <v>0</v>
      </c>
      <c r="AH164" s="37" t="b">
        <f>IFERROR(__xludf.DUMMYFUNCTION("if(isblank(A164),,REGEXMATCH(B164,""(^U *vs\. D *$)|(^D *vs\. U *$)""))"),TRUE)</f>
        <v>1</v>
      </c>
      <c r="AI164" s="37" t="b">
        <f>IFERROR(__xludf.DUMMYFUNCTION("if(isblank(A164),,REGEXMATCH(B164,""^U *vs\. U *$""))"),FALSE)</f>
        <v>0</v>
      </c>
      <c r="AJ164" s="37" t="b">
        <f>IFERROR(__xludf.DUMMYFUNCTION("if(isblank(A164),,REGEXMATCH(B164,""^((I ?vs\. ?(D ?I|I ?D))|((D ?I|I ?D) ?vs\. ?I)) *$""))"),FALSE)</f>
        <v>0</v>
      </c>
      <c r="AK164" s="37" t="b">
        <f>IFERROR(__xludf.DUMMYFUNCTION("if(isblank(A164),,REGEXMATCH(B164,""^((D ?vs\. ?(D ?I|I ?D))|((D ?I|I ?D) ?vs\. ?D)) *$""))"),FALSE)</f>
        <v>0</v>
      </c>
      <c r="AL164" s="37" t="b">
        <f>IFERROR(__xludf.DUMMYFUNCTION("if(isblank(A164),,REGEXMATCH(B164,""^((U ?vs\. ?(D ?I|I ?D))|((D ?I|I ?D) ?vs\. ?U)) *$""))"),FALSE)</f>
        <v>0</v>
      </c>
      <c r="AM164" s="37" t="b">
        <f>IFERROR(__xludf.DUMMYFUNCTION("if(isblank(A164),,REGEXMATCH(B164,""^((I ?vs\. ?(U ?I|I ?U))|((U ?I|I ?U) ?vs\. ?I)) *$""))"),FALSE)</f>
        <v>0</v>
      </c>
      <c r="AN164" s="37" t="b">
        <f>IFERROR(__xludf.DUMMYFUNCTION("if(isblank(A164),,REGEXMATCH(B164,""^((D ?vs\. ?(U ?I|I ?U))|((U ?I|I ?U) ?vs\. ?D)) *$""))"),FALSE)</f>
        <v>0</v>
      </c>
      <c r="AO164" s="37" t="b">
        <f>IFERROR(__xludf.DUMMYFUNCTION("if(isblank(A164),,REGEXMATCH(B164,""^((U ?vs\. ?(U ?I|I ?U))|((U ?I|I ?U) ?vs\. ?U)) *$""))"),FALSE)</f>
        <v>0</v>
      </c>
      <c r="AP164" s="37" t="b">
        <f>IFERROR(__xludf.DUMMYFUNCTION("if(isblank(A164),,REGEXMATCH(B164,""^((I ?vs\. ?(U ?D|D ?U))|((D ?U|U ?D) ?vs\. ?I)) *$""))"),FALSE)</f>
        <v>0</v>
      </c>
      <c r="AQ164" s="37" t="b">
        <f>IFERROR(__xludf.DUMMYFUNCTION("if(isblank(A164),,REGEXMATCH(B164,""^((D ?vs\. ?(U ?D|D ?U))|((D ?U|U ?D) ?vs\. ?D)) *$""))"),FALSE)</f>
        <v>0</v>
      </c>
      <c r="AR164" s="37" t="b">
        <f>IFERROR(__xludf.DUMMYFUNCTION("if(isblank(A164),,REGEXMATCH(B164,""^((U ?vs\. ?(U ?D|D ?U))|((D ?U|U ?D) ?vs\. ?U)) *$""))"),FALSE)</f>
        <v>0</v>
      </c>
      <c r="AS164" s="37" t="b">
        <f>IFERROR(__xludf.DUMMYFUNCTION("if(isblank(A164),,REGEXMATCH(B164,""^((D ?I|I ?D) ?vs\. ?(D ?I|I ?D)) *$""))"),FALSE)</f>
        <v>0</v>
      </c>
      <c r="AT164" s="37" t="b">
        <f>IFERROR(__xludf.DUMMYFUNCTION("if(isblank(A164),,REGEXMATCH(B164,""^((D ?I|I ?D) ?vs\. ?(U ?I|I ?U))|((U ?I|I ?U) ?vs\. ?(D ?I|I ?D)) *$""))"),FALSE)</f>
        <v>0</v>
      </c>
      <c r="AU164" s="37" t="b">
        <f>IFERROR(__xludf.DUMMYFUNCTION("if(isblank(A164),,REGEXMATCH(B164,""^((D ?I|I ?D) ?vs\. ?(U ?D|D ?U))|((U ?D|D ?U) ?vs\. ?(D ?I|I ?D)) *$""))"),FALSE)</f>
        <v>0</v>
      </c>
      <c r="AV164" s="37" t="b">
        <f>IFERROR(__xludf.DUMMYFUNCTION("if(isblank(A164),,REGEXMATCH(B164,""^((U ?I|I ?U) ?vs\. ?(U ?I|I ?U)) *$""))"),FALSE)</f>
        <v>0</v>
      </c>
    </row>
    <row r="165" ht="26.25" customHeight="1">
      <c r="A165" s="79" t="str">
        <f>Paper_Textual_Conflict!M165</f>
        <v>I vs. I (insert the same named .yml files) 
R includes L</v>
      </c>
      <c r="B165" s="37" t="str">
        <f>IFERROR(__xludf.DUMMYFUNCTION("if(isblank(A165),,regexextract(REGEXEXTRACT(A165,""^.*""),""^[^(]*""))"),"I vs. I ")</f>
        <v>I vs. I </v>
      </c>
      <c r="C165" s="37" t="b">
        <f>IFERROR(__xludf.DUMMYFUNCTION("if(isblank(A165),,REGEXMATCH(B165,"".*\+.*"") )"),FALSE)</f>
        <v>0</v>
      </c>
      <c r="D165" s="37" t="b">
        <f>IFERROR(__xludf.DUMMYFUNCTION("if(isblank(A165),,REGEXMATCH(B165,"".*vs.*"") )"),TRUE)</f>
        <v>1</v>
      </c>
      <c r="E165" s="37" t="b">
        <f>Paper_Textual_Conflict!H165</f>
        <v>1</v>
      </c>
      <c r="F165" s="37" t="str">
        <f>Paper_Textual_Conflict!Q165</f>
        <v>Non-Java</v>
      </c>
      <c r="G165" s="33">
        <v>165.0</v>
      </c>
      <c r="H165" s="37" t="b">
        <f>IFERROR(__xludf.DUMMYFUNCTION("if(isblank(A165),,REGEXMATCH(B165,""^I *\+ I *$""))"),FALSE)</f>
        <v>0</v>
      </c>
      <c r="I165" s="37" t="b">
        <f>IFERROR(__xludf.DUMMYFUNCTION("if(isblank(A165),,REGEXMATCH(B165,""(^I *\+ D *$)|(^D *\+ I *$)""))"),FALSE)</f>
        <v>0</v>
      </c>
      <c r="J165" s="37" t="b">
        <f>IFERROR(__xludf.DUMMYFUNCTION("if(isblank(A165),,REGEXMATCH(B165,""(^I *\+ U *$)|(^U *\+ I *$)""))"),FALSE)</f>
        <v>0</v>
      </c>
      <c r="K165" s="37" t="b">
        <f>IFERROR(__xludf.DUMMYFUNCTION("if(isblank(A165),,REGEXMATCH(B165,""(^I *\+ N *$)|(^N *\+ I *$)"") )"),FALSE)</f>
        <v>0</v>
      </c>
      <c r="L165" s="37" t="b">
        <f>IFERROR(__xludf.DUMMYFUNCTION("if(isblank(A165),,REGEXMATCH(B165,""^D *\+ D *$""))"),FALSE)</f>
        <v>0</v>
      </c>
      <c r="M165" s="37" t="b">
        <f>IFERROR(__xludf.DUMMYFUNCTION("if(isblank(A165),,REGEXMATCH(B165,""(^U *\+ D *$)|(^D *\+ U *$)""))"),FALSE)</f>
        <v>0</v>
      </c>
      <c r="N165" s="37" t="b">
        <f>IFERROR(__xludf.DUMMYFUNCTION("if(isblank(A165),,REGEXMATCH(B165,""(^N *\+ D *$)|(^D *\+ N *$)""))"),FALSE)</f>
        <v>0</v>
      </c>
      <c r="O165" s="37" t="b">
        <f>IFERROR(__xludf.DUMMYFUNCTION("if(isblank(A165),,REGEXMATCH(B165,""^U *\+ U *$""))"),FALSE)</f>
        <v>0</v>
      </c>
      <c r="P165" s="37" t="b">
        <f>IFERROR(__xludf.DUMMYFUNCTION("if(isblank(A165),,REGEXMATCH(B165,""(^U *\+ N *$)|(^N *\+ U *$)""))"),FALSE)</f>
        <v>0</v>
      </c>
      <c r="Q165" s="37" t="b">
        <f>IFERROR(__xludf.DUMMYFUNCTION("if(isblank(A165),,REGEXMATCH(B165,""^((I ?\+ ?(D ?I|I ?D))|((D ?I|I ?D) ?\+ ?I)) *$""))"),FALSE)</f>
        <v>0</v>
      </c>
      <c r="R165" s="37" t="b">
        <f>IFERROR(__xludf.DUMMYFUNCTION("if(isblank(A165),,REGEXMATCH(B165,""^((D ?\+ ?(D ?I|I ?D))|((D ?I|I ?D) ?\+ ?D)) *$""))"),FALSE)</f>
        <v>0</v>
      </c>
      <c r="S165" s="37" t="b">
        <f>IFERROR(__xludf.DUMMYFUNCTION("if(isblank(A165),,REGEXMATCH(B165,""^((U ?\+ ?(D ?I|I ?D))|((D ?I|I ?D) ?\+ ?U)) *$""))"),FALSE)</f>
        <v>0</v>
      </c>
      <c r="T165" s="37" t="b">
        <f>IFERROR(__xludf.DUMMYFUNCTION("if(isblank(A165),,REGEXMATCH(B165,""^((N ?\+ ?(D ?I|I ?D))|((D ?I|I ?D) ?\+ ?N)) *$""))"),FALSE)</f>
        <v>0</v>
      </c>
      <c r="U165" s="37" t="b">
        <f>IFERROR(__xludf.DUMMYFUNCTION("if(isblank(A165),,REGEXMATCH(B165,""^((I ?\+ ?(U ?I|I ?U))|((I ?U|U ?I) ?\+ ?I)) *$""))"),FALSE)</f>
        <v>0</v>
      </c>
      <c r="V165" s="37" t="b">
        <f>IFERROR(__xludf.DUMMYFUNCTION("if(isblank(A165),,REGEXMATCH(B165,""^((D ?\+ ?(U ?I|I ?U))|((I ?U|U ?I) ?\+ ?D)) *$""))"),FALSE)</f>
        <v>0</v>
      </c>
      <c r="W165" s="37" t="b">
        <f>IFERROR(__xludf.DUMMYFUNCTION("if(isblank(A165),,REGEXMATCH(B165,""^((U ?\+ ?(U ?I|I ?U))|((I ?U|U ?I) ?\+ ?U)) *$""))"),FALSE)</f>
        <v>0</v>
      </c>
      <c r="X165" s="37" t="b">
        <f>IFERROR(__xludf.DUMMYFUNCTION("if(isblank(A165),,REGEXMATCH(B165,""^((N ?\+ ?(U ?I|I ?U))|((I ?U|U ?I) ?\+ ?N)) *$""))"),FALSE)</f>
        <v>0</v>
      </c>
      <c r="Y165" s="37" t="b">
        <f>IFERROR(__xludf.DUMMYFUNCTION("if(isblank(A165),,REGEXMATCH(B165,""^((I ?\+ ?(U ?D|D ?U))|((D ?U|U ?D) ?\+ ?I)) *$""))"),FALSE)</f>
        <v>0</v>
      </c>
      <c r="Z165" s="37" t="b">
        <f>IFERROR(__xludf.DUMMYFUNCTION("if(isblank(A165),,REGEXMATCH(B165,""^((D ?\+ ?(U ?D|D ?U))|((D ?U|U ?D) ?\+ ?D)) *$""))"),FALSE)</f>
        <v>0</v>
      </c>
      <c r="AA165" s="37" t="b">
        <f>IFERROR(__xludf.DUMMYFUNCTION("if(isblank(A165),,REGEXMATCH(B165,""^((U ?\+ ?(U ?D|D ?U))|((D ?U|U ?D) ?\+ ?U)) *$""))"),FALSE)</f>
        <v>0</v>
      </c>
      <c r="AB165" s="37" t="b">
        <f>IFERROR(__xludf.DUMMYFUNCTION("if(isblank(A165),,REGEXMATCH(B165,""^((D ?I|I ?D) ?\+ ?(D ?I|I ?D)) *$""))"),FALSE)</f>
        <v>0</v>
      </c>
      <c r="AC165" s="37" t="b">
        <f>IFERROR(__xludf.DUMMYFUNCTION("if(isblank(A165),,REGEXMATCH(B165,""^((D ?I|I ?D) ?\+ ?(U ?I|I ?U))|((U ?I|I ?U) ?\+ ?(D ?I|I ?D)) *$""))"),FALSE)</f>
        <v>0</v>
      </c>
      <c r="AD165" s="37" t="b">
        <f>IFERROR(__xludf.DUMMYFUNCTION("if(isblank(A165),,REGEXMATCH(B165,""^I *vs\. I *$""))"),TRUE)</f>
        <v>1</v>
      </c>
      <c r="AE165" s="37" t="b">
        <f>IFERROR(__xludf.DUMMYFUNCTION("if(isblank(A165),,REGEXMATCH(B165,""(^I *vs\. D *$)|(^D *vs\. I *$)""))"),FALSE)</f>
        <v>0</v>
      </c>
      <c r="AF165" s="37" t="b">
        <f>IFERROR(__xludf.DUMMYFUNCTION("if(isblank(A165),,REGEXMATCH(B165,""(^I *vs\. U *$)|(^U *vs\. I *$)""))"),FALSE)</f>
        <v>0</v>
      </c>
      <c r="AG165" s="37" t="b">
        <f>IFERROR(__xludf.DUMMYFUNCTION("if(isblank(A165),,REGEXMATCH(B165,""^D *vs\. D *$""))"),FALSE)</f>
        <v>0</v>
      </c>
      <c r="AH165" s="37" t="b">
        <f>IFERROR(__xludf.DUMMYFUNCTION("if(isblank(A165),,REGEXMATCH(B165,""(^U *vs\. D *$)|(^D *vs\. U *$)""))"),FALSE)</f>
        <v>0</v>
      </c>
      <c r="AI165" s="37" t="b">
        <f>IFERROR(__xludf.DUMMYFUNCTION("if(isblank(A165),,REGEXMATCH(B165,""^U *vs\. U *$""))"),FALSE)</f>
        <v>0</v>
      </c>
      <c r="AJ165" s="37" t="b">
        <f>IFERROR(__xludf.DUMMYFUNCTION("if(isblank(A165),,REGEXMATCH(B165,""^((I ?vs\. ?(D ?I|I ?D))|((D ?I|I ?D) ?vs\. ?I)) *$""))"),FALSE)</f>
        <v>0</v>
      </c>
      <c r="AK165" s="37" t="b">
        <f>IFERROR(__xludf.DUMMYFUNCTION("if(isblank(A165),,REGEXMATCH(B165,""^((D ?vs\. ?(D ?I|I ?D))|((D ?I|I ?D) ?vs\. ?D)) *$""))"),FALSE)</f>
        <v>0</v>
      </c>
      <c r="AL165" s="37" t="b">
        <f>IFERROR(__xludf.DUMMYFUNCTION("if(isblank(A165),,REGEXMATCH(B165,""^((U ?vs\. ?(D ?I|I ?D))|((D ?I|I ?D) ?vs\. ?U)) *$""))"),FALSE)</f>
        <v>0</v>
      </c>
      <c r="AM165" s="37" t="b">
        <f>IFERROR(__xludf.DUMMYFUNCTION("if(isblank(A165),,REGEXMATCH(B165,""^((I ?vs\. ?(U ?I|I ?U))|((U ?I|I ?U) ?vs\. ?I)) *$""))"),FALSE)</f>
        <v>0</v>
      </c>
      <c r="AN165" s="37" t="b">
        <f>IFERROR(__xludf.DUMMYFUNCTION("if(isblank(A165),,REGEXMATCH(B165,""^((D ?vs\. ?(U ?I|I ?U))|((U ?I|I ?U) ?vs\. ?D)) *$""))"),FALSE)</f>
        <v>0</v>
      </c>
      <c r="AO165" s="37" t="b">
        <f>IFERROR(__xludf.DUMMYFUNCTION("if(isblank(A165),,REGEXMATCH(B165,""^((U ?vs\. ?(U ?I|I ?U))|((U ?I|I ?U) ?vs\. ?U)) *$""))"),FALSE)</f>
        <v>0</v>
      </c>
      <c r="AP165" s="37" t="b">
        <f>IFERROR(__xludf.DUMMYFUNCTION("if(isblank(A165),,REGEXMATCH(B165,""^((I ?vs\. ?(U ?D|D ?U))|((D ?U|U ?D) ?vs\. ?I)) *$""))"),FALSE)</f>
        <v>0</v>
      </c>
      <c r="AQ165" s="37" t="b">
        <f>IFERROR(__xludf.DUMMYFUNCTION("if(isblank(A165),,REGEXMATCH(B165,""^((D ?vs\. ?(U ?D|D ?U))|((D ?U|U ?D) ?vs\. ?D)) *$""))"),FALSE)</f>
        <v>0</v>
      </c>
      <c r="AR165" s="37" t="b">
        <f>IFERROR(__xludf.DUMMYFUNCTION("if(isblank(A165),,REGEXMATCH(B165,""^((U ?vs\. ?(U ?D|D ?U))|((D ?U|U ?D) ?vs\. ?U)) *$""))"),FALSE)</f>
        <v>0</v>
      </c>
      <c r="AS165" s="37" t="b">
        <f>IFERROR(__xludf.DUMMYFUNCTION("if(isblank(A165),,REGEXMATCH(B165,""^((D ?I|I ?D) ?vs\. ?(D ?I|I ?D)) *$""))"),FALSE)</f>
        <v>0</v>
      </c>
      <c r="AT165" s="37" t="b">
        <f>IFERROR(__xludf.DUMMYFUNCTION("if(isblank(A165),,REGEXMATCH(B165,""^((D ?I|I ?D) ?vs\. ?(U ?I|I ?U))|((U ?I|I ?U) ?vs\. ?(D ?I|I ?D)) *$""))"),FALSE)</f>
        <v>0</v>
      </c>
      <c r="AU165" s="37" t="b">
        <f>IFERROR(__xludf.DUMMYFUNCTION("if(isblank(A165),,REGEXMATCH(B165,""^((D ?I|I ?D) ?vs\. ?(U ?D|D ?U))|((U ?D|D ?U) ?vs\. ?(D ?I|I ?D)) *$""))"),FALSE)</f>
        <v>0</v>
      </c>
      <c r="AV165" s="37" t="b">
        <f>IFERROR(__xludf.DUMMYFUNCTION("if(isblank(A165),,REGEXMATCH(B165,""^((U ?I|I ?U) ?vs\. ?(U ?I|I ?U)) *$""))"),FALSE)</f>
        <v>0</v>
      </c>
    </row>
    <row r="166" ht="26.25" customHeight="1">
      <c r="A166" s="79" t="str">
        <f>Paper_Textual_Conflict!M166</f>
        <v>U vs. D I</v>
      </c>
      <c r="B166" s="37" t="str">
        <f>IFERROR(__xludf.DUMMYFUNCTION("if(isblank(A166),,regexextract(REGEXEXTRACT(A166,""^.*""),""^[^(]*""))"),"U vs. D I")</f>
        <v>U vs. D I</v>
      </c>
      <c r="C166" s="37" t="b">
        <f>IFERROR(__xludf.DUMMYFUNCTION("if(isblank(A166),,REGEXMATCH(B166,"".*\+.*"") )"),FALSE)</f>
        <v>0</v>
      </c>
      <c r="D166" s="37" t="b">
        <f>IFERROR(__xludf.DUMMYFUNCTION("if(isblank(A166),,REGEXMATCH(B166,"".*vs.*"") )"),TRUE)</f>
        <v>1</v>
      </c>
      <c r="E166" s="37" t="b">
        <f>Paper_Textual_Conflict!H166</f>
        <v>1</v>
      </c>
      <c r="F166" s="37" t="str">
        <f>Paper_Textual_Conflict!Q166</f>
        <v>Java</v>
      </c>
      <c r="G166" s="33">
        <v>166.0</v>
      </c>
      <c r="H166" s="37" t="b">
        <f>IFERROR(__xludf.DUMMYFUNCTION("if(isblank(A166),,REGEXMATCH(B166,""^I *\+ I *$""))"),FALSE)</f>
        <v>0</v>
      </c>
      <c r="I166" s="37" t="b">
        <f>IFERROR(__xludf.DUMMYFUNCTION("if(isblank(A166),,REGEXMATCH(B166,""(^I *\+ D *$)|(^D *\+ I *$)""))"),FALSE)</f>
        <v>0</v>
      </c>
      <c r="J166" s="37" t="b">
        <f>IFERROR(__xludf.DUMMYFUNCTION("if(isblank(A166),,REGEXMATCH(B166,""(^I *\+ U *$)|(^U *\+ I *$)""))"),FALSE)</f>
        <v>0</v>
      </c>
      <c r="K166" s="37" t="b">
        <f>IFERROR(__xludf.DUMMYFUNCTION("if(isblank(A166),,REGEXMATCH(B166,""(^I *\+ N *$)|(^N *\+ I *$)"") )"),FALSE)</f>
        <v>0</v>
      </c>
      <c r="L166" s="37" t="b">
        <f>IFERROR(__xludf.DUMMYFUNCTION("if(isblank(A166),,REGEXMATCH(B166,""^D *\+ D *$""))"),FALSE)</f>
        <v>0</v>
      </c>
      <c r="M166" s="37" t="b">
        <f>IFERROR(__xludf.DUMMYFUNCTION("if(isblank(A166),,REGEXMATCH(B166,""(^U *\+ D *$)|(^D *\+ U *$)""))"),FALSE)</f>
        <v>0</v>
      </c>
      <c r="N166" s="37" t="b">
        <f>IFERROR(__xludf.DUMMYFUNCTION("if(isblank(A166),,REGEXMATCH(B166,""(^N *\+ D *$)|(^D *\+ N *$)""))"),FALSE)</f>
        <v>0</v>
      </c>
      <c r="O166" s="37" t="b">
        <f>IFERROR(__xludf.DUMMYFUNCTION("if(isblank(A166),,REGEXMATCH(B166,""^U *\+ U *$""))"),FALSE)</f>
        <v>0</v>
      </c>
      <c r="P166" s="37" t="b">
        <f>IFERROR(__xludf.DUMMYFUNCTION("if(isblank(A166),,REGEXMATCH(B166,""(^U *\+ N *$)|(^N *\+ U *$)""))"),FALSE)</f>
        <v>0</v>
      </c>
      <c r="Q166" s="37" t="b">
        <f>IFERROR(__xludf.DUMMYFUNCTION("if(isblank(A166),,REGEXMATCH(B166,""^((I ?\+ ?(D ?I|I ?D))|((D ?I|I ?D) ?\+ ?I)) *$""))"),FALSE)</f>
        <v>0</v>
      </c>
      <c r="R166" s="37" t="b">
        <f>IFERROR(__xludf.DUMMYFUNCTION("if(isblank(A166),,REGEXMATCH(B166,""^((D ?\+ ?(D ?I|I ?D))|((D ?I|I ?D) ?\+ ?D)) *$""))"),FALSE)</f>
        <v>0</v>
      </c>
      <c r="S166" s="37" t="b">
        <f>IFERROR(__xludf.DUMMYFUNCTION("if(isblank(A166),,REGEXMATCH(B166,""^((U ?\+ ?(D ?I|I ?D))|((D ?I|I ?D) ?\+ ?U)) *$""))"),FALSE)</f>
        <v>0</v>
      </c>
      <c r="T166" s="37" t="b">
        <f>IFERROR(__xludf.DUMMYFUNCTION("if(isblank(A166),,REGEXMATCH(B166,""^((N ?\+ ?(D ?I|I ?D))|((D ?I|I ?D) ?\+ ?N)) *$""))"),FALSE)</f>
        <v>0</v>
      </c>
      <c r="U166" s="37" t="b">
        <f>IFERROR(__xludf.DUMMYFUNCTION("if(isblank(A166),,REGEXMATCH(B166,""^((I ?\+ ?(U ?I|I ?U))|((I ?U|U ?I) ?\+ ?I)) *$""))"),FALSE)</f>
        <v>0</v>
      </c>
      <c r="V166" s="37" t="b">
        <f>IFERROR(__xludf.DUMMYFUNCTION("if(isblank(A166),,REGEXMATCH(B166,""^((D ?\+ ?(U ?I|I ?U))|((I ?U|U ?I) ?\+ ?D)) *$""))"),FALSE)</f>
        <v>0</v>
      </c>
      <c r="W166" s="37" t="b">
        <f>IFERROR(__xludf.DUMMYFUNCTION("if(isblank(A166),,REGEXMATCH(B166,""^((U ?\+ ?(U ?I|I ?U))|((I ?U|U ?I) ?\+ ?U)) *$""))"),FALSE)</f>
        <v>0</v>
      </c>
      <c r="X166" s="37" t="b">
        <f>IFERROR(__xludf.DUMMYFUNCTION("if(isblank(A166),,REGEXMATCH(B166,""^((N ?\+ ?(U ?I|I ?U))|((I ?U|U ?I) ?\+ ?N)) *$""))"),FALSE)</f>
        <v>0</v>
      </c>
      <c r="Y166" s="37" t="b">
        <f>IFERROR(__xludf.DUMMYFUNCTION("if(isblank(A166),,REGEXMATCH(B166,""^((I ?\+ ?(U ?D|D ?U))|((D ?U|U ?D) ?\+ ?I)) *$""))"),FALSE)</f>
        <v>0</v>
      </c>
      <c r="Z166" s="37" t="b">
        <f>IFERROR(__xludf.DUMMYFUNCTION("if(isblank(A166),,REGEXMATCH(B166,""^((D ?\+ ?(U ?D|D ?U))|((D ?U|U ?D) ?\+ ?D)) *$""))"),FALSE)</f>
        <v>0</v>
      </c>
      <c r="AA166" s="37" t="b">
        <f>IFERROR(__xludf.DUMMYFUNCTION("if(isblank(A166),,REGEXMATCH(B166,""^((U ?\+ ?(U ?D|D ?U))|((D ?U|U ?D) ?\+ ?U)) *$""))"),FALSE)</f>
        <v>0</v>
      </c>
      <c r="AB166" s="37" t="b">
        <f>IFERROR(__xludf.DUMMYFUNCTION("if(isblank(A166),,REGEXMATCH(B166,""^((D ?I|I ?D) ?\+ ?(D ?I|I ?D)) *$""))"),FALSE)</f>
        <v>0</v>
      </c>
      <c r="AC166" s="37" t="b">
        <f>IFERROR(__xludf.DUMMYFUNCTION("if(isblank(A166),,REGEXMATCH(B166,""^((D ?I|I ?D) ?\+ ?(U ?I|I ?U))|((U ?I|I ?U) ?\+ ?(D ?I|I ?D)) *$""))"),FALSE)</f>
        <v>0</v>
      </c>
      <c r="AD166" s="37" t="b">
        <f>IFERROR(__xludf.DUMMYFUNCTION("if(isblank(A166),,REGEXMATCH(B166,""^I *vs\. I *$""))"),FALSE)</f>
        <v>0</v>
      </c>
      <c r="AE166" s="37" t="b">
        <f>IFERROR(__xludf.DUMMYFUNCTION("if(isblank(A166),,REGEXMATCH(B166,""(^I *vs\. D *$)|(^D *vs\. I *$)""))"),FALSE)</f>
        <v>0</v>
      </c>
      <c r="AF166" s="37" t="b">
        <f>IFERROR(__xludf.DUMMYFUNCTION("if(isblank(A166),,REGEXMATCH(B166,""(^I *vs\. U *$)|(^U *vs\. I *$)""))"),FALSE)</f>
        <v>0</v>
      </c>
      <c r="AG166" s="37" t="b">
        <f>IFERROR(__xludf.DUMMYFUNCTION("if(isblank(A166),,REGEXMATCH(B166,""^D *vs\. D *$""))"),FALSE)</f>
        <v>0</v>
      </c>
      <c r="AH166" s="37" t="b">
        <f>IFERROR(__xludf.DUMMYFUNCTION("if(isblank(A166),,REGEXMATCH(B166,""(^U *vs\. D *$)|(^D *vs\. U *$)""))"),FALSE)</f>
        <v>0</v>
      </c>
      <c r="AI166" s="37" t="b">
        <f>IFERROR(__xludf.DUMMYFUNCTION("if(isblank(A166),,REGEXMATCH(B166,""^U *vs\. U *$""))"),FALSE)</f>
        <v>0</v>
      </c>
      <c r="AJ166" s="37" t="b">
        <f>IFERROR(__xludf.DUMMYFUNCTION("if(isblank(A166),,REGEXMATCH(B166,""^((I ?vs\. ?(D ?I|I ?D))|((D ?I|I ?D) ?vs\. ?I)) *$""))"),FALSE)</f>
        <v>0</v>
      </c>
      <c r="AK166" s="37" t="b">
        <f>IFERROR(__xludf.DUMMYFUNCTION("if(isblank(A166),,REGEXMATCH(B166,""^((D ?vs\. ?(D ?I|I ?D))|((D ?I|I ?D) ?vs\. ?D)) *$""))"),FALSE)</f>
        <v>0</v>
      </c>
      <c r="AL166" s="37" t="b">
        <f>IFERROR(__xludf.DUMMYFUNCTION("if(isblank(A166),,REGEXMATCH(B166,""^((U ?vs\. ?(D ?I|I ?D))|((D ?I|I ?D) ?vs\. ?U)) *$""))"),TRUE)</f>
        <v>1</v>
      </c>
      <c r="AM166" s="37" t="b">
        <f>IFERROR(__xludf.DUMMYFUNCTION("if(isblank(A166),,REGEXMATCH(B166,""^((I ?vs\. ?(U ?I|I ?U))|((U ?I|I ?U) ?vs\. ?I)) *$""))"),FALSE)</f>
        <v>0</v>
      </c>
      <c r="AN166" s="37" t="b">
        <f>IFERROR(__xludf.DUMMYFUNCTION("if(isblank(A166),,REGEXMATCH(B166,""^((D ?vs\. ?(U ?I|I ?U))|((U ?I|I ?U) ?vs\. ?D)) *$""))"),FALSE)</f>
        <v>0</v>
      </c>
      <c r="AO166" s="37" t="b">
        <f>IFERROR(__xludf.DUMMYFUNCTION("if(isblank(A166),,REGEXMATCH(B166,""^((U ?vs\. ?(U ?I|I ?U))|((U ?I|I ?U) ?vs\. ?U)) *$""))"),FALSE)</f>
        <v>0</v>
      </c>
      <c r="AP166" s="37" t="b">
        <f>IFERROR(__xludf.DUMMYFUNCTION("if(isblank(A166),,REGEXMATCH(B166,""^((I ?vs\. ?(U ?D|D ?U))|((D ?U|U ?D) ?vs\. ?I)) *$""))"),FALSE)</f>
        <v>0</v>
      </c>
      <c r="AQ166" s="37" t="b">
        <f>IFERROR(__xludf.DUMMYFUNCTION("if(isblank(A166),,REGEXMATCH(B166,""^((D ?vs\. ?(U ?D|D ?U))|((D ?U|U ?D) ?vs\. ?D)) *$""))"),FALSE)</f>
        <v>0</v>
      </c>
      <c r="AR166" s="37" t="b">
        <f>IFERROR(__xludf.DUMMYFUNCTION("if(isblank(A166),,REGEXMATCH(B166,""^((U ?vs\. ?(U ?D|D ?U))|((D ?U|U ?D) ?vs\. ?U)) *$""))"),FALSE)</f>
        <v>0</v>
      </c>
      <c r="AS166" s="37" t="b">
        <f>IFERROR(__xludf.DUMMYFUNCTION("if(isblank(A166),,REGEXMATCH(B166,""^((D ?I|I ?D) ?vs\. ?(D ?I|I ?D)) *$""))"),FALSE)</f>
        <v>0</v>
      </c>
      <c r="AT166" s="37" t="b">
        <f>IFERROR(__xludf.DUMMYFUNCTION("if(isblank(A166),,REGEXMATCH(B166,""^((D ?I|I ?D) ?vs\. ?(U ?I|I ?U))|((U ?I|I ?U) ?vs\. ?(D ?I|I ?D)) *$""))"),FALSE)</f>
        <v>0</v>
      </c>
      <c r="AU166" s="37" t="b">
        <f>IFERROR(__xludf.DUMMYFUNCTION("if(isblank(A166),,REGEXMATCH(B166,""^((D ?I|I ?D) ?vs\. ?(U ?D|D ?U))|((U ?D|D ?U) ?vs\. ?(D ?I|I ?D)) *$""))"),FALSE)</f>
        <v>0</v>
      </c>
      <c r="AV166" s="37" t="b">
        <f>IFERROR(__xludf.DUMMYFUNCTION("if(isblank(A166),,REGEXMATCH(B166,""^((U ?I|I ?U) ?vs\. ?(U ?I|I ?U)) *$""))"),FALSE)</f>
        <v>0</v>
      </c>
    </row>
    <row r="167" ht="26.25" customHeight="1">
      <c r="A167" s="79" t="str">
        <f>Paper_Textual_Conflict!M167</f>
        <v>U I vs. U (xml)
Origin(D I vs. U)</v>
      </c>
      <c r="B167" s="37" t="str">
        <f>IFERROR(__xludf.DUMMYFUNCTION("if(isblank(A167),,regexextract(REGEXEXTRACT(A167,""^.*""),""^[^(]*""))"),"U I vs. U ")</f>
        <v>U I vs. U </v>
      </c>
      <c r="C167" s="37" t="b">
        <f>IFERROR(__xludf.DUMMYFUNCTION("if(isblank(A167),,REGEXMATCH(B167,"".*\+.*"") )"),FALSE)</f>
        <v>0</v>
      </c>
      <c r="D167" s="37" t="b">
        <f>IFERROR(__xludf.DUMMYFUNCTION("if(isblank(A167),,REGEXMATCH(B167,"".*vs.*"") )"),TRUE)</f>
        <v>1</v>
      </c>
      <c r="E167" s="37" t="b">
        <f>Paper_Textual_Conflict!H167</f>
        <v>1</v>
      </c>
      <c r="F167" s="37" t="str">
        <f>Paper_Textual_Conflict!Q167</f>
        <v>Non-Java</v>
      </c>
      <c r="G167" s="33">
        <v>167.0</v>
      </c>
      <c r="H167" s="37" t="b">
        <f>IFERROR(__xludf.DUMMYFUNCTION("if(isblank(A167),,REGEXMATCH(B167,""^I *\+ I *$""))"),FALSE)</f>
        <v>0</v>
      </c>
      <c r="I167" s="37" t="b">
        <f>IFERROR(__xludf.DUMMYFUNCTION("if(isblank(A167),,REGEXMATCH(B167,""(^I *\+ D *$)|(^D *\+ I *$)""))"),FALSE)</f>
        <v>0</v>
      </c>
      <c r="J167" s="37" t="b">
        <f>IFERROR(__xludf.DUMMYFUNCTION("if(isblank(A167),,REGEXMATCH(B167,""(^I *\+ U *$)|(^U *\+ I *$)""))"),FALSE)</f>
        <v>0</v>
      </c>
      <c r="K167" s="37" t="b">
        <f>IFERROR(__xludf.DUMMYFUNCTION("if(isblank(A167),,REGEXMATCH(B167,""(^I *\+ N *$)|(^N *\+ I *$)"") )"),FALSE)</f>
        <v>0</v>
      </c>
      <c r="L167" s="37" t="b">
        <f>IFERROR(__xludf.DUMMYFUNCTION("if(isblank(A167),,REGEXMATCH(B167,""^D *\+ D *$""))"),FALSE)</f>
        <v>0</v>
      </c>
      <c r="M167" s="37" t="b">
        <f>IFERROR(__xludf.DUMMYFUNCTION("if(isblank(A167),,REGEXMATCH(B167,""(^U *\+ D *$)|(^D *\+ U *$)""))"),FALSE)</f>
        <v>0</v>
      </c>
      <c r="N167" s="37" t="b">
        <f>IFERROR(__xludf.DUMMYFUNCTION("if(isblank(A167),,REGEXMATCH(B167,""(^N *\+ D *$)|(^D *\+ N *$)""))"),FALSE)</f>
        <v>0</v>
      </c>
      <c r="O167" s="37" t="b">
        <f>IFERROR(__xludf.DUMMYFUNCTION("if(isblank(A167),,REGEXMATCH(B167,""^U *\+ U *$""))"),FALSE)</f>
        <v>0</v>
      </c>
      <c r="P167" s="37" t="b">
        <f>IFERROR(__xludf.DUMMYFUNCTION("if(isblank(A167),,REGEXMATCH(B167,""(^U *\+ N *$)|(^N *\+ U *$)""))"),FALSE)</f>
        <v>0</v>
      </c>
      <c r="Q167" s="37" t="b">
        <f>IFERROR(__xludf.DUMMYFUNCTION("if(isblank(A167),,REGEXMATCH(B167,""^((I ?\+ ?(D ?I|I ?D))|((D ?I|I ?D) ?\+ ?I)) *$""))"),FALSE)</f>
        <v>0</v>
      </c>
      <c r="R167" s="37" t="b">
        <f>IFERROR(__xludf.DUMMYFUNCTION("if(isblank(A167),,REGEXMATCH(B167,""^((D ?\+ ?(D ?I|I ?D))|((D ?I|I ?D) ?\+ ?D)) *$""))"),FALSE)</f>
        <v>0</v>
      </c>
      <c r="S167" s="37" t="b">
        <f>IFERROR(__xludf.DUMMYFUNCTION("if(isblank(A167),,REGEXMATCH(B167,""^((U ?\+ ?(D ?I|I ?D))|((D ?I|I ?D) ?\+ ?U)) *$""))"),FALSE)</f>
        <v>0</v>
      </c>
      <c r="T167" s="37" t="b">
        <f>IFERROR(__xludf.DUMMYFUNCTION("if(isblank(A167),,REGEXMATCH(B167,""^((N ?\+ ?(D ?I|I ?D))|((D ?I|I ?D) ?\+ ?N)) *$""))"),FALSE)</f>
        <v>0</v>
      </c>
      <c r="U167" s="37" t="b">
        <f>IFERROR(__xludf.DUMMYFUNCTION("if(isblank(A167),,REGEXMATCH(B167,""^((I ?\+ ?(U ?I|I ?U))|((I ?U|U ?I) ?\+ ?I)) *$""))"),FALSE)</f>
        <v>0</v>
      </c>
      <c r="V167" s="37" t="b">
        <f>IFERROR(__xludf.DUMMYFUNCTION("if(isblank(A167),,REGEXMATCH(B167,""^((D ?\+ ?(U ?I|I ?U))|((I ?U|U ?I) ?\+ ?D)) *$""))"),FALSE)</f>
        <v>0</v>
      </c>
      <c r="W167" s="37" t="b">
        <f>IFERROR(__xludf.DUMMYFUNCTION("if(isblank(A167),,REGEXMATCH(B167,""^((U ?\+ ?(U ?I|I ?U))|((I ?U|U ?I) ?\+ ?U)) *$""))"),FALSE)</f>
        <v>0</v>
      </c>
      <c r="X167" s="37" t="b">
        <f>IFERROR(__xludf.DUMMYFUNCTION("if(isblank(A167),,REGEXMATCH(B167,""^((N ?\+ ?(U ?I|I ?U))|((I ?U|U ?I) ?\+ ?N)) *$""))"),FALSE)</f>
        <v>0</v>
      </c>
      <c r="Y167" s="37" t="b">
        <f>IFERROR(__xludf.DUMMYFUNCTION("if(isblank(A167),,REGEXMATCH(B167,""^((I ?\+ ?(U ?D|D ?U))|((D ?U|U ?D) ?\+ ?I)) *$""))"),FALSE)</f>
        <v>0</v>
      </c>
      <c r="Z167" s="37" t="b">
        <f>IFERROR(__xludf.DUMMYFUNCTION("if(isblank(A167),,REGEXMATCH(B167,""^((D ?\+ ?(U ?D|D ?U))|((D ?U|U ?D) ?\+ ?D)) *$""))"),FALSE)</f>
        <v>0</v>
      </c>
      <c r="AA167" s="37" t="b">
        <f>IFERROR(__xludf.DUMMYFUNCTION("if(isblank(A167),,REGEXMATCH(B167,""^((U ?\+ ?(U ?D|D ?U))|((D ?U|U ?D) ?\+ ?U)) *$""))"),FALSE)</f>
        <v>0</v>
      </c>
      <c r="AB167" s="37" t="b">
        <f>IFERROR(__xludf.DUMMYFUNCTION("if(isblank(A167),,REGEXMATCH(B167,""^((D ?I|I ?D) ?\+ ?(D ?I|I ?D)) *$""))"),FALSE)</f>
        <v>0</v>
      </c>
      <c r="AC167" s="37" t="b">
        <f>IFERROR(__xludf.DUMMYFUNCTION("if(isblank(A167),,REGEXMATCH(B167,""^((D ?I|I ?D) ?\+ ?(U ?I|I ?U))|((U ?I|I ?U) ?\+ ?(D ?I|I ?D)) *$""))"),FALSE)</f>
        <v>0</v>
      </c>
      <c r="AD167" s="37" t="b">
        <f>IFERROR(__xludf.DUMMYFUNCTION("if(isblank(A167),,REGEXMATCH(B167,""^I *vs\. I *$""))"),FALSE)</f>
        <v>0</v>
      </c>
      <c r="AE167" s="37" t="b">
        <f>IFERROR(__xludf.DUMMYFUNCTION("if(isblank(A167),,REGEXMATCH(B167,""(^I *vs\. D *$)|(^D *vs\. I *$)""))"),FALSE)</f>
        <v>0</v>
      </c>
      <c r="AF167" s="37" t="b">
        <f>IFERROR(__xludf.DUMMYFUNCTION("if(isblank(A167),,REGEXMATCH(B167,""(^I *vs\. U *$)|(^U *vs\. I *$)""))"),FALSE)</f>
        <v>0</v>
      </c>
      <c r="AG167" s="37" t="b">
        <f>IFERROR(__xludf.DUMMYFUNCTION("if(isblank(A167),,REGEXMATCH(B167,""^D *vs\. D *$""))"),FALSE)</f>
        <v>0</v>
      </c>
      <c r="AH167" s="37" t="b">
        <f>IFERROR(__xludf.DUMMYFUNCTION("if(isblank(A167),,REGEXMATCH(B167,""(^U *vs\. D *$)|(^D *vs\. U *$)""))"),FALSE)</f>
        <v>0</v>
      </c>
      <c r="AI167" s="37" t="b">
        <f>IFERROR(__xludf.DUMMYFUNCTION("if(isblank(A167),,REGEXMATCH(B167,""^U *vs\. U *$""))"),FALSE)</f>
        <v>0</v>
      </c>
      <c r="AJ167" s="37" t="b">
        <f>IFERROR(__xludf.DUMMYFUNCTION("if(isblank(A167),,REGEXMATCH(B167,""^((I ?vs\. ?(D ?I|I ?D))|((D ?I|I ?D) ?vs\. ?I)) *$""))"),FALSE)</f>
        <v>0</v>
      </c>
      <c r="AK167" s="37" t="b">
        <f>IFERROR(__xludf.DUMMYFUNCTION("if(isblank(A167),,REGEXMATCH(B167,""^((D ?vs\. ?(D ?I|I ?D))|((D ?I|I ?D) ?vs\. ?D)) *$""))"),FALSE)</f>
        <v>0</v>
      </c>
      <c r="AL167" s="37" t="b">
        <f>IFERROR(__xludf.DUMMYFUNCTION("if(isblank(A167),,REGEXMATCH(B167,""^((U ?vs\. ?(D ?I|I ?D))|((D ?I|I ?D) ?vs\. ?U)) *$""))"),FALSE)</f>
        <v>0</v>
      </c>
      <c r="AM167" s="37" t="b">
        <f>IFERROR(__xludf.DUMMYFUNCTION("if(isblank(A167),,REGEXMATCH(B167,""^((I ?vs\. ?(U ?I|I ?U))|((U ?I|I ?U) ?vs\. ?I)) *$""))"),FALSE)</f>
        <v>0</v>
      </c>
      <c r="AN167" s="37" t="b">
        <f>IFERROR(__xludf.DUMMYFUNCTION("if(isblank(A167),,REGEXMATCH(B167,""^((D ?vs\. ?(U ?I|I ?U))|((U ?I|I ?U) ?vs\. ?D)) *$""))"),FALSE)</f>
        <v>0</v>
      </c>
      <c r="AO167" s="37" t="b">
        <f>IFERROR(__xludf.DUMMYFUNCTION("if(isblank(A167),,REGEXMATCH(B167,""^((U ?vs\. ?(U ?I|I ?U))|((U ?I|I ?U) ?vs\. ?U)) *$""))"),TRUE)</f>
        <v>1</v>
      </c>
      <c r="AP167" s="37" t="b">
        <f>IFERROR(__xludf.DUMMYFUNCTION("if(isblank(A167),,REGEXMATCH(B167,""^((I ?vs\. ?(U ?D|D ?U))|((D ?U|U ?D) ?vs\. ?I)) *$""))"),FALSE)</f>
        <v>0</v>
      </c>
      <c r="AQ167" s="37" t="b">
        <f>IFERROR(__xludf.DUMMYFUNCTION("if(isblank(A167),,REGEXMATCH(B167,""^((D ?vs\. ?(U ?D|D ?U))|((D ?U|U ?D) ?vs\. ?D)) *$""))"),FALSE)</f>
        <v>0</v>
      </c>
      <c r="AR167" s="37" t="b">
        <f>IFERROR(__xludf.DUMMYFUNCTION("if(isblank(A167),,REGEXMATCH(B167,""^((U ?vs\. ?(U ?D|D ?U))|((D ?U|U ?D) ?vs\. ?U)) *$""))"),FALSE)</f>
        <v>0</v>
      </c>
      <c r="AS167" s="37" t="b">
        <f>IFERROR(__xludf.DUMMYFUNCTION("if(isblank(A167),,REGEXMATCH(B167,""^((D ?I|I ?D) ?vs\. ?(D ?I|I ?D)) *$""))"),FALSE)</f>
        <v>0</v>
      </c>
      <c r="AT167" s="37" t="b">
        <f>IFERROR(__xludf.DUMMYFUNCTION("if(isblank(A167),,REGEXMATCH(B167,""^((D ?I|I ?D) ?vs\. ?(U ?I|I ?U))|((U ?I|I ?U) ?vs\. ?(D ?I|I ?D)) *$""))"),FALSE)</f>
        <v>0</v>
      </c>
      <c r="AU167" s="37" t="b">
        <f>IFERROR(__xludf.DUMMYFUNCTION("if(isblank(A167),,REGEXMATCH(B167,""^((D ?I|I ?D) ?vs\. ?(U ?D|D ?U))|((U ?D|D ?U) ?vs\. ?(D ?I|I ?D)) *$""))"),FALSE)</f>
        <v>0</v>
      </c>
      <c r="AV167" s="37" t="b">
        <f>IFERROR(__xludf.DUMMYFUNCTION("if(isblank(A167),,REGEXMATCH(B167,""^((U ?I|I ?U) ?vs\. ?(U ?I|I ?U)) *$""))"),FALSE)</f>
        <v>0</v>
      </c>
    </row>
    <row r="168" ht="26.25" customHeight="1">
      <c r="A168" s="79" t="str">
        <f>Paper_Textual_Conflict!M168</f>
        <v>D vs. U (delete vs. update .ftl file)</v>
      </c>
      <c r="B168" s="37" t="str">
        <f>IFERROR(__xludf.DUMMYFUNCTION("if(isblank(A168),,regexextract(REGEXEXTRACT(A168,""^.*""),""^[^(]*""))"),"D vs. U ")</f>
        <v>D vs. U </v>
      </c>
      <c r="C168" s="37" t="b">
        <f>IFERROR(__xludf.DUMMYFUNCTION("if(isblank(A168),,REGEXMATCH(B168,"".*\+.*"") )"),FALSE)</f>
        <v>0</v>
      </c>
      <c r="D168" s="37" t="b">
        <f>IFERROR(__xludf.DUMMYFUNCTION("if(isblank(A168),,REGEXMATCH(B168,"".*vs.*"") )"),TRUE)</f>
        <v>1</v>
      </c>
      <c r="E168" s="37" t="b">
        <f>Paper_Textual_Conflict!H168</f>
        <v>1</v>
      </c>
      <c r="F168" s="37" t="str">
        <f>Paper_Textual_Conflict!Q168</f>
        <v>Non-Java</v>
      </c>
      <c r="G168" s="33">
        <v>168.0</v>
      </c>
      <c r="H168" s="37" t="b">
        <f>IFERROR(__xludf.DUMMYFUNCTION("if(isblank(A168),,REGEXMATCH(B168,""^I *\+ I *$""))"),FALSE)</f>
        <v>0</v>
      </c>
      <c r="I168" s="37" t="b">
        <f>IFERROR(__xludf.DUMMYFUNCTION("if(isblank(A168),,REGEXMATCH(B168,""(^I *\+ D *$)|(^D *\+ I *$)""))"),FALSE)</f>
        <v>0</v>
      </c>
      <c r="J168" s="37" t="b">
        <f>IFERROR(__xludf.DUMMYFUNCTION("if(isblank(A168),,REGEXMATCH(B168,""(^I *\+ U *$)|(^U *\+ I *$)""))"),FALSE)</f>
        <v>0</v>
      </c>
      <c r="K168" s="37" t="b">
        <f>IFERROR(__xludf.DUMMYFUNCTION("if(isblank(A168),,REGEXMATCH(B168,""(^I *\+ N *$)|(^N *\+ I *$)"") )"),FALSE)</f>
        <v>0</v>
      </c>
      <c r="L168" s="37" t="b">
        <f>IFERROR(__xludf.DUMMYFUNCTION("if(isblank(A168),,REGEXMATCH(B168,""^D *\+ D *$""))"),FALSE)</f>
        <v>0</v>
      </c>
      <c r="M168" s="37" t="b">
        <f>IFERROR(__xludf.DUMMYFUNCTION("if(isblank(A168),,REGEXMATCH(B168,""(^U *\+ D *$)|(^D *\+ U *$)""))"),FALSE)</f>
        <v>0</v>
      </c>
      <c r="N168" s="37" t="b">
        <f>IFERROR(__xludf.DUMMYFUNCTION("if(isblank(A168),,REGEXMATCH(B168,""(^N *\+ D *$)|(^D *\+ N *$)""))"),FALSE)</f>
        <v>0</v>
      </c>
      <c r="O168" s="37" t="b">
        <f>IFERROR(__xludf.DUMMYFUNCTION("if(isblank(A168),,REGEXMATCH(B168,""^U *\+ U *$""))"),FALSE)</f>
        <v>0</v>
      </c>
      <c r="P168" s="37" t="b">
        <f>IFERROR(__xludf.DUMMYFUNCTION("if(isblank(A168),,REGEXMATCH(B168,""(^U *\+ N *$)|(^N *\+ U *$)""))"),FALSE)</f>
        <v>0</v>
      </c>
      <c r="Q168" s="37" t="b">
        <f>IFERROR(__xludf.DUMMYFUNCTION("if(isblank(A168),,REGEXMATCH(B168,""^((I ?\+ ?(D ?I|I ?D))|((D ?I|I ?D) ?\+ ?I)) *$""))"),FALSE)</f>
        <v>0</v>
      </c>
      <c r="R168" s="37" t="b">
        <f>IFERROR(__xludf.DUMMYFUNCTION("if(isblank(A168),,REGEXMATCH(B168,""^((D ?\+ ?(D ?I|I ?D))|((D ?I|I ?D) ?\+ ?D)) *$""))"),FALSE)</f>
        <v>0</v>
      </c>
      <c r="S168" s="37" t="b">
        <f>IFERROR(__xludf.DUMMYFUNCTION("if(isblank(A168),,REGEXMATCH(B168,""^((U ?\+ ?(D ?I|I ?D))|((D ?I|I ?D) ?\+ ?U)) *$""))"),FALSE)</f>
        <v>0</v>
      </c>
      <c r="T168" s="37" t="b">
        <f>IFERROR(__xludf.DUMMYFUNCTION("if(isblank(A168),,REGEXMATCH(B168,""^((N ?\+ ?(D ?I|I ?D))|((D ?I|I ?D) ?\+ ?N)) *$""))"),FALSE)</f>
        <v>0</v>
      </c>
      <c r="U168" s="37" t="b">
        <f>IFERROR(__xludf.DUMMYFUNCTION("if(isblank(A168),,REGEXMATCH(B168,""^((I ?\+ ?(U ?I|I ?U))|((I ?U|U ?I) ?\+ ?I)) *$""))"),FALSE)</f>
        <v>0</v>
      </c>
      <c r="V168" s="37" t="b">
        <f>IFERROR(__xludf.DUMMYFUNCTION("if(isblank(A168),,REGEXMATCH(B168,""^((D ?\+ ?(U ?I|I ?U))|((I ?U|U ?I) ?\+ ?D)) *$""))"),FALSE)</f>
        <v>0</v>
      </c>
      <c r="W168" s="37" t="b">
        <f>IFERROR(__xludf.DUMMYFUNCTION("if(isblank(A168),,REGEXMATCH(B168,""^((U ?\+ ?(U ?I|I ?U))|((I ?U|U ?I) ?\+ ?U)) *$""))"),FALSE)</f>
        <v>0</v>
      </c>
      <c r="X168" s="37" t="b">
        <f>IFERROR(__xludf.DUMMYFUNCTION("if(isblank(A168),,REGEXMATCH(B168,""^((N ?\+ ?(U ?I|I ?U))|((I ?U|U ?I) ?\+ ?N)) *$""))"),FALSE)</f>
        <v>0</v>
      </c>
      <c r="Y168" s="37" t="b">
        <f>IFERROR(__xludf.DUMMYFUNCTION("if(isblank(A168),,REGEXMATCH(B168,""^((I ?\+ ?(U ?D|D ?U))|((D ?U|U ?D) ?\+ ?I)) *$""))"),FALSE)</f>
        <v>0</v>
      </c>
      <c r="Z168" s="37" t="b">
        <f>IFERROR(__xludf.DUMMYFUNCTION("if(isblank(A168),,REGEXMATCH(B168,""^((D ?\+ ?(U ?D|D ?U))|((D ?U|U ?D) ?\+ ?D)) *$""))"),FALSE)</f>
        <v>0</v>
      </c>
      <c r="AA168" s="37" t="b">
        <f>IFERROR(__xludf.DUMMYFUNCTION("if(isblank(A168),,REGEXMATCH(B168,""^((U ?\+ ?(U ?D|D ?U))|((D ?U|U ?D) ?\+ ?U)) *$""))"),FALSE)</f>
        <v>0</v>
      </c>
      <c r="AB168" s="37" t="b">
        <f>IFERROR(__xludf.DUMMYFUNCTION("if(isblank(A168),,REGEXMATCH(B168,""^((D ?I|I ?D) ?\+ ?(D ?I|I ?D)) *$""))"),FALSE)</f>
        <v>0</v>
      </c>
      <c r="AC168" s="37" t="b">
        <f>IFERROR(__xludf.DUMMYFUNCTION("if(isblank(A168),,REGEXMATCH(B168,""^((D ?I|I ?D) ?\+ ?(U ?I|I ?U))|((U ?I|I ?U) ?\+ ?(D ?I|I ?D)) *$""))"),FALSE)</f>
        <v>0</v>
      </c>
      <c r="AD168" s="37" t="b">
        <f>IFERROR(__xludf.DUMMYFUNCTION("if(isblank(A168),,REGEXMATCH(B168,""^I *vs\. I *$""))"),FALSE)</f>
        <v>0</v>
      </c>
      <c r="AE168" s="37" t="b">
        <f>IFERROR(__xludf.DUMMYFUNCTION("if(isblank(A168),,REGEXMATCH(B168,""(^I *vs\. D *$)|(^D *vs\. I *$)""))"),FALSE)</f>
        <v>0</v>
      </c>
      <c r="AF168" s="37" t="b">
        <f>IFERROR(__xludf.DUMMYFUNCTION("if(isblank(A168),,REGEXMATCH(B168,""(^I *vs\. U *$)|(^U *vs\. I *$)""))"),FALSE)</f>
        <v>0</v>
      </c>
      <c r="AG168" s="37" t="b">
        <f>IFERROR(__xludf.DUMMYFUNCTION("if(isblank(A168),,REGEXMATCH(B168,""^D *vs\. D *$""))"),FALSE)</f>
        <v>0</v>
      </c>
      <c r="AH168" s="37" t="b">
        <f>IFERROR(__xludf.DUMMYFUNCTION("if(isblank(A168),,REGEXMATCH(B168,""(^U *vs\. D *$)|(^D *vs\. U *$)""))"),TRUE)</f>
        <v>1</v>
      </c>
      <c r="AI168" s="37" t="b">
        <f>IFERROR(__xludf.DUMMYFUNCTION("if(isblank(A168),,REGEXMATCH(B168,""^U *vs\. U *$""))"),FALSE)</f>
        <v>0</v>
      </c>
      <c r="AJ168" s="37" t="b">
        <f>IFERROR(__xludf.DUMMYFUNCTION("if(isblank(A168),,REGEXMATCH(B168,""^((I ?vs\. ?(D ?I|I ?D))|((D ?I|I ?D) ?vs\. ?I)) *$""))"),FALSE)</f>
        <v>0</v>
      </c>
      <c r="AK168" s="37" t="b">
        <f>IFERROR(__xludf.DUMMYFUNCTION("if(isblank(A168),,REGEXMATCH(B168,""^((D ?vs\. ?(D ?I|I ?D))|((D ?I|I ?D) ?vs\. ?D)) *$""))"),FALSE)</f>
        <v>0</v>
      </c>
      <c r="AL168" s="37" t="b">
        <f>IFERROR(__xludf.DUMMYFUNCTION("if(isblank(A168),,REGEXMATCH(B168,""^((U ?vs\. ?(D ?I|I ?D))|((D ?I|I ?D) ?vs\. ?U)) *$""))"),FALSE)</f>
        <v>0</v>
      </c>
      <c r="AM168" s="37" t="b">
        <f>IFERROR(__xludf.DUMMYFUNCTION("if(isblank(A168),,REGEXMATCH(B168,""^((I ?vs\. ?(U ?I|I ?U))|((U ?I|I ?U) ?vs\. ?I)) *$""))"),FALSE)</f>
        <v>0</v>
      </c>
      <c r="AN168" s="37" t="b">
        <f>IFERROR(__xludf.DUMMYFUNCTION("if(isblank(A168),,REGEXMATCH(B168,""^((D ?vs\. ?(U ?I|I ?U))|((U ?I|I ?U) ?vs\. ?D)) *$""))"),FALSE)</f>
        <v>0</v>
      </c>
      <c r="AO168" s="37" t="b">
        <f>IFERROR(__xludf.DUMMYFUNCTION("if(isblank(A168),,REGEXMATCH(B168,""^((U ?vs\. ?(U ?I|I ?U))|((U ?I|I ?U) ?vs\. ?U)) *$""))"),FALSE)</f>
        <v>0</v>
      </c>
      <c r="AP168" s="37" t="b">
        <f>IFERROR(__xludf.DUMMYFUNCTION("if(isblank(A168),,REGEXMATCH(B168,""^((I ?vs\. ?(U ?D|D ?U))|((D ?U|U ?D) ?vs\. ?I)) *$""))"),FALSE)</f>
        <v>0</v>
      </c>
      <c r="AQ168" s="37" t="b">
        <f>IFERROR(__xludf.DUMMYFUNCTION("if(isblank(A168),,REGEXMATCH(B168,""^((D ?vs\. ?(U ?D|D ?U))|((D ?U|U ?D) ?vs\. ?D)) *$""))"),FALSE)</f>
        <v>0</v>
      </c>
      <c r="AR168" s="37" t="b">
        <f>IFERROR(__xludf.DUMMYFUNCTION("if(isblank(A168),,REGEXMATCH(B168,""^((U ?vs\. ?(U ?D|D ?U))|((D ?U|U ?D) ?vs\. ?U)) *$""))"),FALSE)</f>
        <v>0</v>
      </c>
      <c r="AS168" s="37" t="b">
        <f>IFERROR(__xludf.DUMMYFUNCTION("if(isblank(A168),,REGEXMATCH(B168,""^((D ?I|I ?D) ?vs\. ?(D ?I|I ?D)) *$""))"),FALSE)</f>
        <v>0</v>
      </c>
      <c r="AT168" s="37" t="b">
        <f>IFERROR(__xludf.DUMMYFUNCTION("if(isblank(A168),,REGEXMATCH(B168,""^((D ?I|I ?D) ?vs\. ?(U ?I|I ?U))|((U ?I|I ?U) ?vs\. ?(D ?I|I ?D)) *$""))"),FALSE)</f>
        <v>0</v>
      </c>
      <c r="AU168" s="37" t="b">
        <f>IFERROR(__xludf.DUMMYFUNCTION("if(isblank(A168),,REGEXMATCH(B168,""^((D ?I|I ?D) ?vs\. ?(U ?D|D ?U))|((U ?D|D ?U) ?vs\. ?(D ?I|I ?D)) *$""))"),FALSE)</f>
        <v>0</v>
      </c>
      <c r="AV168" s="37" t="b">
        <f>IFERROR(__xludf.DUMMYFUNCTION("if(isblank(A168),,REGEXMATCH(B168,""^((U ?I|I ?U) ?vs\. ?(U ?I|I ?U)) *$""))"),FALSE)</f>
        <v>0</v>
      </c>
    </row>
    <row r="169" ht="26.25" customHeight="1">
      <c r="A169" s="79" t="str">
        <f>Paper_Textual_Conflict!M169</f>
        <v>I vs. I (Java code)</v>
      </c>
      <c r="B169" s="37" t="str">
        <f>IFERROR(__xludf.DUMMYFUNCTION("if(isblank(A169),,regexextract(REGEXEXTRACT(A169,""^.*""),""^[^(]*""))"),"I vs. I ")</f>
        <v>I vs. I </v>
      </c>
      <c r="C169" s="37" t="b">
        <f>IFERROR(__xludf.DUMMYFUNCTION("if(isblank(A169),,REGEXMATCH(B169,"".*\+.*"") )"),FALSE)</f>
        <v>0</v>
      </c>
      <c r="D169" s="37" t="b">
        <f>IFERROR(__xludf.DUMMYFUNCTION("if(isblank(A169),,REGEXMATCH(B169,"".*vs.*"") )"),TRUE)</f>
        <v>1</v>
      </c>
      <c r="E169" s="37" t="b">
        <f>Paper_Textual_Conflict!H169</f>
        <v>1</v>
      </c>
      <c r="F169" s="37" t="str">
        <f>Paper_Textual_Conflict!Q169</f>
        <v>Java</v>
      </c>
      <c r="G169" s="33">
        <v>169.0</v>
      </c>
      <c r="H169" s="37" t="b">
        <f>IFERROR(__xludf.DUMMYFUNCTION("if(isblank(A169),,REGEXMATCH(B169,""^I *\+ I *$""))"),FALSE)</f>
        <v>0</v>
      </c>
      <c r="I169" s="37" t="b">
        <f>IFERROR(__xludf.DUMMYFUNCTION("if(isblank(A169),,REGEXMATCH(B169,""(^I *\+ D *$)|(^D *\+ I *$)""))"),FALSE)</f>
        <v>0</v>
      </c>
      <c r="J169" s="37" t="b">
        <f>IFERROR(__xludf.DUMMYFUNCTION("if(isblank(A169),,REGEXMATCH(B169,""(^I *\+ U *$)|(^U *\+ I *$)""))"),FALSE)</f>
        <v>0</v>
      </c>
      <c r="K169" s="37" t="b">
        <f>IFERROR(__xludf.DUMMYFUNCTION("if(isblank(A169),,REGEXMATCH(B169,""(^I *\+ N *$)|(^N *\+ I *$)"") )"),FALSE)</f>
        <v>0</v>
      </c>
      <c r="L169" s="37" t="b">
        <f>IFERROR(__xludf.DUMMYFUNCTION("if(isblank(A169),,REGEXMATCH(B169,""^D *\+ D *$""))"),FALSE)</f>
        <v>0</v>
      </c>
      <c r="M169" s="37" t="b">
        <f>IFERROR(__xludf.DUMMYFUNCTION("if(isblank(A169),,REGEXMATCH(B169,""(^U *\+ D *$)|(^D *\+ U *$)""))"),FALSE)</f>
        <v>0</v>
      </c>
      <c r="N169" s="37" t="b">
        <f>IFERROR(__xludf.DUMMYFUNCTION("if(isblank(A169),,REGEXMATCH(B169,""(^N *\+ D *$)|(^D *\+ N *$)""))"),FALSE)</f>
        <v>0</v>
      </c>
      <c r="O169" s="37" t="b">
        <f>IFERROR(__xludf.DUMMYFUNCTION("if(isblank(A169),,REGEXMATCH(B169,""^U *\+ U *$""))"),FALSE)</f>
        <v>0</v>
      </c>
      <c r="P169" s="37" t="b">
        <f>IFERROR(__xludf.DUMMYFUNCTION("if(isblank(A169),,REGEXMATCH(B169,""(^U *\+ N *$)|(^N *\+ U *$)""))"),FALSE)</f>
        <v>0</v>
      </c>
      <c r="Q169" s="37" t="b">
        <f>IFERROR(__xludf.DUMMYFUNCTION("if(isblank(A169),,REGEXMATCH(B169,""^((I ?\+ ?(D ?I|I ?D))|((D ?I|I ?D) ?\+ ?I)) *$""))"),FALSE)</f>
        <v>0</v>
      </c>
      <c r="R169" s="37" t="b">
        <f>IFERROR(__xludf.DUMMYFUNCTION("if(isblank(A169),,REGEXMATCH(B169,""^((D ?\+ ?(D ?I|I ?D))|((D ?I|I ?D) ?\+ ?D)) *$""))"),FALSE)</f>
        <v>0</v>
      </c>
      <c r="S169" s="37" t="b">
        <f>IFERROR(__xludf.DUMMYFUNCTION("if(isblank(A169),,REGEXMATCH(B169,""^((U ?\+ ?(D ?I|I ?D))|((D ?I|I ?D) ?\+ ?U)) *$""))"),FALSE)</f>
        <v>0</v>
      </c>
      <c r="T169" s="37" t="b">
        <f>IFERROR(__xludf.DUMMYFUNCTION("if(isblank(A169),,REGEXMATCH(B169,""^((N ?\+ ?(D ?I|I ?D))|((D ?I|I ?D) ?\+ ?N)) *$""))"),FALSE)</f>
        <v>0</v>
      </c>
      <c r="U169" s="37" t="b">
        <f>IFERROR(__xludf.DUMMYFUNCTION("if(isblank(A169),,REGEXMATCH(B169,""^((I ?\+ ?(U ?I|I ?U))|((I ?U|U ?I) ?\+ ?I)) *$""))"),FALSE)</f>
        <v>0</v>
      </c>
      <c r="V169" s="37" t="b">
        <f>IFERROR(__xludf.DUMMYFUNCTION("if(isblank(A169),,REGEXMATCH(B169,""^((D ?\+ ?(U ?I|I ?U))|((I ?U|U ?I) ?\+ ?D)) *$""))"),FALSE)</f>
        <v>0</v>
      </c>
      <c r="W169" s="37" t="b">
        <f>IFERROR(__xludf.DUMMYFUNCTION("if(isblank(A169),,REGEXMATCH(B169,""^((U ?\+ ?(U ?I|I ?U))|((I ?U|U ?I) ?\+ ?U)) *$""))"),FALSE)</f>
        <v>0</v>
      </c>
      <c r="X169" s="37" t="b">
        <f>IFERROR(__xludf.DUMMYFUNCTION("if(isblank(A169),,REGEXMATCH(B169,""^((N ?\+ ?(U ?I|I ?U))|((I ?U|U ?I) ?\+ ?N)) *$""))"),FALSE)</f>
        <v>0</v>
      </c>
      <c r="Y169" s="37" t="b">
        <f>IFERROR(__xludf.DUMMYFUNCTION("if(isblank(A169),,REGEXMATCH(B169,""^((I ?\+ ?(U ?D|D ?U))|((D ?U|U ?D) ?\+ ?I)) *$""))"),FALSE)</f>
        <v>0</v>
      </c>
      <c r="Z169" s="37" t="b">
        <f>IFERROR(__xludf.DUMMYFUNCTION("if(isblank(A169),,REGEXMATCH(B169,""^((D ?\+ ?(U ?D|D ?U))|((D ?U|U ?D) ?\+ ?D)) *$""))"),FALSE)</f>
        <v>0</v>
      </c>
      <c r="AA169" s="37" t="b">
        <f>IFERROR(__xludf.DUMMYFUNCTION("if(isblank(A169),,REGEXMATCH(B169,""^((U ?\+ ?(U ?D|D ?U))|((D ?U|U ?D) ?\+ ?U)) *$""))"),FALSE)</f>
        <v>0</v>
      </c>
      <c r="AB169" s="37" t="b">
        <f>IFERROR(__xludf.DUMMYFUNCTION("if(isblank(A169),,REGEXMATCH(B169,""^((D ?I|I ?D) ?\+ ?(D ?I|I ?D)) *$""))"),FALSE)</f>
        <v>0</v>
      </c>
      <c r="AC169" s="37" t="b">
        <f>IFERROR(__xludf.DUMMYFUNCTION("if(isblank(A169),,REGEXMATCH(B169,""^((D ?I|I ?D) ?\+ ?(U ?I|I ?U))|((U ?I|I ?U) ?\+ ?(D ?I|I ?D)) *$""))"),FALSE)</f>
        <v>0</v>
      </c>
      <c r="AD169" s="37" t="b">
        <f>IFERROR(__xludf.DUMMYFUNCTION("if(isblank(A169),,REGEXMATCH(B169,""^I *vs\. I *$""))"),TRUE)</f>
        <v>1</v>
      </c>
      <c r="AE169" s="37" t="b">
        <f>IFERROR(__xludf.DUMMYFUNCTION("if(isblank(A169),,REGEXMATCH(B169,""(^I *vs\. D *$)|(^D *vs\. I *$)""))"),FALSE)</f>
        <v>0</v>
      </c>
      <c r="AF169" s="37" t="b">
        <f>IFERROR(__xludf.DUMMYFUNCTION("if(isblank(A169),,REGEXMATCH(B169,""(^I *vs\. U *$)|(^U *vs\. I *$)""))"),FALSE)</f>
        <v>0</v>
      </c>
      <c r="AG169" s="37" t="b">
        <f>IFERROR(__xludf.DUMMYFUNCTION("if(isblank(A169),,REGEXMATCH(B169,""^D *vs\. D *$""))"),FALSE)</f>
        <v>0</v>
      </c>
      <c r="AH169" s="37" t="b">
        <f>IFERROR(__xludf.DUMMYFUNCTION("if(isblank(A169),,REGEXMATCH(B169,""(^U *vs\. D *$)|(^D *vs\. U *$)""))"),FALSE)</f>
        <v>0</v>
      </c>
      <c r="AI169" s="37" t="b">
        <f>IFERROR(__xludf.DUMMYFUNCTION("if(isblank(A169),,REGEXMATCH(B169,""^U *vs\. U *$""))"),FALSE)</f>
        <v>0</v>
      </c>
      <c r="AJ169" s="37" t="b">
        <f>IFERROR(__xludf.DUMMYFUNCTION("if(isblank(A169),,REGEXMATCH(B169,""^((I ?vs\. ?(D ?I|I ?D))|((D ?I|I ?D) ?vs\. ?I)) *$""))"),FALSE)</f>
        <v>0</v>
      </c>
      <c r="AK169" s="37" t="b">
        <f>IFERROR(__xludf.DUMMYFUNCTION("if(isblank(A169),,REGEXMATCH(B169,""^((D ?vs\. ?(D ?I|I ?D))|((D ?I|I ?D) ?vs\. ?D)) *$""))"),FALSE)</f>
        <v>0</v>
      </c>
      <c r="AL169" s="37" t="b">
        <f>IFERROR(__xludf.DUMMYFUNCTION("if(isblank(A169),,REGEXMATCH(B169,""^((U ?vs\. ?(D ?I|I ?D))|((D ?I|I ?D) ?vs\. ?U)) *$""))"),FALSE)</f>
        <v>0</v>
      </c>
      <c r="AM169" s="37" t="b">
        <f>IFERROR(__xludf.DUMMYFUNCTION("if(isblank(A169),,REGEXMATCH(B169,""^((I ?vs\. ?(U ?I|I ?U))|((U ?I|I ?U) ?vs\. ?I)) *$""))"),FALSE)</f>
        <v>0</v>
      </c>
      <c r="AN169" s="37" t="b">
        <f>IFERROR(__xludf.DUMMYFUNCTION("if(isblank(A169),,REGEXMATCH(B169,""^((D ?vs\. ?(U ?I|I ?U))|((U ?I|I ?U) ?vs\. ?D)) *$""))"),FALSE)</f>
        <v>0</v>
      </c>
      <c r="AO169" s="37" t="b">
        <f>IFERROR(__xludf.DUMMYFUNCTION("if(isblank(A169),,REGEXMATCH(B169,""^((U ?vs\. ?(U ?I|I ?U))|((U ?I|I ?U) ?vs\. ?U)) *$""))"),FALSE)</f>
        <v>0</v>
      </c>
      <c r="AP169" s="37" t="b">
        <f>IFERROR(__xludf.DUMMYFUNCTION("if(isblank(A169),,REGEXMATCH(B169,""^((I ?vs\. ?(U ?D|D ?U))|((D ?U|U ?D) ?vs\. ?I)) *$""))"),FALSE)</f>
        <v>0</v>
      </c>
      <c r="AQ169" s="37" t="b">
        <f>IFERROR(__xludf.DUMMYFUNCTION("if(isblank(A169),,REGEXMATCH(B169,""^((D ?vs\. ?(U ?D|D ?U))|((D ?U|U ?D) ?vs\. ?D)) *$""))"),FALSE)</f>
        <v>0</v>
      </c>
      <c r="AR169" s="37" t="b">
        <f>IFERROR(__xludf.DUMMYFUNCTION("if(isblank(A169),,REGEXMATCH(B169,""^((U ?vs\. ?(U ?D|D ?U))|((D ?U|U ?D) ?vs\. ?U)) *$""))"),FALSE)</f>
        <v>0</v>
      </c>
      <c r="AS169" s="37" t="b">
        <f>IFERROR(__xludf.DUMMYFUNCTION("if(isblank(A169),,REGEXMATCH(B169,""^((D ?I|I ?D) ?vs\. ?(D ?I|I ?D)) *$""))"),FALSE)</f>
        <v>0</v>
      </c>
      <c r="AT169" s="37" t="b">
        <f>IFERROR(__xludf.DUMMYFUNCTION("if(isblank(A169),,REGEXMATCH(B169,""^((D ?I|I ?D) ?vs\. ?(U ?I|I ?U))|((U ?I|I ?U) ?vs\. ?(D ?I|I ?D)) *$""))"),FALSE)</f>
        <v>0</v>
      </c>
      <c r="AU169" s="37" t="b">
        <f>IFERROR(__xludf.DUMMYFUNCTION("if(isblank(A169),,REGEXMATCH(B169,""^((D ?I|I ?D) ?vs\. ?(U ?D|D ?U))|((U ?D|D ?U) ?vs\. ?(D ?I|I ?D)) *$""))"),FALSE)</f>
        <v>0</v>
      </c>
      <c r="AV169" s="37" t="b">
        <f>IFERROR(__xludf.DUMMYFUNCTION("if(isblank(A169),,REGEXMATCH(B169,""^((U ?I|I ?U) ?vs\. ?(U ?I|I ?U)) *$""))"),FALSE)</f>
        <v>0</v>
      </c>
    </row>
    <row r="170" ht="26.25" customHeight="1">
      <c r="A170" s="79" t="str">
        <f>Paper_Textual_Conflict!M170</f>
        <v>U + I</v>
      </c>
      <c r="B170" s="37" t="str">
        <f>IFERROR(__xludf.DUMMYFUNCTION("if(isblank(A170),,regexextract(REGEXEXTRACT(A170,""^.*""),""^[^(]*""))"),"U + I")</f>
        <v>U + I</v>
      </c>
      <c r="C170" s="37" t="b">
        <f>IFERROR(__xludf.DUMMYFUNCTION("if(isblank(A170),,REGEXMATCH(B170,"".*\+.*"") )"),TRUE)</f>
        <v>1</v>
      </c>
      <c r="D170" s="37" t="b">
        <f>IFERROR(__xludf.DUMMYFUNCTION("if(isblank(A170),,REGEXMATCH(B170,"".*vs.*"") )"),FALSE)</f>
        <v>0</v>
      </c>
      <c r="E170" s="37" t="b">
        <f>Paper_Textual_Conflict!H170</f>
        <v>0</v>
      </c>
      <c r="F170" s="37" t="str">
        <f>Paper_Textual_Conflict!Q170</f>
        <v>Java</v>
      </c>
      <c r="G170" s="33">
        <v>170.0</v>
      </c>
      <c r="H170" s="37" t="b">
        <f>IFERROR(__xludf.DUMMYFUNCTION("if(isblank(A170),,REGEXMATCH(B170,""^I *\+ I *$""))"),FALSE)</f>
        <v>0</v>
      </c>
      <c r="I170" s="37" t="b">
        <f>IFERROR(__xludf.DUMMYFUNCTION("if(isblank(A170),,REGEXMATCH(B170,""(^I *\+ D *$)|(^D *\+ I *$)""))"),FALSE)</f>
        <v>0</v>
      </c>
      <c r="J170" s="37" t="b">
        <f>IFERROR(__xludf.DUMMYFUNCTION("if(isblank(A170),,REGEXMATCH(B170,""(^I *\+ U *$)|(^U *\+ I *$)""))"),TRUE)</f>
        <v>1</v>
      </c>
      <c r="K170" s="37" t="b">
        <f>IFERROR(__xludf.DUMMYFUNCTION("if(isblank(A170),,REGEXMATCH(B170,""(^I *\+ N *$)|(^N *\+ I *$)"") )"),FALSE)</f>
        <v>0</v>
      </c>
      <c r="L170" s="37" t="b">
        <f>IFERROR(__xludf.DUMMYFUNCTION("if(isblank(A170),,REGEXMATCH(B170,""^D *\+ D *$""))"),FALSE)</f>
        <v>0</v>
      </c>
      <c r="M170" s="37" t="b">
        <f>IFERROR(__xludf.DUMMYFUNCTION("if(isblank(A170),,REGEXMATCH(B170,""(^U *\+ D *$)|(^D *\+ U *$)""))"),FALSE)</f>
        <v>0</v>
      </c>
      <c r="N170" s="37" t="b">
        <f>IFERROR(__xludf.DUMMYFUNCTION("if(isblank(A170),,REGEXMATCH(B170,""(^N *\+ D *$)|(^D *\+ N *$)""))"),FALSE)</f>
        <v>0</v>
      </c>
      <c r="O170" s="37" t="b">
        <f>IFERROR(__xludf.DUMMYFUNCTION("if(isblank(A170),,REGEXMATCH(B170,""^U *\+ U *$""))"),FALSE)</f>
        <v>0</v>
      </c>
      <c r="P170" s="37" t="b">
        <f>IFERROR(__xludf.DUMMYFUNCTION("if(isblank(A170),,REGEXMATCH(B170,""(^U *\+ N *$)|(^N *\+ U *$)""))"),FALSE)</f>
        <v>0</v>
      </c>
      <c r="Q170" s="37" t="b">
        <f>IFERROR(__xludf.DUMMYFUNCTION("if(isblank(A170),,REGEXMATCH(B170,""^((I ?\+ ?(D ?I|I ?D))|((D ?I|I ?D) ?\+ ?I)) *$""))"),FALSE)</f>
        <v>0</v>
      </c>
      <c r="R170" s="37" t="b">
        <f>IFERROR(__xludf.DUMMYFUNCTION("if(isblank(A170),,REGEXMATCH(B170,""^((D ?\+ ?(D ?I|I ?D))|((D ?I|I ?D) ?\+ ?D)) *$""))"),FALSE)</f>
        <v>0</v>
      </c>
      <c r="S170" s="37" t="b">
        <f>IFERROR(__xludf.DUMMYFUNCTION("if(isblank(A170),,REGEXMATCH(B170,""^((U ?\+ ?(D ?I|I ?D))|((D ?I|I ?D) ?\+ ?U)) *$""))"),FALSE)</f>
        <v>0</v>
      </c>
      <c r="T170" s="37" t="b">
        <f>IFERROR(__xludf.DUMMYFUNCTION("if(isblank(A170),,REGEXMATCH(B170,""^((N ?\+ ?(D ?I|I ?D))|((D ?I|I ?D) ?\+ ?N)) *$""))"),FALSE)</f>
        <v>0</v>
      </c>
      <c r="U170" s="37" t="b">
        <f>IFERROR(__xludf.DUMMYFUNCTION("if(isblank(A170),,REGEXMATCH(B170,""^((I ?\+ ?(U ?I|I ?U))|((I ?U|U ?I) ?\+ ?I)) *$""))"),FALSE)</f>
        <v>0</v>
      </c>
      <c r="V170" s="37" t="b">
        <f>IFERROR(__xludf.DUMMYFUNCTION("if(isblank(A170),,REGEXMATCH(B170,""^((D ?\+ ?(U ?I|I ?U))|((I ?U|U ?I) ?\+ ?D)) *$""))"),FALSE)</f>
        <v>0</v>
      </c>
      <c r="W170" s="37" t="b">
        <f>IFERROR(__xludf.DUMMYFUNCTION("if(isblank(A170),,REGEXMATCH(B170,""^((U ?\+ ?(U ?I|I ?U))|((I ?U|U ?I) ?\+ ?U)) *$""))"),FALSE)</f>
        <v>0</v>
      </c>
      <c r="X170" s="37" t="b">
        <f>IFERROR(__xludf.DUMMYFUNCTION("if(isblank(A170),,REGEXMATCH(B170,""^((N ?\+ ?(U ?I|I ?U))|((I ?U|U ?I) ?\+ ?N)) *$""))"),FALSE)</f>
        <v>0</v>
      </c>
      <c r="Y170" s="37" t="b">
        <f>IFERROR(__xludf.DUMMYFUNCTION("if(isblank(A170),,REGEXMATCH(B170,""^((I ?\+ ?(U ?D|D ?U))|((D ?U|U ?D) ?\+ ?I)) *$""))"),FALSE)</f>
        <v>0</v>
      </c>
      <c r="Z170" s="37" t="b">
        <f>IFERROR(__xludf.DUMMYFUNCTION("if(isblank(A170),,REGEXMATCH(B170,""^((D ?\+ ?(U ?D|D ?U))|((D ?U|U ?D) ?\+ ?D)) *$""))"),FALSE)</f>
        <v>0</v>
      </c>
      <c r="AA170" s="37" t="b">
        <f>IFERROR(__xludf.DUMMYFUNCTION("if(isblank(A170),,REGEXMATCH(B170,""^((U ?\+ ?(U ?D|D ?U))|((D ?U|U ?D) ?\+ ?U)) *$""))"),FALSE)</f>
        <v>0</v>
      </c>
      <c r="AB170" s="37" t="b">
        <f>IFERROR(__xludf.DUMMYFUNCTION("if(isblank(A170),,REGEXMATCH(B170,""^((D ?I|I ?D) ?\+ ?(D ?I|I ?D)) *$""))"),FALSE)</f>
        <v>0</v>
      </c>
      <c r="AC170" s="37" t="b">
        <f>IFERROR(__xludf.DUMMYFUNCTION("if(isblank(A170),,REGEXMATCH(B170,""^((D ?I|I ?D) ?\+ ?(U ?I|I ?U))|((U ?I|I ?U) ?\+ ?(D ?I|I ?D)) *$""))"),FALSE)</f>
        <v>0</v>
      </c>
      <c r="AD170" s="37" t="b">
        <f>IFERROR(__xludf.DUMMYFUNCTION("if(isblank(A170),,REGEXMATCH(B170,""^I *vs\. I *$""))"),FALSE)</f>
        <v>0</v>
      </c>
      <c r="AE170" s="37" t="b">
        <f>IFERROR(__xludf.DUMMYFUNCTION("if(isblank(A170),,REGEXMATCH(B170,""(^I *vs\. D *$)|(^D *vs\. I *$)""))"),FALSE)</f>
        <v>0</v>
      </c>
      <c r="AF170" s="37" t="b">
        <f>IFERROR(__xludf.DUMMYFUNCTION("if(isblank(A170),,REGEXMATCH(B170,""(^I *vs\. U *$)|(^U *vs\. I *$)""))"),FALSE)</f>
        <v>0</v>
      </c>
      <c r="AG170" s="37" t="b">
        <f>IFERROR(__xludf.DUMMYFUNCTION("if(isblank(A170),,REGEXMATCH(B170,""^D *vs\. D *$""))"),FALSE)</f>
        <v>0</v>
      </c>
      <c r="AH170" s="37" t="b">
        <f>IFERROR(__xludf.DUMMYFUNCTION("if(isblank(A170),,REGEXMATCH(B170,""(^U *vs\. D *$)|(^D *vs\. U *$)""))"),FALSE)</f>
        <v>0</v>
      </c>
      <c r="AI170" s="37" t="b">
        <f>IFERROR(__xludf.DUMMYFUNCTION("if(isblank(A170),,REGEXMATCH(B170,""^U *vs\. U *$""))"),FALSE)</f>
        <v>0</v>
      </c>
      <c r="AJ170" s="37" t="b">
        <f>IFERROR(__xludf.DUMMYFUNCTION("if(isblank(A170),,REGEXMATCH(B170,""^((I ?vs\. ?(D ?I|I ?D))|((D ?I|I ?D) ?vs\. ?I)) *$""))"),FALSE)</f>
        <v>0</v>
      </c>
      <c r="AK170" s="37" t="b">
        <f>IFERROR(__xludf.DUMMYFUNCTION("if(isblank(A170),,REGEXMATCH(B170,""^((D ?vs\. ?(D ?I|I ?D))|((D ?I|I ?D) ?vs\. ?D)) *$""))"),FALSE)</f>
        <v>0</v>
      </c>
      <c r="AL170" s="37" t="b">
        <f>IFERROR(__xludf.DUMMYFUNCTION("if(isblank(A170),,REGEXMATCH(B170,""^((U ?vs\. ?(D ?I|I ?D))|((D ?I|I ?D) ?vs\. ?U)) *$""))"),FALSE)</f>
        <v>0</v>
      </c>
      <c r="AM170" s="37" t="b">
        <f>IFERROR(__xludf.DUMMYFUNCTION("if(isblank(A170),,REGEXMATCH(B170,""^((I ?vs\. ?(U ?I|I ?U))|((U ?I|I ?U) ?vs\. ?I)) *$""))"),FALSE)</f>
        <v>0</v>
      </c>
      <c r="AN170" s="37" t="b">
        <f>IFERROR(__xludf.DUMMYFUNCTION("if(isblank(A170),,REGEXMATCH(B170,""^((D ?vs\. ?(U ?I|I ?U))|((U ?I|I ?U) ?vs\. ?D)) *$""))"),FALSE)</f>
        <v>0</v>
      </c>
      <c r="AO170" s="37" t="b">
        <f>IFERROR(__xludf.DUMMYFUNCTION("if(isblank(A170),,REGEXMATCH(B170,""^((U ?vs\. ?(U ?I|I ?U))|((U ?I|I ?U) ?vs\. ?U)) *$""))"),FALSE)</f>
        <v>0</v>
      </c>
      <c r="AP170" s="37" t="b">
        <f>IFERROR(__xludf.DUMMYFUNCTION("if(isblank(A170),,REGEXMATCH(B170,""^((I ?vs\. ?(U ?D|D ?U))|((D ?U|U ?D) ?vs\. ?I)) *$""))"),FALSE)</f>
        <v>0</v>
      </c>
      <c r="AQ170" s="37" t="b">
        <f>IFERROR(__xludf.DUMMYFUNCTION("if(isblank(A170),,REGEXMATCH(B170,""^((D ?vs\. ?(U ?D|D ?U))|((D ?U|U ?D) ?vs\. ?D)) *$""))"),FALSE)</f>
        <v>0</v>
      </c>
      <c r="AR170" s="37" t="b">
        <f>IFERROR(__xludf.DUMMYFUNCTION("if(isblank(A170),,REGEXMATCH(B170,""^((U ?vs\. ?(U ?D|D ?U))|((D ?U|U ?D) ?vs\. ?U)) *$""))"),FALSE)</f>
        <v>0</v>
      </c>
      <c r="AS170" s="37" t="b">
        <f>IFERROR(__xludf.DUMMYFUNCTION("if(isblank(A170),,REGEXMATCH(B170,""^((D ?I|I ?D) ?vs\. ?(D ?I|I ?D)) *$""))"),FALSE)</f>
        <v>0</v>
      </c>
      <c r="AT170" s="37" t="b">
        <f>IFERROR(__xludf.DUMMYFUNCTION("if(isblank(A170),,REGEXMATCH(B170,""^((D ?I|I ?D) ?vs\. ?(U ?I|I ?U))|((U ?I|I ?U) ?vs\. ?(D ?I|I ?D)) *$""))"),FALSE)</f>
        <v>0</v>
      </c>
      <c r="AU170" s="37" t="b">
        <f>IFERROR(__xludf.DUMMYFUNCTION("if(isblank(A170),,REGEXMATCH(B170,""^((D ?I|I ?D) ?vs\. ?(U ?D|D ?U))|((U ?D|D ?U) ?vs\. ?(D ?I|I ?D)) *$""))"),FALSE)</f>
        <v>0</v>
      </c>
      <c r="AV170" s="37" t="b">
        <f>IFERROR(__xludf.DUMMYFUNCTION("if(isblank(A170),,REGEXMATCH(B170,""^((U ?I|I ?U) ?vs\. ?(U ?I|I ?U)) *$""))"),FALSE)</f>
        <v>0</v>
      </c>
    </row>
    <row r="171" ht="26.25" customHeight="1">
      <c r="A171" s="79" t="str">
        <f>Paper_Textual_Conflict!M171</f>
        <v>D I + I</v>
      </c>
      <c r="B171" s="37" t="str">
        <f>IFERROR(__xludf.DUMMYFUNCTION("if(isblank(A171),,regexextract(REGEXEXTRACT(A171,""^.*""),""^[^(]*""))"),"D I + I")</f>
        <v>D I + I</v>
      </c>
      <c r="C171" s="37" t="b">
        <f>IFERROR(__xludf.DUMMYFUNCTION("if(isblank(A171),,REGEXMATCH(B171,"".*\+.*"") )"),TRUE)</f>
        <v>1</v>
      </c>
      <c r="D171" s="37" t="b">
        <f>IFERROR(__xludf.DUMMYFUNCTION("if(isblank(A171),,REGEXMATCH(B171,"".*vs.*"") )"),FALSE)</f>
        <v>0</v>
      </c>
      <c r="E171" s="37" t="b">
        <f>Paper_Textual_Conflict!H171</f>
        <v>0</v>
      </c>
      <c r="F171" s="37" t="str">
        <f>Paper_Textual_Conflict!Q171</f>
        <v>Non-Java</v>
      </c>
      <c r="G171" s="33">
        <v>171.0</v>
      </c>
      <c r="H171" s="37" t="b">
        <f>IFERROR(__xludf.DUMMYFUNCTION("if(isblank(A171),,REGEXMATCH(B171,""^I *\+ I *$""))"),FALSE)</f>
        <v>0</v>
      </c>
      <c r="I171" s="37" t="b">
        <f>IFERROR(__xludf.DUMMYFUNCTION("if(isblank(A171),,REGEXMATCH(B171,""(^I *\+ D *$)|(^D *\+ I *$)""))"),FALSE)</f>
        <v>0</v>
      </c>
      <c r="J171" s="37" t="b">
        <f>IFERROR(__xludf.DUMMYFUNCTION("if(isblank(A171),,REGEXMATCH(B171,""(^I *\+ U *$)|(^U *\+ I *$)""))"),FALSE)</f>
        <v>0</v>
      </c>
      <c r="K171" s="37" t="b">
        <f>IFERROR(__xludf.DUMMYFUNCTION("if(isblank(A171),,REGEXMATCH(B171,""(^I *\+ N *$)|(^N *\+ I *$)"") )"),FALSE)</f>
        <v>0</v>
      </c>
      <c r="L171" s="37" t="b">
        <f>IFERROR(__xludf.DUMMYFUNCTION("if(isblank(A171),,REGEXMATCH(B171,""^D *\+ D *$""))"),FALSE)</f>
        <v>0</v>
      </c>
      <c r="M171" s="37" t="b">
        <f>IFERROR(__xludf.DUMMYFUNCTION("if(isblank(A171),,REGEXMATCH(B171,""(^U *\+ D *$)|(^D *\+ U *$)""))"),FALSE)</f>
        <v>0</v>
      </c>
      <c r="N171" s="37" t="b">
        <f>IFERROR(__xludf.DUMMYFUNCTION("if(isblank(A171),,REGEXMATCH(B171,""(^N *\+ D *$)|(^D *\+ N *$)""))"),FALSE)</f>
        <v>0</v>
      </c>
      <c r="O171" s="37" t="b">
        <f>IFERROR(__xludf.DUMMYFUNCTION("if(isblank(A171),,REGEXMATCH(B171,""^U *\+ U *$""))"),FALSE)</f>
        <v>0</v>
      </c>
      <c r="P171" s="37" t="b">
        <f>IFERROR(__xludf.DUMMYFUNCTION("if(isblank(A171),,REGEXMATCH(B171,""(^U *\+ N *$)|(^N *\+ U *$)""))"),FALSE)</f>
        <v>0</v>
      </c>
      <c r="Q171" s="37" t="b">
        <f>IFERROR(__xludf.DUMMYFUNCTION("if(isblank(A171),,REGEXMATCH(B171,""^((I ?\+ ?(D ?I|I ?D))|((D ?I|I ?D) ?\+ ?I)) *$""))"),TRUE)</f>
        <v>1</v>
      </c>
      <c r="R171" s="37" t="b">
        <f>IFERROR(__xludf.DUMMYFUNCTION("if(isblank(A171),,REGEXMATCH(B171,""^((D ?\+ ?(D ?I|I ?D))|((D ?I|I ?D) ?\+ ?D)) *$""))"),FALSE)</f>
        <v>0</v>
      </c>
      <c r="S171" s="37" t="b">
        <f>IFERROR(__xludf.DUMMYFUNCTION("if(isblank(A171),,REGEXMATCH(B171,""^((U ?\+ ?(D ?I|I ?D))|((D ?I|I ?D) ?\+ ?U)) *$""))"),FALSE)</f>
        <v>0</v>
      </c>
      <c r="T171" s="37" t="b">
        <f>IFERROR(__xludf.DUMMYFUNCTION("if(isblank(A171),,REGEXMATCH(B171,""^((N ?\+ ?(D ?I|I ?D))|((D ?I|I ?D) ?\+ ?N)) *$""))"),FALSE)</f>
        <v>0</v>
      </c>
      <c r="U171" s="37" t="b">
        <f>IFERROR(__xludf.DUMMYFUNCTION("if(isblank(A171),,REGEXMATCH(B171,""^((I ?\+ ?(U ?I|I ?U))|((I ?U|U ?I) ?\+ ?I)) *$""))"),FALSE)</f>
        <v>0</v>
      </c>
      <c r="V171" s="37" t="b">
        <f>IFERROR(__xludf.DUMMYFUNCTION("if(isblank(A171),,REGEXMATCH(B171,""^((D ?\+ ?(U ?I|I ?U))|((I ?U|U ?I) ?\+ ?D)) *$""))"),FALSE)</f>
        <v>0</v>
      </c>
      <c r="W171" s="37" t="b">
        <f>IFERROR(__xludf.DUMMYFUNCTION("if(isblank(A171),,REGEXMATCH(B171,""^((U ?\+ ?(U ?I|I ?U))|((I ?U|U ?I) ?\+ ?U)) *$""))"),FALSE)</f>
        <v>0</v>
      </c>
      <c r="X171" s="37" t="b">
        <f>IFERROR(__xludf.DUMMYFUNCTION("if(isblank(A171),,REGEXMATCH(B171,""^((N ?\+ ?(U ?I|I ?U))|((I ?U|U ?I) ?\+ ?N)) *$""))"),FALSE)</f>
        <v>0</v>
      </c>
      <c r="Y171" s="37" t="b">
        <f>IFERROR(__xludf.DUMMYFUNCTION("if(isblank(A171),,REGEXMATCH(B171,""^((I ?\+ ?(U ?D|D ?U))|((D ?U|U ?D) ?\+ ?I)) *$""))"),FALSE)</f>
        <v>0</v>
      </c>
      <c r="Z171" s="37" t="b">
        <f>IFERROR(__xludf.DUMMYFUNCTION("if(isblank(A171),,REGEXMATCH(B171,""^((D ?\+ ?(U ?D|D ?U))|((D ?U|U ?D) ?\+ ?D)) *$""))"),FALSE)</f>
        <v>0</v>
      </c>
      <c r="AA171" s="37" t="b">
        <f>IFERROR(__xludf.DUMMYFUNCTION("if(isblank(A171),,REGEXMATCH(B171,""^((U ?\+ ?(U ?D|D ?U))|((D ?U|U ?D) ?\+ ?U)) *$""))"),FALSE)</f>
        <v>0</v>
      </c>
      <c r="AB171" s="37" t="b">
        <f>IFERROR(__xludf.DUMMYFUNCTION("if(isblank(A171),,REGEXMATCH(B171,""^((D ?I|I ?D) ?\+ ?(D ?I|I ?D)) *$""))"),FALSE)</f>
        <v>0</v>
      </c>
      <c r="AC171" s="37" t="b">
        <f>IFERROR(__xludf.DUMMYFUNCTION("if(isblank(A171),,REGEXMATCH(B171,""^((D ?I|I ?D) ?\+ ?(U ?I|I ?U))|((U ?I|I ?U) ?\+ ?(D ?I|I ?D)) *$""))"),FALSE)</f>
        <v>0</v>
      </c>
      <c r="AD171" s="37" t="b">
        <f>IFERROR(__xludf.DUMMYFUNCTION("if(isblank(A171),,REGEXMATCH(B171,""^I *vs\. I *$""))"),FALSE)</f>
        <v>0</v>
      </c>
      <c r="AE171" s="37" t="b">
        <f>IFERROR(__xludf.DUMMYFUNCTION("if(isblank(A171),,REGEXMATCH(B171,""(^I *vs\. D *$)|(^D *vs\. I *$)""))"),FALSE)</f>
        <v>0</v>
      </c>
      <c r="AF171" s="37" t="b">
        <f>IFERROR(__xludf.DUMMYFUNCTION("if(isblank(A171),,REGEXMATCH(B171,""(^I *vs\. U *$)|(^U *vs\. I *$)""))"),FALSE)</f>
        <v>0</v>
      </c>
      <c r="AG171" s="37" t="b">
        <f>IFERROR(__xludf.DUMMYFUNCTION("if(isblank(A171),,REGEXMATCH(B171,""^D *vs\. D *$""))"),FALSE)</f>
        <v>0</v>
      </c>
      <c r="AH171" s="37" t="b">
        <f>IFERROR(__xludf.DUMMYFUNCTION("if(isblank(A171),,REGEXMATCH(B171,""(^U *vs\. D *$)|(^D *vs\. U *$)""))"),FALSE)</f>
        <v>0</v>
      </c>
      <c r="AI171" s="37" t="b">
        <f>IFERROR(__xludf.DUMMYFUNCTION("if(isblank(A171),,REGEXMATCH(B171,""^U *vs\. U *$""))"),FALSE)</f>
        <v>0</v>
      </c>
      <c r="AJ171" s="37" t="b">
        <f>IFERROR(__xludf.DUMMYFUNCTION("if(isblank(A171),,REGEXMATCH(B171,""^((I ?vs\. ?(D ?I|I ?D))|((D ?I|I ?D) ?vs\. ?I)) *$""))"),FALSE)</f>
        <v>0</v>
      </c>
      <c r="AK171" s="37" t="b">
        <f>IFERROR(__xludf.DUMMYFUNCTION("if(isblank(A171),,REGEXMATCH(B171,""^((D ?vs\. ?(D ?I|I ?D))|((D ?I|I ?D) ?vs\. ?D)) *$""))"),FALSE)</f>
        <v>0</v>
      </c>
      <c r="AL171" s="37" t="b">
        <f>IFERROR(__xludf.DUMMYFUNCTION("if(isblank(A171),,REGEXMATCH(B171,""^((U ?vs\. ?(D ?I|I ?D))|((D ?I|I ?D) ?vs\. ?U)) *$""))"),FALSE)</f>
        <v>0</v>
      </c>
      <c r="AM171" s="37" t="b">
        <f>IFERROR(__xludf.DUMMYFUNCTION("if(isblank(A171),,REGEXMATCH(B171,""^((I ?vs\. ?(U ?I|I ?U))|((U ?I|I ?U) ?vs\. ?I)) *$""))"),FALSE)</f>
        <v>0</v>
      </c>
      <c r="AN171" s="37" t="b">
        <f>IFERROR(__xludf.DUMMYFUNCTION("if(isblank(A171),,REGEXMATCH(B171,""^((D ?vs\. ?(U ?I|I ?U))|((U ?I|I ?U) ?vs\. ?D)) *$""))"),FALSE)</f>
        <v>0</v>
      </c>
      <c r="AO171" s="37" t="b">
        <f>IFERROR(__xludf.DUMMYFUNCTION("if(isblank(A171),,REGEXMATCH(B171,""^((U ?vs\. ?(U ?I|I ?U))|((U ?I|I ?U) ?vs\. ?U)) *$""))"),FALSE)</f>
        <v>0</v>
      </c>
      <c r="AP171" s="37" t="b">
        <f>IFERROR(__xludf.DUMMYFUNCTION("if(isblank(A171),,REGEXMATCH(B171,""^((I ?vs\. ?(U ?D|D ?U))|((D ?U|U ?D) ?vs\. ?I)) *$""))"),FALSE)</f>
        <v>0</v>
      </c>
      <c r="AQ171" s="37" t="b">
        <f>IFERROR(__xludf.DUMMYFUNCTION("if(isblank(A171),,REGEXMATCH(B171,""^((D ?vs\. ?(U ?D|D ?U))|((D ?U|U ?D) ?vs\. ?D)) *$""))"),FALSE)</f>
        <v>0</v>
      </c>
      <c r="AR171" s="37" t="b">
        <f>IFERROR(__xludf.DUMMYFUNCTION("if(isblank(A171),,REGEXMATCH(B171,""^((U ?vs\. ?(U ?D|D ?U))|((D ?U|U ?D) ?vs\. ?U)) *$""))"),FALSE)</f>
        <v>0</v>
      </c>
      <c r="AS171" s="37" t="b">
        <f>IFERROR(__xludf.DUMMYFUNCTION("if(isblank(A171),,REGEXMATCH(B171,""^((D ?I|I ?D) ?vs\. ?(D ?I|I ?D)) *$""))"),FALSE)</f>
        <v>0</v>
      </c>
      <c r="AT171" s="37" t="b">
        <f>IFERROR(__xludf.DUMMYFUNCTION("if(isblank(A171),,REGEXMATCH(B171,""^((D ?I|I ?D) ?vs\. ?(U ?I|I ?U))|((U ?I|I ?U) ?vs\. ?(D ?I|I ?D)) *$""))"),FALSE)</f>
        <v>0</v>
      </c>
      <c r="AU171" s="37" t="b">
        <f>IFERROR(__xludf.DUMMYFUNCTION("if(isblank(A171),,REGEXMATCH(B171,""^((D ?I|I ?D) ?vs\. ?(U ?D|D ?U))|((U ?D|D ?U) ?vs\. ?(D ?I|I ?D)) *$""))"),FALSE)</f>
        <v>0</v>
      </c>
      <c r="AV171" s="37" t="b">
        <f>IFERROR(__xludf.DUMMYFUNCTION("if(isblank(A171),,REGEXMATCH(B171,""^((U ?I|I ?U) ?vs\. ?(U ?I|I ?U)) *$""))"),FALSE)</f>
        <v>0</v>
      </c>
    </row>
    <row r="172" ht="26.25" customHeight="1">
      <c r="A172" s="79" t="str">
        <f>Paper_Textual_Conflict!M172</f>
        <v>I vs. I (import)</v>
      </c>
      <c r="B172" s="37" t="str">
        <f>IFERROR(__xludf.DUMMYFUNCTION("if(isblank(A172),,regexextract(REGEXEXTRACT(A172,""^.*""),""^[^(]*""))"),"I vs. I ")</f>
        <v>I vs. I </v>
      </c>
      <c r="C172" s="37" t="b">
        <f>IFERROR(__xludf.DUMMYFUNCTION("if(isblank(A172),,REGEXMATCH(B172,"".*\+.*"") )"),FALSE)</f>
        <v>0</v>
      </c>
      <c r="D172" s="37" t="b">
        <f>IFERROR(__xludf.DUMMYFUNCTION("if(isblank(A172),,REGEXMATCH(B172,"".*vs.*"") )"),TRUE)</f>
        <v>1</v>
      </c>
      <c r="E172" s="37" t="b">
        <f>Paper_Textual_Conflict!H172</f>
        <v>1</v>
      </c>
      <c r="F172" s="37" t="str">
        <f>Paper_Textual_Conflict!Q172</f>
        <v>Java</v>
      </c>
      <c r="G172" s="33">
        <v>172.0</v>
      </c>
      <c r="H172" s="37" t="b">
        <f>IFERROR(__xludf.DUMMYFUNCTION("if(isblank(A172),,REGEXMATCH(B172,""^I *\+ I *$""))"),FALSE)</f>
        <v>0</v>
      </c>
      <c r="I172" s="37" t="b">
        <f>IFERROR(__xludf.DUMMYFUNCTION("if(isblank(A172),,REGEXMATCH(B172,""(^I *\+ D *$)|(^D *\+ I *$)""))"),FALSE)</f>
        <v>0</v>
      </c>
      <c r="J172" s="37" t="b">
        <f>IFERROR(__xludf.DUMMYFUNCTION("if(isblank(A172),,REGEXMATCH(B172,""(^I *\+ U *$)|(^U *\+ I *$)""))"),FALSE)</f>
        <v>0</v>
      </c>
      <c r="K172" s="37" t="b">
        <f>IFERROR(__xludf.DUMMYFUNCTION("if(isblank(A172),,REGEXMATCH(B172,""(^I *\+ N *$)|(^N *\+ I *$)"") )"),FALSE)</f>
        <v>0</v>
      </c>
      <c r="L172" s="37" t="b">
        <f>IFERROR(__xludf.DUMMYFUNCTION("if(isblank(A172),,REGEXMATCH(B172,""^D *\+ D *$""))"),FALSE)</f>
        <v>0</v>
      </c>
      <c r="M172" s="37" t="b">
        <f>IFERROR(__xludf.DUMMYFUNCTION("if(isblank(A172),,REGEXMATCH(B172,""(^U *\+ D *$)|(^D *\+ U *$)""))"),FALSE)</f>
        <v>0</v>
      </c>
      <c r="N172" s="37" t="b">
        <f>IFERROR(__xludf.DUMMYFUNCTION("if(isblank(A172),,REGEXMATCH(B172,""(^N *\+ D *$)|(^D *\+ N *$)""))"),FALSE)</f>
        <v>0</v>
      </c>
      <c r="O172" s="37" t="b">
        <f>IFERROR(__xludf.DUMMYFUNCTION("if(isblank(A172),,REGEXMATCH(B172,""^U *\+ U *$""))"),FALSE)</f>
        <v>0</v>
      </c>
      <c r="P172" s="37" t="b">
        <f>IFERROR(__xludf.DUMMYFUNCTION("if(isblank(A172),,REGEXMATCH(B172,""(^U *\+ N *$)|(^N *\+ U *$)""))"),FALSE)</f>
        <v>0</v>
      </c>
      <c r="Q172" s="37" t="b">
        <f>IFERROR(__xludf.DUMMYFUNCTION("if(isblank(A172),,REGEXMATCH(B172,""^((I ?\+ ?(D ?I|I ?D))|((D ?I|I ?D) ?\+ ?I)) *$""))"),FALSE)</f>
        <v>0</v>
      </c>
      <c r="R172" s="37" t="b">
        <f>IFERROR(__xludf.DUMMYFUNCTION("if(isblank(A172),,REGEXMATCH(B172,""^((D ?\+ ?(D ?I|I ?D))|((D ?I|I ?D) ?\+ ?D)) *$""))"),FALSE)</f>
        <v>0</v>
      </c>
      <c r="S172" s="37" t="b">
        <f>IFERROR(__xludf.DUMMYFUNCTION("if(isblank(A172),,REGEXMATCH(B172,""^((U ?\+ ?(D ?I|I ?D))|((D ?I|I ?D) ?\+ ?U)) *$""))"),FALSE)</f>
        <v>0</v>
      </c>
      <c r="T172" s="37" t="b">
        <f>IFERROR(__xludf.DUMMYFUNCTION("if(isblank(A172),,REGEXMATCH(B172,""^((N ?\+ ?(D ?I|I ?D))|((D ?I|I ?D) ?\+ ?N)) *$""))"),FALSE)</f>
        <v>0</v>
      </c>
      <c r="U172" s="37" t="b">
        <f>IFERROR(__xludf.DUMMYFUNCTION("if(isblank(A172),,REGEXMATCH(B172,""^((I ?\+ ?(U ?I|I ?U))|((I ?U|U ?I) ?\+ ?I)) *$""))"),FALSE)</f>
        <v>0</v>
      </c>
      <c r="V172" s="37" t="b">
        <f>IFERROR(__xludf.DUMMYFUNCTION("if(isblank(A172),,REGEXMATCH(B172,""^((D ?\+ ?(U ?I|I ?U))|((I ?U|U ?I) ?\+ ?D)) *$""))"),FALSE)</f>
        <v>0</v>
      </c>
      <c r="W172" s="37" t="b">
        <f>IFERROR(__xludf.DUMMYFUNCTION("if(isblank(A172),,REGEXMATCH(B172,""^((U ?\+ ?(U ?I|I ?U))|((I ?U|U ?I) ?\+ ?U)) *$""))"),FALSE)</f>
        <v>0</v>
      </c>
      <c r="X172" s="37" t="b">
        <f>IFERROR(__xludf.DUMMYFUNCTION("if(isblank(A172),,REGEXMATCH(B172,""^((N ?\+ ?(U ?I|I ?U))|((I ?U|U ?I) ?\+ ?N)) *$""))"),FALSE)</f>
        <v>0</v>
      </c>
      <c r="Y172" s="37" t="b">
        <f>IFERROR(__xludf.DUMMYFUNCTION("if(isblank(A172),,REGEXMATCH(B172,""^((I ?\+ ?(U ?D|D ?U))|((D ?U|U ?D) ?\+ ?I)) *$""))"),FALSE)</f>
        <v>0</v>
      </c>
      <c r="Z172" s="37" t="b">
        <f>IFERROR(__xludf.DUMMYFUNCTION("if(isblank(A172),,REGEXMATCH(B172,""^((D ?\+ ?(U ?D|D ?U))|((D ?U|U ?D) ?\+ ?D)) *$""))"),FALSE)</f>
        <v>0</v>
      </c>
      <c r="AA172" s="37" t="b">
        <f>IFERROR(__xludf.DUMMYFUNCTION("if(isblank(A172),,REGEXMATCH(B172,""^((U ?\+ ?(U ?D|D ?U))|((D ?U|U ?D) ?\+ ?U)) *$""))"),FALSE)</f>
        <v>0</v>
      </c>
      <c r="AB172" s="37" t="b">
        <f>IFERROR(__xludf.DUMMYFUNCTION("if(isblank(A172),,REGEXMATCH(B172,""^((D ?I|I ?D) ?\+ ?(D ?I|I ?D)) *$""))"),FALSE)</f>
        <v>0</v>
      </c>
      <c r="AC172" s="37" t="b">
        <f>IFERROR(__xludf.DUMMYFUNCTION("if(isblank(A172),,REGEXMATCH(B172,""^((D ?I|I ?D) ?\+ ?(U ?I|I ?U))|((U ?I|I ?U) ?\+ ?(D ?I|I ?D)) *$""))"),FALSE)</f>
        <v>0</v>
      </c>
      <c r="AD172" s="37" t="b">
        <f>IFERROR(__xludf.DUMMYFUNCTION("if(isblank(A172),,REGEXMATCH(B172,""^I *vs\. I *$""))"),TRUE)</f>
        <v>1</v>
      </c>
      <c r="AE172" s="37" t="b">
        <f>IFERROR(__xludf.DUMMYFUNCTION("if(isblank(A172),,REGEXMATCH(B172,""(^I *vs\. D *$)|(^D *vs\. I *$)""))"),FALSE)</f>
        <v>0</v>
      </c>
      <c r="AF172" s="37" t="b">
        <f>IFERROR(__xludf.DUMMYFUNCTION("if(isblank(A172),,REGEXMATCH(B172,""(^I *vs\. U *$)|(^U *vs\. I *$)""))"),FALSE)</f>
        <v>0</v>
      </c>
      <c r="AG172" s="37" t="b">
        <f>IFERROR(__xludf.DUMMYFUNCTION("if(isblank(A172),,REGEXMATCH(B172,""^D *vs\. D *$""))"),FALSE)</f>
        <v>0</v>
      </c>
      <c r="AH172" s="37" t="b">
        <f>IFERROR(__xludf.DUMMYFUNCTION("if(isblank(A172),,REGEXMATCH(B172,""(^U *vs\. D *$)|(^D *vs\. U *$)""))"),FALSE)</f>
        <v>0</v>
      </c>
      <c r="AI172" s="37" t="b">
        <f>IFERROR(__xludf.DUMMYFUNCTION("if(isblank(A172),,REGEXMATCH(B172,""^U *vs\. U *$""))"),FALSE)</f>
        <v>0</v>
      </c>
      <c r="AJ172" s="37" t="b">
        <f>IFERROR(__xludf.DUMMYFUNCTION("if(isblank(A172),,REGEXMATCH(B172,""^((I ?vs\. ?(D ?I|I ?D))|((D ?I|I ?D) ?vs\. ?I)) *$""))"),FALSE)</f>
        <v>0</v>
      </c>
      <c r="AK172" s="37" t="b">
        <f>IFERROR(__xludf.DUMMYFUNCTION("if(isblank(A172),,REGEXMATCH(B172,""^((D ?vs\. ?(D ?I|I ?D))|((D ?I|I ?D) ?vs\. ?D)) *$""))"),FALSE)</f>
        <v>0</v>
      </c>
      <c r="AL172" s="37" t="b">
        <f>IFERROR(__xludf.DUMMYFUNCTION("if(isblank(A172),,REGEXMATCH(B172,""^((U ?vs\. ?(D ?I|I ?D))|((D ?I|I ?D) ?vs\. ?U)) *$""))"),FALSE)</f>
        <v>0</v>
      </c>
      <c r="AM172" s="37" t="b">
        <f>IFERROR(__xludf.DUMMYFUNCTION("if(isblank(A172),,REGEXMATCH(B172,""^((I ?vs\. ?(U ?I|I ?U))|((U ?I|I ?U) ?vs\. ?I)) *$""))"),FALSE)</f>
        <v>0</v>
      </c>
      <c r="AN172" s="37" t="b">
        <f>IFERROR(__xludf.DUMMYFUNCTION("if(isblank(A172),,REGEXMATCH(B172,""^((D ?vs\. ?(U ?I|I ?U))|((U ?I|I ?U) ?vs\. ?D)) *$""))"),FALSE)</f>
        <v>0</v>
      </c>
      <c r="AO172" s="37" t="b">
        <f>IFERROR(__xludf.DUMMYFUNCTION("if(isblank(A172),,REGEXMATCH(B172,""^((U ?vs\. ?(U ?I|I ?U))|((U ?I|I ?U) ?vs\. ?U)) *$""))"),FALSE)</f>
        <v>0</v>
      </c>
      <c r="AP172" s="37" t="b">
        <f>IFERROR(__xludf.DUMMYFUNCTION("if(isblank(A172),,REGEXMATCH(B172,""^((I ?vs\. ?(U ?D|D ?U))|((D ?U|U ?D) ?vs\. ?I)) *$""))"),FALSE)</f>
        <v>0</v>
      </c>
      <c r="AQ172" s="37" t="b">
        <f>IFERROR(__xludf.DUMMYFUNCTION("if(isblank(A172),,REGEXMATCH(B172,""^((D ?vs\. ?(U ?D|D ?U))|((D ?U|U ?D) ?vs\. ?D)) *$""))"),FALSE)</f>
        <v>0</v>
      </c>
      <c r="AR172" s="37" t="b">
        <f>IFERROR(__xludf.DUMMYFUNCTION("if(isblank(A172),,REGEXMATCH(B172,""^((U ?vs\. ?(U ?D|D ?U))|((D ?U|U ?D) ?vs\. ?U)) *$""))"),FALSE)</f>
        <v>0</v>
      </c>
      <c r="AS172" s="37" t="b">
        <f>IFERROR(__xludf.DUMMYFUNCTION("if(isblank(A172),,REGEXMATCH(B172,""^((D ?I|I ?D) ?vs\. ?(D ?I|I ?D)) *$""))"),FALSE)</f>
        <v>0</v>
      </c>
      <c r="AT172" s="37" t="b">
        <f>IFERROR(__xludf.DUMMYFUNCTION("if(isblank(A172),,REGEXMATCH(B172,""^((D ?I|I ?D) ?vs\. ?(U ?I|I ?U))|((U ?I|I ?U) ?vs\. ?(D ?I|I ?D)) *$""))"),FALSE)</f>
        <v>0</v>
      </c>
      <c r="AU172" s="37" t="b">
        <f>IFERROR(__xludf.DUMMYFUNCTION("if(isblank(A172),,REGEXMATCH(B172,""^((D ?I|I ?D) ?vs\. ?(U ?D|D ?U))|((U ?D|D ?U) ?vs\. ?(D ?I|I ?D)) *$""))"),FALSE)</f>
        <v>0</v>
      </c>
      <c r="AV172" s="37" t="b">
        <f>IFERROR(__xludf.DUMMYFUNCTION("if(isblank(A172),,REGEXMATCH(B172,""^((U ?I|I ?U) ?vs\. ?(U ?I|I ?U)) *$""))"),FALSE)</f>
        <v>0</v>
      </c>
    </row>
    <row r="173" ht="26.25" customHeight="1">
      <c r="A173" s="79" t="str">
        <f>Paper_Textual_Conflict!M173</f>
        <v>U vs. U</v>
      </c>
      <c r="B173" s="37" t="str">
        <f>IFERROR(__xludf.DUMMYFUNCTION("if(isblank(A173),,regexextract(REGEXEXTRACT(A173,""^.*""),""^[^(]*""))"),"U vs. U")</f>
        <v>U vs. U</v>
      </c>
      <c r="C173" s="37" t="b">
        <f>IFERROR(__xludf.DUMMYFUNCTION("if(isblank(A173),,REGEXMATCH(B173,"".*\+.*"") )"),FALSE)</f>
        <v>0</v>
      </c>
      <c r="D173" s="37" t="b">
        <f>IFERROR(__xludf.DUMMYFUNCTION("if(isblank(A173),,REGEXMATCH(B173,"".*vs.*"") )"),TRUE)</f>
        <v>1</v>
      </c>
      <c r="E173" s="37" t="b">
        <f>Paper_Textual_Conflict!H173</f>
        <v>1</v>
      </c>
      <c r="F173" s="37" t="str">
        <f>Paper_Textual_Conflict!Q173</f>
        <v>Java</v>
      </c>
      <c r="G173" s="33">
        <v>173.0</v>
      </c>
      <c r="H173" s="37" t="b">
        <f>IFERROR(__xludf.DUMMYFUNCTION("if(isblank(A173),,REGEXMATCH(B173,""^I *\+ I *$""))"),FALSE)</f>
        <v>0</v>
      </c>
      <c r="I173" s="37" t="b">
        <f>IFERROR(__xludf.DUMMYFUNCTION("if(isblank(A173),,REGEXMATCH(B173,""(^I *\+ D *$)|(^D *\+ I *$)""))"),FALSE)</f>
        <v>0</v>
      </c>
      <c r="J173" s="37" t="b">
        <f>IFERROR(__xludf.DUMMYFUNCTION("if(isblank(A173),,REGEXMATCH(B173,""(^I *\+ U *$)|(^U *\+ I *$)""))"),FALSE)</f>
        <v>0</v>
      </c>
      <c r="K173" s="37" t="b">
        <f>IFERROR(__xludf.DUMMYFUNCTION("if(isblank(A173),,REGEXMATCH(B173,""(^I *\+ N *$)|(^N *\+ I *$)"") )"),FALSE)</f>
        <v>0</v>
      </c>
      <c r="L173" s="37" t="b">
        <f>IFERROR(__xludf.DUMMYFUNCTION("if(isblank(A173),,REGEXMATCH(B173,""^D *\+ D *$""))"),FALSE)</f>
        <v>0</v>
      </c>
      <c r="M173" s="37" t="b">
        <f>IFERROR(__xludf.DUMMYFUNCTION("if(isblank(A173),,REGEXMATCH(B173,""(^U *\+ D *$)|(^D *\+ U *$)""))"),FALSE)</f>
        <v>0</v>
      </c>
      <c r="N173" s="37" t="b">
        <f>IFERROR(__xludf.DUMMYFUNCTION("if(isblank(A173),,REGEXMATCH(B173,""(^N *\+ D *$)|(^D *\+ N *$)""))"),FALSE)</f>
        <v>0</v>
      </c>
      <c r="O173" s="37" t="b">
        <f>IFERROR(__xludf.DUMMYFUNCTION("if(isblank(A173),,REGEXMATCH(B173,""^U *\+ U *$""))"),FALSE)</f>
        <v>0</v>
      </c>
      <c r="P173" s="37" t="b">
        <f>IFERROR(__xludf.DUMMYFUNCTION("if(isblank(A173),,REGEXMATCH(B173,""(^U *\+ N *$)|(^N *\+ U *$)""))"),FALSE)</f>
        <v>0</v>
      </c>
      <c r="Q173" s="37" t="b">
        <f>IFERROR(__xludf.DUMMYFUNCTION("if(isblank(A173),,REGEXMATCH(B173,""^((I ?\+ ?(D ?I|I ?D))|((D ?I|I ?D) ?\+ ?I)) *$""))"),FALSE)</f>
        <v>0</v>
      </c>
      <c r="R173" s="37" t="b">
        <f>IFERROR(__xludf.DUMMYFUNCTION("if(isblank(A173),,REGEXMATCH(B173,""^((D ?\+ ?(D ?I|I ?D))|((D ?I|I ?D) ?\+ ?D)) *$""))"),FALSE)</f>
        <v>0</v>
      </c>
      <c r="S173" s="37" t="b">
        <f>IFERROR(__xludf.DUMMYFUNCTION("if(isblank(A173),,REGEXMATCH(B173,""^((U ?\+ ?(D ?I|I ?D))|((D ?I|I ?D) ?\+ ?U)) *$""))"),FALSE)</f>
        <v>0</v>
      </c>
      <c r="T173" s="37" t="b">
        <f>IFERROR(__xludf.DUMMYFUNCTION("if(isblank(A173),,REGEXMATCH(B173,""^((N ?\+ ?(D ?I|I ?D))|((D ?I|I ?D) ?\+ ?N)) *$""))"),FALSE)</f>
        <v>0</v>
      </c>
      <c r="U173" s="37" t="b">
        <f>IFERROR(__xludf.DUMMYFUNCTION("if(isblank(A173),,REGEXMATCH(B173,""^((I ?\+ ?(U ?I|I ?U))|((I ?U|U ?I) ?\+ ?I)) *$""))"),FALSE)</f>
        <v>0</v>
      </c>
      <c r="V173" s="37" t="b">
        <f>IFERROR(__xludf.DUMMYFUNCTION("if(isblank(A173),,REGEXMATCH(B173,""^((D ?\+ ?(U ?I|I ?U))|((I ?U|U ?I) ?\+ ?D)) *$""))"),FALSE)</f>
        <v>0</v>
      </c>
      <c r="W173" s="37" t="b">
        <f>IFERROR(__xludf.DUMMYFUNCTION("if(isblank(A173),,REGEXMATCH(B173,""^((U ?\+ ?(U ?I|I ?U))|((I ?U|U ?I) ?\+ ?U)) *$""))"),FALSE)</f>
        <v>0</v>
      </c>
      <c r="X173" s="37" t="b">
        <f>IFERROR(__xludf.DUMMYFUNCTION("if(isblank(A173),,REGEXMATCH(B173,""^((N ?\+ ?(U ?I|I ?U))|((I ?U|U ?I) ?\+ ?N)) *$""))"),FALSE)</f>
        <v>0</v>
      </c>
      <c r="Y173" s="37" t="b">
        <f>IFERROR(__xludf.DUMMYFUNCTION("if(isblank(A173),,REGEXMATCH(B173,""^((I ?\+ ?(U ?D|D ?U))|((D ?U|U ?D) ?\+ ?I)) *$""))"),FALSE)</f>
        <v>0</v>
      </c>
      <c r="Z173" s="37" t="b">
        <f>IFERROR(__xludf.DUMMYFUNCTION("if(isblank(A173),,REGEXMATCH(B173,""^((D ?\+ ?(U ?D|D ?U))|((D ?U|U ?D) ?\+ ?D)) *$""))"),FALSE)</f>
        <v>0</v>
      </c>
      <c r="AA173" s="37" t="b">
        <f>IFERROR(__xludf.DUMMYFUNCTION("if(isblank(A173),,REGEXMATCH(B173,""^((U ?\+ ?(U ?D|D ?U))|((D ?U|U ?D) ?\+ ?U)) *$""))"),FALSE)</f>
        <v>0</v>
      </c>
      <c r="AB173" s="37" t="b">
        <f>IFERROR(__xludf.DUMMYFUNCTION("if(isblank(A173),,REGEXMATCH(B173,""^((D ?I|I ?D) ?\+ ?(D ?I|I ?D)) *$""))"),FALSE)</f>
        <v>0</v>
      </c>
      <c r="AC173" s="37" t="b">
        <f>IFERROR(__xludf.DUMMYFUNCTION("if(isblank(A173),,REGEXMATCH(B173,""^((D ?I|I ?D) ?\+ ?(U ?I|I ?U))|((U ?I|I ?U) ?\+ ?(D ?I|I ?D)) *$""))"),FALSE)</f>
        <v>0</v>
      </c>
      <c r="AD173" s="37" t="b">
        <f>IFERROR(__xludf.DUMMYFUNCTION("if(isblank(A173),,REGEXMATCH(B173,""^I *vs\. I *$""))"),FALSE)</f>
        <v>0</v>
      </c>
      <c r="AE173" s="37" t="b">
        <f>IFERROR(__xludf.DUMMYFUNCTION("if(isblank(A173),,REGEXMATCH(B173,""(^I *vs\. D *$)|(^D *vs\. I *$)""))"),FALSE)</f>
        <v>0</v>
      </c>
      <c r="AF173" s="37" t="b">
        <f>IFERROR(__xludf.DUMMYFUNCTION("if(isblank(A173),,REGEXMATCH(B173,""(^I *vs\. U *$)|(^U *vs\. I *$)""))"),FALSE)</f>
        <v>0</v>
      </c>
      <c r="AG173" s="37" t="b">
        <f>IFERROR(__xludf.DUMMYFUNCTION("if(isblank(A173),,REGEXMATCH(B173,""^D *vs\. D *$""))"),FALSE)</f>
        <v>0</v>
      </c>
      <c r="AH173" s="37" t="b">
        <f>IFERROR(__xludf.DUMMYFUNCTION("if(isblank(A173),,REGEXMATCH(B173,""(^U *vs\. D *$)|(^D *vs\. U *$)""))"),FALSE)</f>
        <v>0</v>
      </c>
      <c r="AI173" s="37" t="b">
        <f>IFERROR(__xludf.DUMMYFUNCTION("if(isblank(A173),,REGEXMATCH(B173,""^U *vs\. U *$""))"),TRUE)</f>
        <v>1</v>
      </c>
      <c r="AJ173" s="37" t="b">
        <f>IFERROR(__xludf.DUMMYFUNCTION("if(isblank(A173),,REGEXMATCH(B173,""^((I ?vs\. ?(D ?I|I ?D))|((D ?I|I ?D) ?vs\. ?I)) *$""))"),FALSE)</f>
        <v>0</v>
      </c>
      <c r="AK173" s="37" t="b">
        <f>IFERROR(__xludf.DUMMYFUNCTION("if(isblank(A173),,REGEXMATCH(B173,""^((D ?vs\. ?(D ?I|I ?D))|((D ?I|I ?D) ?vs\. ?D)) *$""))"),FALSE)</f>
        <v>0</v>
      </c>
      <c r="AL173" s="37" t="b">
        <f>IFERROR(__xludf.DUMMYFUNCTION("if(isblank(A173),,REGEXMATCH(B173,""^((U ?vs\. ?(D ?I|I ?D))|((D ?I|I ?D) ?vs\. ?U)) *$""))"),FALSE)</f>
        <v>0</v>
      </c>
      <c r="AM173" s="37" t="b">
        <f>IFERROR(__xludf.DUMMYFUNCTION("if(isblank(A173),,REGEXMATCH(B173,""^((I ?vs\. ?(U ?I|I ?U))|((U ?I|I ?U) ?vs\. ?I)) *$""))"),FALSE)</f>
        <v>0</v>
      </c>
      <c r="AN173" s="37" t="b">
        <f>IFERROR(__xludf.DUMMYFUNCTION("if(isblank(A173),,REGEXMATCH(B173,""^((D ?vs\. ?(U ?I|I ?U))|((U ?I|I ?U) ?vs\. ?D)) *$""))"),FALSE)</f>
        <v>0</v>
      </c>
      <c r="AO173" s="37" t="b">
        <f>IFERROR(__xludf.DUMMYFUNCTION("if(isblank(A173),,REGEXMATCH(B173,""^((U ?vs\. ?(U ?I|I ?U))|((U ?I|I ?U) ?vs\. ?U)) *$""))"),FALSE)</f>
        <v>0</v>
      </c>
      <c r="AP173" s="37" t="b">
        <f>IFERROR(__xludf.DUMMYFUNCTION("if(isblank(A173),,REGEXMATCH(B173,""^((I ?vs\. ?(U ?D|D ?U))|((D ?U|U ?D) ?vs\. ?I)) *$""))"),FALSE)</f>
        <v>0</v>
      </c>
      <c r="AQ173" s="37" t="b">
        <f>IFERROR(__xludf.DUMMYFUNCTION("if(isblank(A173),,REGEXMATCH(B173,""^((D ?vs\. ?(U ?D|D ?U))|((D ?U|U ?D) ?vs\. ?D)) *$""))"),FALSE)</f>
        <v>0</v>
      </c>
      <c r="AR173" s="37" t="b">
        <f>IFERROR(__xludf.DUMMYFUNCTION("if(isblank(A173),,REGEXMATCH(B173,""^((U ?vs\. ?(U ?D|D ?U))|((D ?U|U ?D) ?vs\. ?U)) *$""))"),FALSE)</f>
        <v>0</v>
      </c>
      <c r="AS173" s="37" t="b">
        <f>IFERROR(__xludf.DUMMYFUNCTION("if(isblank(A173),,REGEXMATCH(B173,""^((D ?I|I ?D) ?vs\. ?(D ?I|I ?D)) *$""))"),FALSE)</f>
        <v>0</v>
      </c>
      <c r="AT173" s="37" t="b">
        <f>IFERROR(__xludf.DUMMYFUNCTION("if(isblank(A173),,REGEXMATCH(B173,""^((D ?I|I ?D) ?vs\. ?(U ?I|I ?U))|((U ?I|I ?U) ?vs\. ?(D ?I|I ?D)) *$""))"),FALSE)</f>
        <v>0</v>
      </c>
      <c r="AU173" s="37" t="b">
        <f>IFERROR(__xludf.DUMMYFUNCTION("if(isblank(A173),,REGEXMATCH(B173,""^((D ?I|I ?D) ?vs\. ?(U ?D|D ?U))|((U ?D|D ?U) ?vs\. ?(D ?I|I ?D)) *$""))"),FALSE)</f>
        <v>0</v>
      </c>
      <c r="AV173" s="37" t="b">
        <f>IFERROR(__xludf.DUMMYFUNCTION("if(isblank(A173),,REGEXMATCH(B173,""^((U ?I|I ?U) ?vs\. ?(U ?I|I ?U)) *$""))"),FALSE)</f>
        <v>0</v>
      </c>
    </row>
    <row r="174" ht="26.25" customHeight="1">
      <c r="A174" s="79" t="str">
        <f>Paper_Textual_Conflict!M174</f>
        <v>I vs. I</v>
      </c>
      <c r="B174" s="37" t="str">
        <f>IFERROR(__xludf.DUMMYFUNCTION("if(isblank(A174),,regexextract(REGEXEXTRACT(A174,""^.*""),""^[^(]*""))"),"I vs. I")</f>
        <v>I vs. I</v>
      </c>
      <c r="C174" s="37" t="b">
        <f>IFERROR(__xludf.DUMMYFUNCTION("if(isblank(A174),,REGEXMATCH(B174,"".*\+.*"") )"),FALSE)</f>
        <v>0</v>
      </c>
      <c r="D174" s="37" t="b">
        <f>IFERROR(__xludf.DUMMYFUNCTION("if(isblank(A174),,REGEXMATCH(B174,"".*vs.*"") )"),TRUE)</f>
        <v>1</v>
      </c>
      <c r="E174" s="37" t="b">
        <f>Paper_Textual_Conflict!H174</f>
        <v>1</v>
      </c>
      <c r="F174" s="37" t="str">
        <f>Paper_Textual_Conflict!Q174</f>
        <v>Java</v>
      </c>
      <c r="G174" s="33">
        <v>174.0</v>
      </c>
      <c r="H174" s="37" t="b">
        <f>IFERROR(__xludf.DUMMYFUNCTION("if(isblank(A174),,REGEXMATCH(B174,""^I *\+ I *$""))"),FALSE)</f>
        <v>0</v>
      </c>
      <c r="I174" s="37" t="b">
        <f>IFERROR(__xludf.DUMMYFUNCTION("if(isblank(A174),,REGEXMATCH(B174,""(^I *\+ D *$)|(^D *\+ I *$)""))"),FALSE)</f>
        <v>0</v>
      </c>
      <c r="J174" s="37" t="b">
        <f>IFERROR(__xludf.DUMMYFUNCTION("if(isblank(A174),,REGEXMATCH(B174,""(^I *\+ U *$)|(^U *\+ I *$)""))"),FALSE)</f>
        <v>0</v>
      </c>
      <c r="K174" s="37" t="b">
        <f>IFERROR(__xludf.DUMMYFUNCTION("if(isblank(A174),,REGEXMATCH(B174,""(^I *\+ N *$)|(^N *\+ I *$)"") )"),FALSE)</f>
        <v>0</v>
      </c>
      <c r="L174" s="37" t="b">
        <f>IFERROR(__xludf.DUMMYFUNCTION("if(isblank(A174),,REGEXMATCH(B174,""^D *\+ D *$""))"),FALSE)</f>
        <v>0</v>
      </c>
      <c r="M174" s="37" t="b">
        <f>IFERROR(__xludf.DUMMYFUNCTION("if(isblank(A174),,REGEXMATCH(B174,""(^U *\+ D *$)|(^D *\+ U *$)""))"),FALSE)</f>
        <v>0</v>
      </c>
      <c r="N174" s="37" t="b">
        <f>IFERROR(__xludf.DUMMYFUNCTION("if(isblank(A174),,REGEXMATCH(B174,""(^N *\+ D *$)|(^D *\+ N *$)""))"),FALSE)</f>
        <v>0</v>
      </c>
      <c r="O174" s="37" t="b">
        <f>IFERROR(__xludf.DUMMYFUNCTION("if(isblank(A174),,REGEXMATCH(B174,""^U *\+ U *$""))"),FALSE)</f>
        <v>0</v>
      </c>
      <c r="P174" s="37" t="b">
        <f>IFERROR(__xludf.DUMMYFUNCTION("if(isblank(A174),,REGEXMATCH(B174,""(^U *\+ N *$)|(^N *\+ U *$)""))"),FALSE)</f>
        <v>0</v>
      </c>
      <c r="Q174" s="37" t="b">
        <f>IFERROR(__xludf.DUMMYFUNCTION("if(isblank(A174),,REGEXMATCH(B174,""^((I ?\+ ?(D ?I|I ?D))|((D ?I|I ?D) ?\+ ?I)) *$""))"),FALSE)</f>
        <v>0</v>
      </c>
      <c r="R174" s="37" t="b">
        <f>IFERROR(__xludf.DUMMYFUNCTION("if(isblank(A174),,REGEXMATCH(B174,""^((D ?\+ ?(D ?I|I ?D))|((D ?I|I ?D) ?\+ ?D)) *$""))"),FALSE)</f>
        <v>0</v>
      </c>
      <c r="S174" s="37" t="b">
        <f>IFERROR(__xludf.DUMMYFUNCTION("if(isblank(A174),,REGEXMATCH(B174,""^((U ?\+ ?(D ?I|I ?D))|((D ?I|I ?D) ?\+ ?U)) *$""))"),FALSE)</f>
        <v>0</v>
      </c>
      <c r="T174" s="37" t="b">
        <f>IFERROR(__xludf.DUMMYFUNCTION("if(isblank(A174),,REGEXMATCH(B174,""^((N ?\+ ?(D ?I|I ?D))|((D ?I|I ?D) ?\+ ?N)) *$""))"),FALSE)</f>
        <v>0</v>
      </c>
      <c r="U174" s="37" t="b">
        <f>IFERROR(__xludf.DUMMYFUNCTION("if(isblank(A174),,REGEXMATCH(B174,""^((I ?\+ ?(U ?I|I ?U))|((I ?U|U ?I) ?\+ ?I)) *$""))"),FALSE)</f>
        <v>0</v>
      </c>
      <c r="V174" s="37" t="b">
        <f>IFERROR(__xludf.DUMMYFUNCTION("if(isblank(A174),,REGEXMATCH(B174,""^((D ?\+ ?(U ?I|I ?U))|((I ?U|U ?I) ?\+ ?D)) *$""))"),FALSE)</f>
        <v>0</v>
      </c>
      <c r="W174" s="37" t="b">
        <f>IFERROR(__xludf.DUMMYFUNCTION("if(isblank(A174),,REGEXMATCH(B174,""^((U ?\+ ?(U ?I|I ?U))|((I ?U|U ?I) ?\+ ?U)) *$""))"),FALSE)</f>
        <v>0</v>
      </c>
      <c r="X174" s="37" t="b">
        <f>IFERROR(__xludf.DUMMYFUNCTION("if(isblank(A174),,REGEXMATCH(B174,""^((N ?\+ ?(U ?I|I ?U))|((I ?U|U ?I) ?\+ ?N)) *$""))"),FALSE)</f>
        <v>0</v>
      </c>
      <c r="Y174" s="37" t="b">
        <f>IFERROR(__xludf.DUMMYFUNCTION("if(isblank(A174),,REGEXMATCH(B174,""^((I ?\+ ?(U ?D|D ?U))|((D ?U|U ?D) ?\+ ?I)) *$""))"),FALSE)</f>
        <v>0</v>
      </c>
      <c r="Z174" s="37" t="b">
        <f>IFERROR(__xludf.DUMMYFUNCTION("if(isblank(A174),,REGEXMATCH(B174,""^((D ?\+ ?(U ?D|D ?U))|((D ?U|U ?D) ?\+ ?D)) *$""))"),FALSE)</f>
        <v>0</v>
      </c>
      <c r="AA174" s="37" t="b">
        <f>IFERROR(__xludf.DUMMYFUNCTION("if(isblank(A174),,REGEXMATCH(B174,""^((U ?\+ ?(U ?D|D ?U))|((D ?U|U ?D) ?\+ ?U)) *$""))"),FALSE)</f>
        <v>0</v>
      </c>
      <c r="AB174" s="37" t="b">
        <f>IFERROR(__xludf.DUMMYFUNCTION("if(isblank(A174),,REGEXMATCH(B174,""^((D ?I|I ?D) ?\+ ?(D ?I|I ?D)) *$""))"),FALSE)</f>
        <v>0</v>
      </c>
      <c r="AC174" s="37" t="b">
        <f>IFERROR(__xludf.DUMMYFUNCTION("if(isblank(A174),,REGEXMATCH(B174,""^((D ?I|I ?D) ?\+ ?(U ?I|I ?U))|((U ?I|I ?U) ?\+ ?(D ?I|I ?D)) *$""))"),FALSE)</f>
        <v>0</v>
      </c>
      <c r="AD174" s="37" t="b">
        <f>IFERROR(__xludf.DUMMYFUNCTION("if(isblank(A174),,REGEXMATCH(B174,""^I *vs\. I *$""))"),TRUE)</f>
        <v>1</v>
      </c>
      <c r="AE174" s="37" t="b">
        <f>IFERROR(__xludf.DUMMYFUNCTION("if(isblank(A174),,REGEXMATCH(B174,""(^I *vs\. D *$)|(^D *vs\. I *$)""))"),FALSE)</f>
        <v>0</v>
      </c>
      <c r="AF174" s="37" t="b">
        <f>IFERROR(__xludf.DUMMYFUNCTION("if(isblank(A174),,REGEXMATCH(B174,""(^I *vs\. U *$)|(^U *vs\. I *$)""))"),FALSE)</f>
        <v>0</v>
      </c>
      <c r="AG174" s="37" t="b">
        <f>IFERROR(__xludf.DUMMYFUNCTION("if(isblank(A174),,REGEXMATCH(B174,""^D *vs\. D *$""))"),FALSE)</f>
        <v>0</v>
      </c>
      <c r="AH174" s="37" t="b">
        <f>IFERROR(__xludf.DUMMYFUNCTION("if(isblank(A174),,REGEXMATCH(B174,""(^U *vs\. D *$)|(^D *vs\. U *$)""))"),FALSE)</f>
        <v>0</v>
      </c>
      <c r="AI174" s="37" t="b">
        <f>IFERROR(__xludf.DUMMYFUNCTION("if(isblank(A174),,REGEXMATCH(B174,""^U *vs\. U *$""))"),FALSE)</f>
        <v>0</v>
      </c>
      <c r="AJ174" s="37" t="b">
        <f>IFERROR(__xludf.DUMMYFUNCTION("if(isblank(A174),,REGEXMATCH(B174,""^((I ?vs\. ?(D ?I|I ?D))|((D ?I|I ?D) ?vs\. ?I)) *$""))"),FALSE)</f>
        <v>0</v>
      </c>
      <c r="AK174" s="37" t="b">
        <f>IFERROR(__xludf.DUMMYFUNCTION("if(isblank(A174),,REGEXMATCH(B174,""^((D ?vs\. ?(D ?I|I ?D))|((D ?I|I ?D) ?vs\. ?D)) *$""))"),FALSE)</f>
        <v>0</v>
      </c>
      <c r="AL174" s="37" t="b">
        <f>IFERROR(__xludf.DUMMYFUNCTION("if(isblank(A174),,REGEXMATCH(B174,""^((U ?vs\. ?(D ?I|I ?D))|((D ?I|I ?D) ?vs\. ?U)) *$""))"),FALSE)</f>
        <v>0</v>
      </c>
      <c r="AM174" s="37" t="b">
        <f>IFERROR(__xludf.DUMMYFUNCTION("if(isblank(A174),,REGEXMATCH(B174,""^((I ?vs\. ?(U ?I|I ?U))|((U ?I|I ?U) ?vs\. ?I)) *$""))"),FALSE)</f>
        <v>0</v>
      </c>
      <c r="AN174" s="37" t="b">
        <f>IFERROR(__xludf.DUMMYFUNCTION("if(isblank(A174),,REGEXMATCH(B174,""^((D ?vs\. ?(U ?I|I ?U))|((U ?I|I ?U) ?vs\. ?D)) *$""))"),FALSE)</f>
        <v>0</v>
      </c>
      <c r="AO174" s="37" t="b">
        <f>IFERROR(__xludf.DUMMYFUNCTION("if(isblank(A174),,REGEXMATCH(B174,""^((U ?vs\. ?(U ?I|I ?U))|((U ?I|I ?U) ?vs\. ?U)) *$""))"),FALSE)</f>
        <v>0</v>
      </c>
      <c r="AP174" s="37" t="b">
        <f>IFERROR(__xludf.DUMMYFUNCTION("if(isblank(A174),,REGEXMATCH(B174,""^((I ?vs\. ?(U ?D|D ?U))|((D ?U|U ?D) ?vs\. ?I)) *$""))"),FALSE)</f>
        <v>0</v>
      </c>
      <c r="AQ174" s="37" t="b">
        <f>IFERROR(__xludf.DUMMYFUNCTION("if(isblank(A174),,REGEXMATCH(B174,""^((D ?vs\. ?(U ?D|D ?U))|((D ?U|U ?D) ?vs\. ?D)) *$""))"),FALSE)</f>
        <v>0</v>
      </c>
      <c r="AR174" s="37" t="b">
        <f>IFERROR(__xludf.DUMMYFUNCTION("if(isblank(A174),,REGEXMATCH(B174,""^((U ?vs\. ?(U ?D|D ?U))|((D ?U|U ?D) ?vs\. ?U)) *$""))"),FALSE)</f>
        <v>0</v>
      </c>
      <c r="AS174" s="37" t="b">
        <f>IFERROR(__xludf.DUMMYFUNCTION("if(isblank(A174),,REGEXMATCH(B174,""^((D ?I|I ?D) ?vs\. ?(D ?I|I ?D)) *$""))"),FALSE)</f>
        <v>0</v>
      </c>
      <c r="AT174" s="37" t="b">
        <f>IFERROR(__xludf.DUMMYFUNCTION("if(isblank(A174),,REGEXMATCH(B174,""^((D ?I|I ?D) ?vs\. ?(U ?I|I ?U))|((U ?I|I ?U) ?vs\. ?(D ?I|I ?D)) *$""))"),FALSE)</f>
        <v>0</v>
      </c>
      <c r="AU174" s="37" t="b">
        <f>IFERROR(__xludf.DUMMYFUNCTION("if(isblank(A174),,REGEXMATCH(B174,""^((D ?I|I ?D) ?vs\. ?(U ?D|D ?U))|((U ?D|D ?U) ?vs\. ?(D ?I|I ?D)) *$""))"),FALSE)</f>
        <v>0</v>
      </c>
      <c r="AV174" s="37" t="b">
        <f>IFERROR(__xludf.DUMMYFUNCTION("if(isblank(A174),,REGEXMATCH(B174,""^((U ?I|I ?U) ?vs\. ?(U ?I|I ?U)) *$""))"),FALSE)</f>
        <v>0</v>
      </c>
    </row>
    <row r="175" ht="26.25" customHeight="1">
      <c r="A175" s="79" t="str">
        <f>Paper_Textual_Conflict!M175</f>
        <v>D I vs. D I
L includes R</v>
      </c>
      <c r="B175" s="37" t="str">
        <f>IFERROR(__xludf.DUMMYFUNCTION("if(isblank(A175),,regexextract(REGEXEXTRACT(A175,""^.*""),""^[^(]*""))"),"D I vs. D I")</f>
        <v>D I vs. D I</v>
      </c>
      <c r="C175" s="37" t="b">
        <f>IFERROR(__xludf.DUMMYFUNCTION("if(isblank(A175),,REGEXMATCH(B175,"".*\+.*"") )"),FALSE)</f>
        <v>0</v>
      </c>
      <c r="D175" s="37" t="b">
        <f>IFERROR(__xludf.DUMMYFUNCTION("if(isblank(A175),,REGEXMATCH(B175,"".*vs.*"") )"),TRUE)</f>
        <v>1</v>
      </c>
      <c r="E175" s="37" t="b">
        <f>Paper_Textual_Conflict!H175</f>
        <v>1</v>
      </c>
      <c r="F175" s="37" t="str">
        <f>Paper_Textual_Conflict!Q175</f>
        <v>Java</v>
      </c>
      <c r="G175" s="33">
        <v>175.0</v>
      </c>
      <c r="H175" s="37" t="b">
        <f>IFERROR(__xludf.DUMMYFUNCTION("if(isblank(A175),,REGEXMATCH(B175,""^I *\+ I *$""))"),FALSE)</f>
        <v>0</v>
      </c>
      <c r="I175" s="37" t="b">
        <f>IFERROR(__xludf.DUMMYFUNCTION("if(isblank(A175),,REGEXMATCH(B175,""(^I *\+ D *$)|(^D *\+ I *$)""))"),FALSE)</f>
        <v>0</v>
      </c>
      <c r="J175" s="37" t="b">
        <f>IFERROR(__xludf.DUMMYFUNCTION("if(isblank(A175),,REGEXMATCH(B175,""(^I *\+ U *$)|(^U *\+ I *$)""))"),FALSE)</f>
        <v>0</v>
      </c>
      <c r="K175" s="37" t="b">
        <f>IFERROR(__xludf.DUMMYFUNCTION("if(isblank(A175),,REGEXMATCH(B175,""(^I *\+ N *$)|(^N *\+ I *$)"") )"),FALSE)</f>
        <v>0</v>
      </c>
      <c r="L175" s="37" t="b">
        <f>IFERROR(__xludf.DUMMYFUNCTION("if(isblank(A175),,REGEXMATCH(B175,""^D *\+ D *$""))"),FALSE)</f>
        <v>0</v>
      </c>
      <c r="M175" s="37" t="b">
        <f>IFERROR(__xludf.DUMMYFUNCTION("if(isblank(A175),,REGEXMATCH(B175,""(^U *\+ D *$)|(^D *\+ U *$)""))"),FALSE)</f>
        <v>0</v>
      </c>
      <c r="N175" s="37" t="b">
        <f>IFERROR(__xludf.DUMMYFUNCTION("if(isblank(A175),,REGEXMATCH(B175,""(^N *\+ D *$)|(^D *\+ N *$)""))"),FALSE)</f>
        <v>0</v>
      </c>
      <c r="O175" s="37" t="b">
        <f>IFERROR(__xludf.DUMMYFUNCTION("if(isblank(A175),,REGEXMATCH(B175,""^U *\+ U *$""))"),FALSE)</f>
        <v>0</v>
      </c>
      <c r="P175" s="37" t="b">
        <f>IFERROR(__xludf.DUMMYFUNCTION("if(isblank(A175),,REGEXMATCH(B175,""(^U *\+ N *$)|(^N *\+ U *$)""))"),FALSE)</f>
        <v>0</v>
      </c>
      <c r="Q175" s="37" t="b">
        <f>IFERROR(__xludf.DUMMYFUNCTION("if(isblank(A175),,REGEXMATCH(B175,""^((I ?\+ ?(D ?I|I ?D))|((D ?I|I ?D) ?\+ ?I)) *$""))"),FALSE)</f>
        <v>0</v>
      </c>
      <c r="R175" s="37" t="b">
        <f>IFERROR(__xludf.DUMMYFUNCTION("if(isblank(A175),,REGEXMATCH(B175,""^((D ?\+ ?(D ?I|I ?D))|((D ?I|I ?D) ?\+ ?D)) *$""))"),FALSE)</f>
        <v>0</v>
      </c>
      <c r="S175" s="37" t="b">
        <f>IFERROR(__xludf.DUMMYFUNCTION("if(isblank(A175),,REGEXMATCH(B175,""^((U ?\+ ?(D ?I|I ?D))|((D ?I|I ?D) ?\+ ?U)) *$""))"),FALSE)</f>
        <v>0</v>
      </c>
      <c r="T175" s="37" t="b">
        <f>IFERROR(__xludf.DUMMYFUNCTION("if(isblank(A175),,REGEXMATCH(B175,""^((N ?\+ ?(D ?I|I ?D))|((D ?I|I ?D) ?\+ ?N)) *$""))"),FALSE)</f>
        <v>0</v>
      </c>
      <c r="U175" s="37" t="b">
        <f>IFERROR(__xludf.DUMMYFUNCTION("if(isblank(A175),,REGEXMATCH(B175,""^((I ?\+ ?(U ?I|I ?U))|((I ?U|U ?I) ?\+ ?I)) *$""))"),FALSE)</f>
        <v>0</v>
      </c>
      <c r="V175" s="37" t="b">
        <f>IFERROR(__xludf.DUMMYFUNCTION("if(isblank(A175),,REGEXMATCH(B175,""^((D ?\+ ?(U ?I|I ?U))|((I ?U|U ?I) ?\+ ?D)) *$""))"),FALSE)</f>
        <v>0</v>
      </c>
      <c r="W175" s="37" t="b">
        <f>IFERROR(__xludf.DUMMYFUNCTION("if(isblank(A175),,REGEXMATCH(B175,""^((U ?\+ ?(U ?I|I ?U))|((I ?U|U ?I) ?\+ ?U)) *$""))"),FALSE)</f>
        <v>0</v>
      </c>
      <c r="X175" s="37" t="b">
        <f>IFERROR(__xludf.DUMMYFUNCTION("if(isblank(A175),,REGEXMATCH(B175,""^((N ?\+ ?(U ?I|I ?U))|((I ?U|U ?I) ?\+ ?N)) *$""))"),FALSE)</f>
        <v>0</v>
      </c>
      <c r="Y175" s="37" t="b">
        <f>IFERROR(__xludf.DUMMYFUNCTION("if(isblank(A175),,REGEXMATCH(B175,""^((I ?\+ ?(U ?D|D ?U))|((D ?U|U ?D) ?\+ ?I)) *$""))"),FALSE)</f>
        <v>0</v>
      </c>
      <c r="Z175" s="37" t="b">
        <f>IFERROR(__xludf.DUMMYFUNCTION("if(isblank(A175),,REGEXMATCH(B175,""^((D ?\+ ?(U ?D|D ?U))|((D ?U|U ?D) ?\+ ?D)) *$""))"),FALSE)</f>
        <v>0</v>
      </c>
      <c r="AA175" s="37" t="b">
        <f>IFERROR(__xludf.DUMMYFUNCTION("if(isblank(A175),,REGEXMATCH(B175,""^((U ?\+ ?(U ?D|D ?U))|((D ?U|U ?D) ?\+ ?U)) *$""))"),FALSE)</f>
        <v>0</v>
      </c>
      <c r="AB175" s="37" t="b">
        <f>IFERROR(__xludf.DUMMYFUNCTION("if(isblank(A175),,REGEXMATCH(B175,""^((D ?I|I ?D) ?\+ ?(D ?I|I ?D)) *$""))"),FALSE)</f>
        <v>0</v>
      </c>
      <c r="AC175" s="37" t="b">
        <f>IFERROR(__xludf.DUMMYFUNCTION("if(isblank(A175),,REGEXMATCH(B175,""^((D ?I|I ?D) ?\+ ?(U ?I|I ?U))|((U ?I|I ?U) ?\+ ?(D ?I|I ?D)) *$""))"),FALSE)</f>
        <v>0</v>
      </c>
      <c r="AD175" s="37" t="b">
        <f>IFERROR(__xludf.DUMMYFUNCTION("if(isblank(A175),,REGEXMATCH(B175,""^I *vs\. I *$""))"),FALSE)</f>
        <v>0</v>
      </c>
      <c r="AE175" s="37" t="b">
        <f>IFERROR(__xludf.DUMMYFUNCTION("if(isblank(A175),,REGEXMATCH(B175,""(^I *vs\. D *$)|(^D *vs\. I *$)""))"),FALSE)</f>
        <v>0</v>
      </c>
      <c r="AF175" s="37" t="b">
        <f>IFERROR(__xludf.DUMMYFUNCTION("if(isblank(A175),,REGEXMATCH(B175,""(^I *vs\. U *$)|(^U *vs\. I *$)""))"),FALSE)</f>
        <v>0</v>
      </c>
      <c r="AG175" s="37" t="b">
        <f>IFERROR(__xludf.DUMMYFUNCTION("if(isblank(A175),,REGEXMATCH(B175,""^D *vs\. D *$""))"),FALSE)</f>
        <v>0</v>
      </c>
      <c r="AH175" s="37" t="b">
        <f>IFERROR(__xludf.DUMMYFUNCTION("if(isblank(A175),,REGEXMATCH(B175,""(^U *vs\. D *$)|(^D *vs\. U *$)""))"),FALSE)</f>
        <v>0</v>
      </c>
      <c r="AI175" s="37" t="b">
        <f>IFERROR(__xludf.DUMMYFUNCTION("if(isblank(A175),,REGEXMATCH(B175,""^U *vs\. U *$""))"),FALSE)</f>
        <v>0</v>
      </c>
      <c r="AJ175" s="37" t="b">
        <f>IFERROR(__xludf.DUMMYFUNCTION("if(isblank(A175),,REGEXMATCH(B175,""^((I ?vs\. ?(D ?I|I ?D))|((D ?I|I ?D) ?vs\. ?I)) *$""))"),FALSE)</f>
        <v>0</v>
      </c>
      <c r="AK175" s="37" t="b">
        <f>IFERROR(__xludf.DUMMYFUNCTION("if(isblank(A175),,REGEXMATCH(B175,""^((D ?vs\. ?(D ?I|I ?D))|((D ?I|I ?D) ?vs\. ?D)) *$""))"),FALSE)</f>
        <v>0</v>
      </c>
      <c r="AL175" s="37" t="b">
        <f>IFERROR(__xludf.DUMMYFUNCTION("if(isblank(A175),,REGEXMATCH(B175,""^((U ?vs\. ?(D ?I|I ?D))|((D ?I|I ?D) ?vs\. ?U)) *$""))"),FALSE)</f>
        <v>0</v>
      </c>
      <c r="AM175" s="37" t="b">
        <f>IFERROR(__xludf.DUMMYFUNCTION("if(isblank(A175),,REGEXMATCH(B175,""^((I ?vs\. ?(U ?I|I ?U))|((U ?I|I ?U) ?vs\. ?I)) *$""))"),FALSE)</f>
        <v>0</v>
      </c>
      <c r="AN175" s="37" t="b">
        <f>IFERROR(__xludf.DUMMYFUNCTION("if(isblank(A175),,REGEXMATCH(B175,""^((D ?vs\. ?(U ?I|I ?U))|((U ?I|I ?U) ?vs\. ?D)) *$""))"),FALSE)</f>
        <v>0</v>
      </c>
      <c r="AO175" s="37" t="b">
        <f>IFERROR(__xludf.DUMMYFUNCTION("if(isblank(A175),,REGEXMATCH(B175,""^((U ?vs\. ?(U ?I|I ?U))|((U ?I|I ?U) ?vs\. ?U)) *$""))"),FALSE)</f>
        <v>0</v>
      </c>
      <c r="AP175" s="37" t="b">
        <f>IFERROR(__xludf.DUMMYFUNCTION("if(isblank(A175),,REGEXMATCH(B175,""^((I ?vs\. ?(U ?D|D ?U))|((D ?U|U ?D) ?vs\. ?I)) *$""))"),FALSE)</f>
        <v>0</v>
      </c>
      <c r="AQ175" s="37" t="b">
        <f>IFERROR(__xludf.DUMMYFUNCTION("if(isblank(A175),,REGEXMATCH(B175,""^((D ?vs\. ?(U ?D|D ?U))|((D ?U|U ?D) ?vs\. ?D)) *$""))"),FALSE)</f>
        <v>0</v>
      </c>
      <c r="AR175" s="37" t="b">
        <f>IFERROR(__xludf.DUMMYFUNCTION("if(isblank(A175),,REGEXMATCH(B175,""^((U ?vs\. ?(U ?D|D ?U))|((D ?U|U ?D) ?vs\. ?U)) *$""))"),FALSE)</f>
        <v>0</v>
      </c>
      <c r="AS175" s="37" t="b">
        <f>IFERROR(__xludf.DUMMYFUNCTION("if(isblank(A175),,REGEXMATCH(B175,""^((D ?I|I ?D) ?vs\. ?(D ?I|I ?D)) *$""))"),TRUE)</f>
        <v>1</v>
      </c>
      <c r="AT175" s="37" t="b">
        <f>IFERROR(__xludf.DUMMYFUNCTION("if(isblank(A175),,REGEXMATCH(B175,""^((D ?I|I ?D) ?vs\. ?(U ?I|I ?U))|((U ?I|I ?U) ?vs\. ?(D ?I|I ?D)) *$""))"),FALSE)</f>
        <v>0</v>
      </c>
      <c r="AU175" s="37" t="b">
        <f>IFERROR(__xludf.DUMMYFUNCTION("if(isblank(A175),,REGEXMATCH(B175,""^((D ?I|I ?D) ?vs\. ?(U ?D|D ?U))|((U ?D|D ?U) ?vs\. ?(D ?I|I ?D)) *$""))"),FALSE)</f>
        <v>0</v>
      </c>
      <c r="AV175" s="37" t="b">
        <f>IFERROR(__xludf.DUMMYFUNCTION("if(isblank(A175),,REGEXMATCH(B175,""^((U ?I|I ?U) ?vs\. ?(U ?I|I ?U)) *$""))"),FALSE)</f>
        <v>0</v>
      </c>
    </row>
    <row r="176" ht="26.25" customHeight="1">
      <c r="A176" s="79" t="str">
        <f>Paper_Textual_Conflict!M176</f>
        <v>I vs. I (.sh) L includes R</v>
      </c>
      <c r="B176" s="37" t="str">
        <f>IFERROR(__xludf.DUMMYFUNCTION("if(isblank(A176),,regexextract(REGEXEXTRACT(A176,""^.*""),""^[^(]*""))"),"I vs. I ")</f>
        <v>I vs. I </v>
      </c>
      <c r="C176" s="37" t="b">
        <f>IFERROR(__xludf.DUMMYFUNCTION("if(isblank(A176),,REGEXMATCH(B176,"".*\+.*"") )"),FALSE)</f>
        <v>0</v>
      </c>
      <c r="D176" s="37" t="b">
        <f>IFERROR(__xludf.DUMMYFUNCTION("if(isblank(A176),,REGEXMATCH(B176,"".*vs.*"") )"),TRUE)</f>
        <v>1</v>
      </c>
      <c r="E176" s="37" t="b">
        <f>Paper_Textual_Conflict!H176</f>
        <v>1</v>
      </c>
      <c r="F176" s="37" t="str">
        <f>Paper_Textual_Conflict!Q176</f>
        <v>Non-Java</v>
      </c>
      <c r="G176" s="33">
        <v>176.0</v>
      </c>
      <c r="H176" s="37" t="b">
        <f>IFERROR(__xludf.DUMMYFUNCTION("if(isblank(A176),,REGEXMATCH(B176,""^I *\+ I *$""))"),FALSE)</f>
        <v>0</v>
      </c>
      <c r="I176" s="37" t="b">
        <f>IFERROR(__xludf.DUMMYFUNCTION("if(isblank(A176),,REGEXMATCH(B176,""(^I *\+ D *$)|(^D *\+ I *$)""))"),FALSE)</f>
        <v>0</v>
      </c>
      <c r="J176" s="37" t="b">
        <f>IFERROR(__xludf.DUMMYFUNCTION("if(isblank(A176),,REGEXMATCH(B176,""(^I *\+ U *$)|(^U *\+ I *$)""))"),FALSE)</f>
        <v>0</v>
      </c>
      <c r="K176" s="37" t="b">
        <f>IFERROR(__xludf.DUMMYFUNCTION("if(isblank(A176),,REGEXMATCH(B176,""(^I *\+ N *$)|(^N *\+ I *$)"") )"),FALSE)</f>
        <v>0</v>
      </c>
      <c r="L176" s="37" t="b">
        <f>IFERROR(__xludf.DUMMYFUNCTION("if(isblank(A176),,REGEXMATCH(B176,""^D *\+ D *$""))"),FALSE)</f>
        <v>0</v>
      </c>
      <c r="M176" s="37" t="b">
        <f>IFERROR(__xludf.DUMMYFUNCTION("if(isblank(A176),,REGEXMATCH(B176,""(^U *\+ D *$)|(^D *\+ U *$)""))"),FALSE)</f>
        <v>0</v>
      </c>
      <c r="N176" s="37" t="b">
        <f>IFERROR(__xludf.DUMMYFUNCTION("if(isblank(A176),,REGEXMATCH(B176,""(^N *\+ D *$)|(^D *\+ N *$)""))"),FALSE)</f>
        <v>0</v>
      </c>
      <c r="O176" s="37" t="b">
        <f>IFERROR(__xludf.DUMMYFUNCTION("if(isblank(A176),,REGEXMATCH(B176,""^U *\+ U *$""))"),FALSE)</f>
        <v>0</v>
      </c>
      <c r="P176" s="37" t="b">
        <f>IFERROR(__xludf.DUMMYFUNCTION("if(isblank(A176),,REGEXMATCH(B176,""(^U *\+ N *$)|(^N *\+ U *$)""))"),FALSE)</f>
        <v>0</v>
      </c>
      <c r="Q176" s="37" t="b">
        <f>IFERROR(__xludf.DUMMYFUNCTION("if(isblank(A176),,REGEXMATCH(B176,""^((I ?\+ ?(D ?I|I ?D))|((D ?I|I ?D) ?\+ ?I)) *$""))"),FALSE)</f>
        <v>0</v>
      </c>
      <c r="R176" s="37" t="b">
        <f>IFERROR(__xludf.DUMMYFUNCTION("if(isblank(A176),,REGEXMATCH(B176,""^((D ?\+ ?(D ?I|I ?D))|((D ?I|I ?D) ?\+ ?D)) *$""))"),FALSE)</f>
        <v>0</v>
      </c>
      <c r="S176" s="37" t="b">
        <f>IFERROR(__xludf.DUMMYFUNCTION("if(isblank(A176),,REGEXMATCH(B176,""^((U ?\+ ?(D ?I|I ?D))|((D ?I|I ?D) ?\+ ?U)) *$""))"),FALSE)</f>
        <v>0</v>
      </c>
      <c r="T176" s="37" t="b">
        <f>IFERROR(__xludf.DUMMYFUNCTION("if(isblank(A176),,REGEXMATCH(B176,""^((N ?\+ ?(D ?I|I ?D))|((D ?I|I ?D) ?\+ ?N)) *$""))"),FALSE)</f>
        <v>0</v>
      </c>
      <c r="U176" s="37" t="b">
        <f>IFERROR(__xludf.DUMMYFUNCTION("if(isblank(A176),,REGEXMATCH(B176,""^((I ?\+ ?(U ?I|I ?U))|((I ?U|U ?I) ?\+ ?I)) *$""))"),FALSE)</f>
        <v>0</v>
      </c>
      <c r="V176" s="37" t="b">
        <f>IFERROR(__xludf.DUMMYFUNCTION("if(isblank(A176),,REGEXMATCH(B176,""^((D ?\+ ?(U ?I|I ?U))|((I ?U|U ?I) ?\+ ?D)) *$""))"),FALSE)</f>
        <v>0</v>
      </c>
      <c r="W176" s="37" t="b">
        <f>IFERROR(__xludf.DUMMYFUNCTION("if(isblank(A176),,REGEXMATCH(B176,""^((U ?\+ ?(U ?I|I ?U))|((I ?U|U ?I) ?\+ ?U)) *$""))"),FALSE)</f>
        <v>0</v>
      </c>
      <c r="X176" s="37" t="b">
        <f>IFERROR(__xludf.DUMMYFUNCTION("if(isblank(A176),,REGEXMATCH(B176,""^((N ?\+ ?(U ?I|I ?U))|((I ?U|U ?I) ?\+ ?N)) *$""))"),FALSE)</f>
        <v>0</v>
      </c>
      <c r="Y176" s="37" t="b">
        <f>IFERROR(__xludf.DUMMYFUNCTION("if(isblank(A176),,REGEXMATCH(B176,""^((I ?\+ ?(U ?D|D ?U))|((D ?U|U ?D) ?\+ ?I)) *$""))"),FALSE)</f>
        <v>0</v>
      </c>
      <c r="Z176" s="37" t="b">
        <f>IFERROR(__xludf.DUMMYFUNCTION("if(isblank(A176),,REGEXMATCH(B176,""^((D ?\+ ?(U ?D|D ?U))|((D ?U|U ?D) ?\+ ?D)) *$""))"),FALSE)</f>
        <v>0</v>
      </c>
      <c r="AA176" s="37" t="b">
        <f>IFERROR(__xludf.DUMMYFUNCTION("if(isblank(A176),,REGEXMATCH(B176,""^((U ?\+ ?(U ?D|D ?U))|((D ?U|U ?D) ?\+ ?U)) *$""))"),FALSE)</f>
        <v>0</v>
      </c>
      <c r="AB176" s="37" t="b">
        <f>IFERROR(__xludf.DUMMYFUNCTION("if(isblank(A176),,REGEXMATCH(B176,""^((D ?I|I ?D) ?\+ ?(D ?I|I ?D)) *$""))"),FALSE)</f>
        <v>0</v>
      </c>
      <c r="AC176" s="37" t="b">
        <f>IFERROR(__xludf.DUMMYFUNCTION("if(isblank(A176),,REGEXMATCH(B176,""^((D ?I|I ?D) ?\+ ?(U ?I|I ?U))|((U ?I|I ?U) ?\+ ?(D ?I|I ?D)) *$""))"),FALSE)</f>
        <v>0</v>
      </c>
      <c r="AD176" s="37" t="b">
        <f>IFERROR(__xludf.DUMMYFUNCTION("if(isblank(A176),,REGEXMATCH(B176,""^I *vs\. I *$""))"),TRUE)</f>
        <v>1</v>
      </c>
      <c r="AE176" s="37" t="b">
        <f>IFERROR(__xludf.DUMMYFUNCTION("if(isblank(A176),,REGEXMATCH(B176,""(^I *vs\. D *$)|(^D *vs\. I *$)""))"),FALSE)</f>
        <v>0</v>
      </c>
      <c r="AF176" s="37" t="b">
        <f>IFERROR(__xludf.DUMMYFUNCTION("if(isblank(A176),,REGEXMATCH(B176,""(^I *vs\. U *$)|(^U *vs\. I *$)""))"),FALSE)</f>
        <v>0</v>
      </c>
      <c r="AG176" s="37" t="b">
        <f>IFERROR(__xludf.DUMMYFUNCTION("if(isblank(A176),,REGEXMATCH(B176,""^D *vs\. D *$""))"),FALSE)</f>
        <v>0</v>
      </c>
      <c r="AH176" s="37" t="b">
        <f>IFERROR(__xludf.DUMMYFUNCTION("if(isblank(A176),,REGEXMATCH(B176,""(^U *vs\. D *$)|(^D *vs\. U *$)""))"),FALSE)</f>
        <v>0</v>
      </c>
      <c r="AI176" s="37" t="b">
        <f>IFERROR(__xludf.DUMMYFUNCTION("if(isblank(A176),,REGEXMATCH(B176,""^U *vs\. U *$""))"),FALSE)</f>
        <v>0</v>
      </c>
      <c r="AJ176" s="37" t="b">
        <f>IFERROR(__xludf.DUMMYFUNCTION("if(isblank(A176),,REGEXMATCH(B176,""^((I ?vs\. ?(D ?I|I ?D))|((D ?I|I ?D) ?vs\. ?I)) *$""))"),FALSE)</f>
        <v>0</v>
      </c>
      <c r="AK176" s="37" t="b">
        <f>IFERROR(__xludf.DUMMYFUNCTION("if(isblank(A176),,REGEXMATCH(B176,""^((D ?vs\. ?(D ?I|I ?D))|((D ?I|I ?D) ?vs\. ?D)) *$""))"),FALSE)</f>
        <v>0</v>
      </c>
      <c r="AL176" s="37" t="b">
        <f>IFERROR(__xludf.DUMMYFUNCTION("if(isblank(A176),,REGEXMATCH(B176,""^((U ?vs\. ?(D ?I|I ?D))|((D ?I|I ?D) ?vs\. ?U)) *$""))"),FALSE)</f>
        <v>0</v>
      </c>
      <c r="AM176" s="37" t="b">
        <f>IFERROR(__xludf.DUMMYFUNCTION("if(isblank(A176),,REGEXMATCH(B176,""^((I ?vs\. ?(U ?I|I ?U))|((U ?I|I ?U) ?vs\. ?I)) *$""))"),FALSE)</f>
        <v>0</v>
      </c>
      <c r="AN176" s="37" t="b">
        <f>IFERROR(__xludf.DUMMYFUNCTION("if(isblank(A176),,REGEXMATCH(B176,""^((D ?vs\. ?(U ?I|I ?U))|((U ?I|I ?U) ?vs\. ?D)) *$""))"),FALSE)</f>
        <v>0</v>
      </c>
      <c r="AO176" s="37" t="b">
        <f>IFERROR(__xludf.DUMMYFUNCTION("if(isblank(A176),,REGEXMATCH(B176,""^((U ?vs\. ?(U ?I|I ?U))|((U ?I|I ?U) ?vs\. ?U)) *$""))"),FALSE)</f>
        <v>0</v>
      </c>
      <c r="AP176" s="37" t="b">
        <f>IFERROR(__xludf.DUMMYFUNCTION("if(isblank(A176),,REGEXMATCH(B176,""^((I ?vs\. ?(U ?D|D ?U))|((D ?U|U ?D) ?vs\. ?I)) *$""))"),FALSE)</f>
        <v>0</v>
      </c>
      <c r="AQ176" s="37" t="b">
        <f>IFERROR(__xludf.DUMMYFUNCTION("if(isblank(A176),,REGEXMATCH(B176,""^((D ?vs\. ?(U ?D|D ?U))|((D ?U|U ?D) ?vs\. ?D)) *$""))"),FALSE)</f>
        <v>0</v>
      </c>
      <c r="AR176" s="37" t="b">
        <f>IFERROR(__xludf.DUMMYFUNCTION("if(isblank(A176),,REGEXMATCH(B176,""^((U ?vs\. ?(U ?D|D ?U))|((D ?U|U ?D) ?vs\. ?U)) *$""))"),FALSE)</f>
        <v>0</v>
      </c>
      <c r="AS176" s="37" t="b">
        <f>IFERROR(__xludf.DUMMYFUNCTION("if(isblank(A176),,REGEXMATCH(B176,""^((D ?I|I ?D) ?vs\. ?(D ?I|I ?D)) *$""))"),FALSE)</f>
        <v>0</v>
      </c>
      <c r="AT176" s="37" t="b">
        <f>IFERROR(__xludf.DUMMYFUNCTION("if(isblank(A176),,REGEXMATCH(B176,""^((D ?I|I ?D) ?vs\. ?(U ?I|I ?U))|((U ?I|I ?U) ?vs\. ?(D ?I|I ?D)) *$""))"),FALSE)</f>
        <v>0</v>
      </c>
      <c r="AU176" s="37" t="b">
        <f>IFERROR(__xludf.DUMMYFUNCTION("if(isblank(A176),,REGEXMATCH(B176,""^((D ?I|I ?D) ?vs\. ?(U ?D|D ?U))|((U ?D|D ?U) ?vs\. ?(D ?I|I ?D)) *$""))"),FALSE)</f>
        <v>0</v>
      </c>
      <c r="AV176" s="37" t="b">
        <f>IFERROR(__xludf.DUMMYFUNCTION("if(isblank(A176),,REGEXMATCH(B176,""^((U ?I|I ?U) ?vs\. ?(U ?I|I ?U)) *$""))"),FALSE)</f>
        <v>0</v>
      </c>
    </row>
    <row r="177" ht="26.25" customHeight="1">
      <c r="A177" s="79" t="str">
        <f>Paper_Textual_Conflict!M177</f>
        <v>I vs. I</v>
      </c>
      <c r="B177" s="37" t="str">
        <f>IFERROR(__xludf.DUMMYFUNCTION("if(isblank(A177),,regexextract(REGEXEXTRACT(A177,""^.*""),""^[^(]*""))"),"I vs. I")</f>
        <v>I vs. I</v>
      </c>
      <c r="C177" s="37" t="b">
        <f>IFERROR(__xludf.DUMMYFUNCTION("if(isblank(A177),,REGEXMATCH(B177,"".*\+.*"") )"),FALSE)</f>
        <v>0</v>
      </c>
      <c r="D177" s="37" t="b">
        <f>IFERROR(__xludf.DUMMYFUNCTION("if(isblank(A177),,REGEXMATCH(B177,"".*vs.*"") )"),TRUE)</f>
        <v>1</v>
      </c>
      <c r="E177" s="37" t="b">
        <f>Paper_Textual_Conflict!H177</f>
        <v>1</v>
      </c>
      <c r="F177" s="37" t="str">
        <f>Paper_Textual_Conflict!Q177</f>
        <v>Non-Java</v>
      </c>
      <c r="G177" s="33">
        <v>177.0</v>
      </c>
      <c r="H177" s="37" t="b">
        <f>IFERROR(__xludf.DUMMYFUNCTION("if(isblank(A177),,REGEXMATCH(B177,""^I *\+ I *$""))"),FALSE)</f>
        <v>0</v>
      </c>
      <c r="I177" s="37" t="b">
        <f>IFERROR(__xludf.DUMMYFUNCTION("if(isblank(A177),,REGEXMATCH(B177,""(^I *\+ D *$)|(^D *\+ I *$)""))"),FALSE)</f>
        <v>0</v>
      </c>
      <c r="J177" s="37" t="b">
        <f>IFERROR(__xludf.DUMMYFUNCTION("if(isblank(A177),,REGEXMATCH(B177,""(^I *\+ U *$)|(^U *\+ I *$)""))"),FALSE)</f>
        <v>0</v>
      </c>
      <c r="K177" s="37" t="b">
        <f>IFERROR(__xludf.DUMMYFUNCTION("if(isblank(A177),,REGEXMATCH(B177,""(^I *\+ N *$)|(^N *\+ I *$)"") )"),FALSE)</f>
        <v>0</v>
      </c>
      <c r="L177" s="37" t="b">
        <f>IFERROR(__xludf.DUMMYFUNCTION("if(isblank(A177),,REGEXMATCH(B177,""^D *\+ D *$""))"),FALSE)</f>
        <v>0</v>
      </c>
      <c r="M177" s="37" t="b">
        <f>IFERROR(__xludf.DUMMYFUNCTION("if(isblank(A177),,REGEXMATCH(B177,""(^U *\+ D *$)|(^D *\+ U *$)""))"),FALSE)</f>
        <v>0</v>
      </c>
      <c r="N177" s="37" t="b">
        <f>IFERROR(__xludf.DUMMYFUNCTION("if(isblank(A177),,REGEXMATCH(B177,""(^N *\+ D *$)|(^D *\+ N *$)""))"),FALSE)</f>
        <v>0</v>
      </c>
      <c r="O177" s="37" t="b">
        <f>IFERROR(__xludf.DUMMYFUNCTION("if(isblank(A177),,REGEXMATCH(B177,""^U *\+ U *$""))"),FALSE)</f>
        <v>0</v>
      </c>
      <c r="P177" s="37" t="b">
        <f>IFERROR(__xludf.DUMMYFUNCTION("if(isblank(A177),,REGEXMATCH(B177,""(^U *\+ N *$)|(^N *\+ U *$)""))"),FALSE)</f>
        <v>0</v>
      </c>
      <c r="Q177" s="37" t="b">
        <f>IFERROR(__xludf.DUMMYFUNCTION("if(isblank(A177),,REGEXMATCH(B177,""^((I ?\+ ?(D ?I|I ?D))|((D ?I|I ?D) ?\+ ?I)) *$""))"),FALSE)</f>
        <v>0</v>
      </c>
      <c r="R177" s="37" t="b">
        <f>IFERROR(__xludf.DUMMYFUNCTION("if(isblank(A177),,REGEXMATCH(B177,""^((D ?\+ ?(D ?I|I ?D))|((D ?I|I ?D) ?\+ ?D)) *$""))"),FALSE)</f>
        <v>0</v>
      </c>
      <c r="S177" s="37" t="b">
        <f>IFERROR(__xludf.DUMMYFUNCTION("if(isblank(A177),,REGEXMATCH(B177,""^((U ?\+ ?(D ?I|I ?D))|((D ?I|I ?D) ?\+ ?U)) *$""))"),FALSE)</f>
        <v>0</v>
      </c>
      <c r="T177" s="37" t="b">
        <f>IFERROR(__xludf.DUMMYFUNCTION("if(isblank(A177),,REGEXMATCH(B177,""^((N ?\+ ?(D ?I|I ?D))|((D ?I|I ?D) ?\+ ?N)) *$""))"),FALSE)</f>
        <v>0</v>
      </c>
      <c r="U177" s="37" t="b">
        <f>IFERROR(__xludf.DUMMYFUNCTION("if(isblank(A177),,REGEXMATCH(B177,""^((I ?\+ ?(U ?I|I ?U))|((I ?U|U ?I) ?\+ ?I)) *$""))"),FALSE)</f>
        <v>0</v>
      </c>
      <c r="V177" s="37" t="b">
        <f>IFERROR(__xludf.DUMMYFUNCTION("if(isblank(A177),,REGEXMATCH(B177,""^((D ?\+ ?(U ?I|I ?U))|((I ?U|U ?I) ?\+ ?D)) *$""))"),FALSE)</f>
        <v>0</v>
      </c>
      <c r="W177" s="37" t="b">
        <f>IFERROR(__xludf.DUMMYFUNCTION("if(isblank(A177),,REGEXMATCH(B177,""^((U ?\+ ?(U ?I|I ?U))|((I ?U|U ?I) ?\+ ?U)) *$""))"),FALSE)</f>
        <v>0</v>
      </c>
      <c r="X177" s="37" t="b">
        <f>IFERROR(__xludf.DUMMYFUNCTION("if(isblank(A177),,REGEXMATCH(B177,""^((N ?\+ ?(U ?I|I ?U))|((I ?U|U ?I) ?\+ ?N)) *$""))"),FALSE)</f>
        <v>0</v>
      </c>
      <c r="Y177" s="37" t="b">
        <f>IFERROR(__xludf.DUMMYFUNCTION("if(isblank(A177),,REGEXMATCH(B177,""^((I ?\+ ?(U ?D|D ?U))|((D ?U|U ?D) ?\+ ?I)) *$""))"),FALSE)</f>
        <v>0</v>
      </c>
      <c r="Z177" s="37" t="b">
        <f>IFERROR(__xludf.DUMMYFUNCTION("if(isblank(A177),,REGEXMATCH(B177,""^((D ?\+ ?(U ?D|D ?U))|((D ?U|U ?D) ?\+ ?D)) *$""))"),FALSE)</f>
        <v>0</v>
      </c>
      <c r="AA177" s="37" t="b">
        <f>IFERROR(__xludf.DUMMYFUNCTION("if(isblank(A177),,REGEXMATCH(B177,""^((U ?\+ ?(U ?D|D ?U))|((D ?U|U ?D) ?\+ ?U)) *$""))"),FALSE)</f>
        <v>0</v>
      </c>
      <c r="AB177" s="37" t="b">
        <f>IFERROR(__xludf.DUMMYFUNCTION("if(isblank(A177),,REGEXMATCH(B177,""^((D ?I|I ?D) ?\+ ?(D ?I|I ?D)) *$""))"),FALSE)</f>
        <v>0</v>
      </c>
      <c r="AC177" s="37" t="b">
        <f>IFERROR(__xludf.DUMMYFUNCTION("if(isblank(A177),,REGEXMATCH(B177,""^((D ?I|I ?D) ?\+ ?(U ?I|I ?U))|((U ?I|I ?U) ?\+ ?(D ?I|I ?D)) *$""))"),FALSE)</f>
        <v>0</v>
      </c>
      <c r="AD177" s="37" t="b">
        <f>IFERROR(__xludf.DUMMYFUNCTION("if(isblank(A177),,REGEXMATCH(B177,""^I *vs\. I *$""))"),TRUE)</f>
        <v>1</v>
      </c>
      <c r="AE177" s="37" t="b">
        <f>IFERROR(__xludf.DUMMYFUNCTION("if(isblank(A177),,REGEXMATCH(B177,""(^I *vs\. D *$)|(^D *vs\. I *$)""))"),FALSE)</f>
        <v>0</v>
      </c>
      <c r="AF177" s="37" t="b">
        <f>IFERROR(__xludf.DUMMYFUNCTION("if(isblank(A177),,REGEXMATCH(B177,""(^I *vs\. U *$)|(^U *vs\. I *$)""))"),FALSE)</f>
        <v>0</v>
      </c>
      <c r="AG177" s="37" t="b">
        <f>IFERROR(__xludf.DUMMYFUNCTION("if(isblank(A177),,REGEXMATCH(B177,""^D *vs\. D *$""))"),FALSE)</f>
        <v>0</v>
      </c>
      <c r="AH177" s="37" t="b">
        <f>IFERROR(__xludf.DUMMYFUNCTION("if(isblank(A177),,REGEXMATCH(B177,""(^U *vs\. D *$)|(^D *vs\. U *$)""))"),FALSE)</f>
        <v>0</v>
      </c>
      <c r="AI177" s="37" t="b">
        <f>IFERROR(__xludf.DUMMYFUNCTION("if(isblank(A177),,REGEXMATCH(B177,""^U *vs\. U *$""))"),FALSE)</f>
        <v>0</v>
      </c>
      <c r="AJ177" s="37" t="b">
        <f>IFERROR(__xludf.DUMMYFUNCTION("if(isblank(A177),,REGEXMATCH(B177,""^((I ?vs\. ?(D ?I|I ?D))|((D ?I|I ?D) ?vs\. ?I)) *$""))"),FALSE)</f>
        <v>0</v>
      </c>
      <c r="AK177" s="37" t="b">
        <f>IFERROR(__xludf.DUMMYFUNCTION("if(isblank(A177),,REGEXMATCH(B177,""^((D ?vs\. ?(D ?I|I ?D))|((D ?I|I ?D) ?vs\. ?D)) *$""))"),FALSE)</f>
        <v>0</v>
      </c>
      <c r="AL177" s="37" t="b">
        <f>IFERROR(__xludf.DUMMYFUNCTION("if(isblank(A177),,REGEXMATCH(B177,""^((U ?vs\. ?(D ?I|I ?D))|((D ?I|I ?D) ?vs\. ?U)) *$""))"),FALSE)</f>
        <v>0</v>
      </c>
      <c r="AM177" s="37" t="b">
        <f>IFERROR(__xludf.DUMMYFUNCTION("if(isblank(A177),,REGEXMATCH(B177,""^((I ?vs\. ?(U ?I|I ?U))|((U ?I|I ?U) ?vs\. ?I)) *$""))"),FALSE)</f>
        <v>0</v>
      </c>
      <c r="AN177" s="37" t="b">
        <f>IFERROR(__xludf.DUMMYFUNCTION("if(isblank(A177),,REGEXMATCH(B177,""^((D ?vs\. ?(U ?I|I ?U))|((U ?I|I ?U) ?vs\. ?D)) *$""))"),FALSE)</f>
        <v>0</v>
      </c>
      <c r="AO177" s="37" t="b">
        <f>IFERROR(__xludf.DUMMYFUNCTION("if(isblank(A177),,REGEXMATCH(B177,""^((U ?vs\. ?(U ?I|I ?U))|((U ?I|I ?U) ?vs\. ?U)) *$""))"),FALSE)</f>
        <v>0</v>
      </c>
      <c r="AP177" s="37" t="b">
        <f>IFERROR(__xludf.DUMMYFUNCTION("if(isblank(A177),,REGEXMATCH(B177,""^((I ?vs\. ?(U ?D|D ?U))|((D ?U|U ?D) ?vs\. ?I)) *$""))"),FALSE)</f>
        <v>0</v>
      </c>
      <c r="AQ177" s="37" t="b">
        <f>IFERROR(__xludf.DUMMYFUNCTION("if(isblank(A177),,REGEXMATCH(B177,""^((D ?vs\. ?(U ?D|D ?U))|((D ?U|U ?D) ?vs\. ?D)) *$""))"),FALSE)</f>
        <v>0</v>
      </c>
      <c r="AR177" s="37" t="b">
        <f>IFERROR(__xludf.DUMMYFUNCTION("if(isblank(A177),,REGEXMATCH(B177,""^((U ?vs\. ?(U ?D|D ?U))|((D ?U|U ?D) ?vs\. ?U)) *$""))"),FALSE)</f>
        <v>0</v>
      </c>
      <c r="AS177" s="37" t="b">
        <f>IFERROR(__xludf.DUMMYFUNCTION("if(isblank(A177),,REGEXMATCH(B177,""^((D ?I|I ?D) ?vs\. ?(D ?I|I ?D)) *$""))"),FALSE)</f>
        <v>0</v>
      </c>
      <c r="AT177" s="37" t="b">
        <f>IFERROR(__xludf.DUMMYFUNCTION("if(isblank(A177),,REGEXMATCH(B177,""^((D ?I|I ?D) ?vs\. ?(U ?I|I ?U))|((U ?I|I ?U) ?vs\. ?(D ?I|I ?D)) *$""))"),FALSE)</f>
        <v>0</v>
      </c>
      <c r="AU177" s="37" t="b">
        <f>IFERROR(__xludf.DUMMYFUNCTION("if(isblank(A177),,REGEXMATCH(B177,""^((D ?I|I ?D) ?vs\. ?(U ?D|D ?U))|((U ?D|D ?U) ?vs\. ?(D ?I|I ?D)) *$""))"),FALSE)</f>
        <v>0</v>
      </c>
      <c r="AV177" s="37" t="b">
        <f>IFERROR(__xludf.DUMMYFUNCTION("if(isblank(A177),,REGEXMATCH(B177,""^((U ?I|I ?U) ?vs\. ?(U ?I|I ?U)) *$""))"),FALSE)</f>
        <v>0</v>
      </c>
    </row>
    <row r="178" ht="26.25" customHeight="1">
      <c r="A178" s="79" t="str">
        <f>Paper_Textual_Conflict!M178</f>
        <v>D I + I
Origin(D I vs. I)</v>
      </c>
      <c r="B178" s="37" t="str">
        <f>IFERROR(__xludf.DUMMYFUNCTION("if(isblank(A178),,regexextract(REGEXEXTRACT(A178,""^.*""),""^[^(]*""))"),"D I + I")</f>
        <v>D I + I</v>
      </c>
      <c r="C178" s="37" t="b">
        <f>IFERROR(__xludf.DUMMYFUNCTION("if(isblank(A178),,REGEXMATCH(B178,"".*\+.*"") )"),TRUE)</f>
        <v>1</v>
      </c>
      <c r="D178" s="37" t="b">
        <f>IFERROR(__xludf.DUMMYFUNCTION("if(isblank(A178),,REGEXMATCH(B178,"".*vs.*"") )"),FALSE)</f>
        <v>0</v>
      </c>
      <c r="E178" s="37" t="b">
        <f>Paper_Textual_Conflict!H178</f>
        <v>0</v>
      </c>
      <c r="F178" s="37" t="str">
        <f>Paper_Textual_Conflict!Q178</f>
        <v>Non-Java</v>
      </c>
      <c r="G178" s="33">
        <v>178.0</v>
      </c>
      <c r="H178" s="37" t="b">
        <f>IFERROR(__xludf.DUMMYFUNCTION("if(isblank(A178),,REGEXMATCH(B178,""^I *\+ I *$""))"),FALSE)</f>
        <v>0</v>
      </c>
      <c r="I178" s="37" t="b">
        <f>IFERROR(__xludf.DUMMYFUNCTION("if(isblank(A178),,REGEXMATCH(B178,""(^I *\+ D *$)|(^D *\+ I *$)""))"),FALSE)</f>
        <v>0</v>
      </c>
      <c r="J178" s="37" t="b">
        <f>IFERROR(__xludf.DUMMYFUNCTION("if(isblank(A178),,REGEXMATCH(B178,""(^I *\+ U *$)|(^U *\+ I *$)""))"),FALSE)</f>
        <v>0</v>
      </c>
      <c r="K178" s="37" t="b">
        <f>IFERROR(__xludf.DUMMYFUNCTION("if(isblank(A178),,REGEXMATCH(B178,""(^I *\+ N *$)|(^N *\+ I *$)"") )"),FALSE)</f>
        <v>0</v>
      </c>
      <c r="L178" s="37" t="b">
        <f>IFERROR(__xludf.DUMMYFUNCTION("if(isblank(A178),,REGEXMATCH(B178,""^D *\+ D *$""))"),FALSE)</f>
        <v>0</v>
      </c>
      <c r="M178" s="37" t="b">
        <f>IFERROR(__xludf.DUMMYFUNCTION("if(isblank(A178),,REGEXMATCH(B178,""(^U *\+ D *$)|(^D *\+ U *$)""))"),FALSE)</f>
        <v>0</v>
      </c>
      <c r="N178" s="37" t="b">
        <f>IFERROR(__xludf.DUMMYFUNCTION("if(isblank(A178),,REGEXMATCH(B178,""(^N *\+ D *$)|(^D *\+ N *$)""))"),FALSE)</f>
        <v>0</v>
      </c>
      <c r="O178" s="37" t="b">
        <f>IFERROR(__xludf.DUMMYFUNCTION("if(isblank(A178),,REGEXMATCH(B178,""^U *\+ U *$""))"),FALSE)</f>
        <v>0</v>
      </c>
      <c r="P178" s="37" t="b">
        <f>IFERROR(__xludf.DUMMYFUNCTION("if(isblank(A178),,REGEXMATCH(B178,""(^U *\+ N *$)|(^N *\+ U *$)""))"),FALSE)</f>
        <v>0</v>
      </c>
      <c r="Q178" s="37" t="b">
        <f>IFERROR(__xludf.DUMMYFUNCTION("if(isblank(A178),,REGEXMATCH(B178,""^((I ?\+ ?(D ?I|I ?D))|((D ?I|I ?D) ?\+ ?I)) *$""))"),TRUE)</f>
        <v>1</v>
      </c>
      <c r="R178" s="37" t="b">
        <f>IFERROR(__xludf.DUMMYFUNCTION("if(isblank(A178),,REGEXMATCH(B178,""^((D ?\+ ?(D ?I|I ?D))|((D ?I|I ?D) ?\+ ?D)) *$""))"),FALSE)</f>
        <v>0</v>
      </c>
      <c r="S178" s="37" t="b">
        <f>IFERROR(__xludf.DUMMYFUNCTION("if(isblank(A178),,REGEXMATCH(B178,""^((U ?\+ ?(D ?I|I ?D))|((D ?I|I ?D) ?\+ ?U)) *$""))"),FALSE)</f>
        <v>0</v>
      </c>
      <c r="T178" s="37" t="b">
        <f>IFERROR(__xludf.DUMMYFUNCTION("if(isblank(A178),,REGEXMATCH(B178,""^((N ?\+ ?(D ?I|I ?D))|((D ?I|I ?D) ?\+ ?N)) *$""))"),FALSE)</f>
        <v>0</v>
      </c>
      <c r="U178" s="37" t="b">
        <f>IFERROR(__xludf.DUMMYFUNCTION("if(isblank(A178),,REGEXMATCH(B178,""^((I ?\+ ?(U ?I|I ?U))|((I ?U|U ?I) ?\+ ?I)) *$""))"),FALSE)</f>
        <v>0</v>
      </c>
      <c r="V178" s="37" t="b">
        <f>IFERROR(__xludf.DUMMYFUNCTION("if(isblank(A178),,REGEXMATCH(B178,""^((D ?\+ ?(U ?I|I ?U))|((I ?U|U ?I) ?\+ ?D)) *$""))"),FALSE)</f>
        <v>0</v>
      </c>
      <c r="W178" s="37" t="b">
        <f>IFERROR(__xludf.DUMMYFUNCTION("if(isblank(A178),,REGEXMATCH(B178,""^((U ?\+ ?(U ?I|I ?U))|((I ?U|U ?I) ?\+ ?U)) *$""))"),FALSE)</f>
        <v>0</v>
      </c>
      <c r="X178" s="37" t="b">
        <f>IFERROR(__xludf.DUMMYFUNCTION("if(isblank(A178),,REGEXMATCH(B178,""^((N ?\+ ?(U ?I|I ?U))|((I ?U|U ?I) ?\+ ?N)) *$""))"),FALSE)</f>
        <v>0</v>
      </c>
      <c r="Y178" s="37" t="b">
        <f>IFERROR(__xludf.DUMMYFUNCTION("if(isblank(A178),,REGEXMATCH(B178,""^((I ?\+ ?(U ?D|D ?U))|((D ?U|U ?D) ?\+ ?I)) *$""))"),FALSE)</f>
        <v>0</v>
      </c>
      <c r="Z178" s="37" t="b">
        <f>IFERROR(__xludf.DUMMYFUNCTION("if(isblank(A178),,REGEXMATCH(B178,""^((D ?\+ ?(U ?D|D ?U))|((D ?U|U ?D) ?\+ ?D)) *$""))"),FALSE)</f>
        <v>0</v>
      </c>
      <c r="AA178" s="37" t="b">
        <f>IFERROR(__xludf.DUMMYFUNCTION("if(isblank(A178),,REGEXMATCH(B178,""^((U ?\+ ?(U ?D|D ?U))|((D ?U|U ?D) ?\+ ?U)) *$""))"),FALSE)</f>
        <v>0</v>
      </c>
      <c r="AB178" s="37" t="b">
        <f>IFERROR(__xludf.DUMMYFUNCTION("if(isblank(A178),,REGEXMATCH(B178,""^((D ?I|I ?D) ?\+ ?(D ?I|I ?D)) *$""))"),FALSE)</f>
        <v>0</v>
      </c>
      <c r="AC178" s="37" t="b">
        <f>IFERROR(__xludf.DUMMYFUNCTION("if(isblank(A178),,REGEXMATCH(B178,""^((D ?I|I ?D) ?\+ ?(U ?I|I ?U))|((U ?I|I ?U) ?\+ ?(D ?I|I ?D)) *$""))"),FALSE)</f>
        <v>0</v>
      </c>
      <c r="AD178" s="37" t="b">
        <f>IFERROR(__xludf.DUMMYFUNCTION("if(isblank(A178),,REGEXMATCH(B178,""^I *vs\. I *$""))"),FALSE)</f>
        <v>0</v>
      </c>
      <c r="AE178" s="37" t="b">
        <f>IFERROR(__xludf.DUMMYFUNCTION("if(isblank(A178),,REGEXMATCH(B178,""(^I *vs\. D *$)|(^D *vs\. I *$)""))"),FALSE)</f>
        <v>0</v>
      </c>
      <c r="AF178" s="37" t="b">
        <f>IFERROR(__xludf.DUMMYFUNCTION("if(isblank(A178),,REGEXMATCH(B178,""(^I *vs\. U *$)|(^U *vs\. I *$)""))"),FALSE)</f>
        <v>0</v>
      </c>
      <c r="AG178" s="37" t="b">
        <f>IFERROR(__xludf.DUMMYFUNCTION("if(isblank(A178),,REGEXMATCH(B178,""^D *vs\. D *$""))"),FALSE)</f>
        <v>0</v>
      </c>
      <c r="AH178" s="37" t="b">
        <f>IFERROR(__xludf.DUMMYFUNCTION("if(isblank(A178),,REGEXMATCH(B178,""(^U *vs\. D *$)|(^D *vs\. U *$)""))"),FALSE)</f>
        <v>0</v>
      </c>
      <c r="AI178" s="37" t="b">
        <f>IFERROR(__xludf.DUMMYFUNCTION("if(isblank(A178),,REGEXMATCH(B178,""^U *vs\. U *$""))"),FALSE)</f>
        <v>0</v>
      </c>
      <c r="AJ178" s="37" t="b">
        <f>IFERROR(__xludf.DUMMYFUNCTION("if(isblank(A178),,REGEXMATCH(B178,""^((I ?vs\. ?(D ?I|I ?D))|((D ?I|I ?D) ?vs\. ?I)) *$""))"),FALSE)</f>
        <v>0</v>
      </c>
      <c r="AK178" s="37" t="b">
        <f>IFERROR(__xludf.DUMMYFUNCTION("if(isblank(A178),,REGEXMATCH(B178,""^((D ?vs\. ?(D ?I|I ?D))|((D ?I|I ?D) ?vs\. ?D)) *$""))"),FALSE)</f>
        <v>0</v>
      </c>
      <c r="AL178" s="37" t="b">
        <f>IFERROR(__xludf.DUMMYFUNCTION("if(isblank(A178),,REGEXMATCH(B178,""^((U ?vs\. ?(D ?I|I ?D))|((D ?I|I ?D) ?vs\. ?U)) *$""))"),FALSE)</f>
        <v>0</v>
      </c>
      <c r="AM178" s="37" t="b">
        <f>IFERROR(__xludf.DUMMYFUNCTION("if(isblank(A178),,REGEXMATCH(B178,""^((I ?vs\. ?(U ?I|I ?U))|((U ?I|I ?U) ?vs\. ?I)) *$""))"),FALSE)</f>
        <v>0</v>
      </c>
      <c r="AN178" s="37" t="b">
        <f>IFERROR(__xludf.DUMMYFUNCTION("if(isblank(A178),,REGEXMATCH(B178,""^((D ?vs\. ?(U ?I|I ?U))|((U ?I|I ?U) ?vs\. ?D)) *$""))"),FALSE)</f>
        <v>0</v>
      </c>
      <c r="AO178" s="37" t="b">
        <f>IFERROR(__xludf.DUMMYFUNCTION("if(isblank(A178),,REGEXMATCH(B178,""^((U ?vs\. ?(U ?I|I ?U))|((U ?I|I ?U) ?vs\. ?U)) *$""))"),FALSE)</f>
        <v>0</v>
      </c>
      <c r="AP178" s="37" t="b">
        <f>IFERROR(__xludf.DUMMYFUNCTION("if(isblank(A178),,REGEXMATCH(B178,""^((I ?vs\. ?(U ?D|D ?U))|((D ?U|U ?D) ?vs\. ?I)) *$""))"),FALSE)</f>
        <v>0</v>
      </c>
      <c r="AQ178" s="37" t="b">
        <f>IFERROR(__xludf.DUMMYFUNCTION("if(isblank(A178),,REGEXMATCH(B178,""^((D ?vs\. ?(U ?D|D ?U))|((D ?U|U ?D) ?vs\. ?D)) *$""))"),FALSE)</f>
        <v>0</v>
      </c>
      <c r="AR178" s="37" t="b">
        <f>IFERROR(__xludf.DUMMYFUNCTION("if(isblank(A178),,REGEXMATCH(B178,""^((U ?vs\. ?(U ?D|D ?U))|((D ?U|U ?D) ?vs\. ?U)) *$""))"),FALSE)</f>
        <v>0</v>
      </c>
      <c r="AS178" s="37" t="b">
        <f>IFERROR(__xludf.DUMMYFUNCTION("if(isblank(A178),,REGEXMATCH(B178,""^((D ?I|I ?D) ?vs\. ?(D ?I|I ?D)) *$""))"),FALSE)</f>
        <v>0</v>
      </c>
      <c r="AT178" s="37" t="b">
        <f>IFERROR(__xludf.DUMMYFUNCTION("if(isblank(A178),,REGEXMATCH(B178,""^((D ?I|I ?D) ?vs\. ?(U ?I|I ?U))|((U ?I|I ?U) ?vs\. ?(D ?I|I ?D)) *$""))"),FALSE)</f>
        <v>0</v>
      </c>
      <c r="AU178" s="37" t="b">
        <f>IFERROR(__xludf.DUMMYFUNCTION("if(isblank(A178),,REGEXMATCH(B178,""^((D ?I|I ?D) ?vs\. ?(U ?D|D ?U))|((U ?D|D ?U) ?vs\. ?(D ?I|I ?D)) *$""))"),FALSE)</f>
        <v>0</v>
      </c>
      <c r="AV178" s="37" t="b">
        <f>IFERROR(__xludf.DUMMYFUNCTION("if(isblank(A178),,REGEXMATCH(B178,""^((U ?I|I ?U) ?vs\. ?(U ?I|I ?U)) *$""))"),FALSE)</f>
        <v>0</v>
      </c>
    </row>
    <row r="179" ht="26.25" customHeight="1">
      <c r="A179" s="79" t="str">
        <f>Paper_Textual_Conflict!M179</f>
        <v>I vs. I</v>
      </c>
      <c r="B179" s="37" t="str">
        <f>IFERROR(__xludf.DUMMYFUNCTION("if(isblank(A179),,regexextract(REGEXEXTRACT(A179,""^.*""),""^[^(]*""))"),"I vs. I")</f>
        <v>I vs. I</v>
      </c>
      <c r="C179" s="37" t="b">
        <f>IFERROR(__xludf.DUMMYFUNCTION("if(isblank(A179),,REGEXMATCH(B179,"".*\+.*"") )"),FALSE)</f>
        <v>0</v>
      </c>
      <c r="D179" s="37" t="b">
        <f>IFERROR(__xludf.DUMMYFUNCTION("if(isblank(A179),,REGEXMATCH(B179,"".*vs.*"") )"),TRUE)</f>
        <v>1</v>
      </c>
      <c r="E179" s="37" t="b">
        <f>Paper_Textual_Conflict!H179</f>
        <v>1</v>
      </c>
      <c r="F179" s="37" t="str">
        <f>Paper_Textual_Conflict!Q179</f>
        <v>Java</v>
      </c>
      <c r="G179" s="33">
        <v>179.0</v>
      </c>
      <c r="H179" s="37" t="b">
        <f>IFERROR(__xludf.DUMMYFUNCTION("if(isblank(A179),,REGEXMATCH(B179,""^I *\+ I *$""))"),FALSE)</f>
        <v>0</v>
      </c>
      <c r="I179" s="37" t="b">
        <f>IFERROR(__xludf.DUMMYFUNCTION("if(isblank(A179),,REGEXMATCH(B179,""(^I *\+ D *$)|(^D *\+ I *$)""))"),FALSE)</f>
        <v>0</v>
      </c>
      <c r="J179" s="37" t="b">
        <f>IFERROR(__xludf.DUMMYFUNCTION("if(isblank(A179),,REGEXMATCH(B179,""(^I *\+ U *$)|(^U *\+ I *$)""))"),FALSE)</f>
        <v>0</v>
      </c>
      <c r="K179" s="37" t="b">
        <f>IFERROR(__xludf.DUMMYFUNCTION("if(isblank(A179),,REGEXMATCH(B179,""(^I *\+ N *$)|(^N *\+ I *$)"") )"),FALSE)</f>
        <v>0</v>
      </c>
      <c r="L179" s="37" t="b">
        <f>IFERROR(__xludf.DUMMYFUNCTION("if(isblank(A179),,REGEXMATCH(B179,""^D *\+ D *$""))"),FALSE)</f>
        <v>0</v>
      </c>
      <c r="M179" s="37" t="b">
        <f>IFERROR(__xludf.DUMMYFUNCTION("if(isblank(A179),,REGEXMATCH(B179,""(^U *\+ D *$)|(^D *\+ U *$)""))"),FALSE)</f>
        <v>0</v>
      </c>
      <c r="N179" s="37" t="b">
        <f>IFERROR(__xludf.DUMMYFUNCTION("if(isblank(A179),,REGEXMATCH(B179,""(^N *\+ D *$)|(^D *\+ N *$)""))"),FALSE)</f>
        <v>0</v>
      </c>
      <c r="O179" s="37" t="b">
        <f>IFERROR(__xludf.DUMMYFUNCTION("if(isblank(A179),,REGEXMATCH(B179,""^U *\+ U *$""))"),FALSE)</f>
        <v>0</v>
      </c>
      <c r="P179" s="37" t="b">
        <f>IFERROR(__xludf.DUMMYFUNCTION("if(isblank(A179),,REGEXMATCH(B179,""(^U *\+ N *$)|(^N *\+ U *$)""))"),FALSE)</f>
        <v>0</v>
      </c>
      <c r="Q179" s="37" t="b">
        <f>IFERROR(__xludf.DUMMYFUNCTION("if(isblank(A179),,REGEXMATCH(B179,""^((I ?\+ ?(D ?I|I ?D))|((D ?I|I ?D) ?\+ ?I)) *$""))"),FALSE)</f>
        <v>0</v>
      </c>
      <c r="R179" s="37" t="b">
        <f>IFERROR(__xludf.DUMMYFUNCTION("if(isblank(A179),,REGEXMATCH(B179,""^((D ?\+ ?(D ?I|I ?D))|((D ?I|I ?D) ?\+ ?D)) *$""))"),FALSE)</f>
        <v>0</v>
      </c>
      <c r="S179" s="37" t="b">
        <f>IFERROR(__xludf.DUMMYFUNCTION("if(isblank(A179),,REGEXMATCH(B179,""^((U ?\+ ?(D ?I|I ?D))|((D ?I|I ?D) ?\+ ?U)) *$""))"),FALSE)</f>
        <v>0</v>
      </c>
      <c r="T179" s="37" t="b">
        <f>IFERROR(__xludf.DUMMYFUNCTION("if(isblank(A179),,REGEXMATCH(B179,""^((N ?\+ ?(D ?I|I ?D))|((D ?I|I ?D) ?\+ ?N)) *$""))"),FALSE)</f>
        <v>0</v>
      </c>
      <c r="U179" s="37" t="b">
        <f>IFERROR(__xludf.DUMMYFUNCTION("if(isblank(A179),,REGEXMATCH(B179,""^((I ?\+ ?(U ?I|I ?U))|((I ?U|U ?I) ?\+ ?I)) *$""))"),FALSE)</f>
        <v>0</v>
      </c>
      <c r="V179" s="37" t="b">
        <f>IFERROR(__xludf.DUMMYFUNCTION("if(isblank(A179),,REGEXMATCH(B179,""^((D ?\+ ?(U ?I|I ?U))|((I ?U|U ?I) ?\+ ?D)) *$""))"),FALSE)</f>
        <v>0</v>
      </c>
      <c r="W179" s="37" t="b">
        <f>IFERROR(__xludf.DUMMYFUNCTION("if(isblank(A179),,REGEXMATCH(B179,""^((U ?\+ ?(U ?I|I ?U))|((I ?U|U ?I) ?\+ ?U)) *$""))"),FALSE)</f>
        <v>0</v>
      </c>
      <c r="X179" s="37" t="b">
        <f>IFERROR(__xludf.DUMMYFUNCTION("if(isblank(A179),,REGEXMATCH(B179,""^((N ?\+ ?(U ?I|I ?U))|((I ?U|U ?I) ?\+ ?N)) *$""))"),FALSE)</f>
        <v>0</v>
      </c>
      <c r="Y179" s="37" t="b">
        <f>IFERROR(__xludf.DUMMYFUNCTION("if(isblank(A179),,REGEXMATCH(B179,""^((I ?\+ ?(U ?D|D ?U))|((D ?U|U ?D) ?\+ ?I)) *$""))"),FALSE)</f>
        <v>0</v>
      </c>
      <c r="Z179" s="37" t="b">
        <f>IFERROR(__xludf.DUMMYFUNCTION("if(isblank(A179),,REGEXMATCH(B179,""^((D ?\+ ?(U ?D|D ?U))|((D ?U|U ?D) ?\+ ?D)) *$""))"),FALSE)</f>
        <v>0</v>
      </c>
      <c r="AA179" s="37" t="b">
        <f>IFERROR(__xludf.DUMMYFUNCTION("if(isblank(A179),,REGEXMATCH(B179,""^((U ?\+ ?(U ?D|D ?U))|((D ?U|U ?D) ?\+ ?U)) *$""))"),FALSE)</f>
        <v>0</v>
      </c>
      <c r="AB179" s="37" t="b">
        <f>IFERROR(__xludf.DUMMYFUNCTION("if(isblank(A179),,REGEXMATCH(B179,""^((D ?I|I ?D) ?\+ ?(D ?I|I ?D)) *$""))"),FALSE)</f>
        <v>0</v>
      </c>
      <c r="AC179" s="37" t="b">
        <f>IFERROR(__xludf.DUMMYFUNCTION("if(isblank(A179),,REGEXMATCH(B179,""^((D ?I|I ?D) ?\+ ?(U ?I|I ?U))|((U ?I|I ?U) ?\+ ?(D ?I|I ?D)) *$""))"),FALSE)</f>
        <v>0</v>
      </c>
      <c r="AD179" s="37" t="b">
        <f>IFERROR(__xludf.DUMMYFUNCTION("if(isblank(A179),,REGEXMATCH(B179,""^I *vs\. I *$""))"),TRUE)</f>
        <v>1</v>
      </c>
      <c r="AE179" s="37" t="b">
        <f>IFERROR(__xludf.DUMMYFUNCTION("if(isblank(A179),,REGEXMATCH(B179,""(^I *vs\. D *$)|(^D *vs\. I *$)""))"),FALSE)</f>
        <v>0</v>
      </c>
      <c r="AF179" s="37" t="b">
        <f>IFERROR(__xludf.DUMMYFUNCTION("if(isblank(A179),,REGEXMATCH(B179,""(^I *vs\. U *$)|(^U *vs\. I *$)""))"),FALSE)</f>
        <v>0</v>
      </c>
      <c r="AG179" s="37" t="b">
        <f>IFERROR(__xludf.DUMMYFUNCTION("if(isblank(A179),,REGEXMATCH(B179,""^D *vs\. D *$""))"),FALSE)</f>
        <v>0</v>
      </c>
      <c r="AH179" s="37" t="b">
        <f>IFERROR(__xludf.DUMMYFUNCTION("if(isblank(A179),,REGEXMATCH(B179,""(^U *vs\. D *$)|(^D *vs\. U *$)""))"),FALSE)</f>
        <v>0</v>
      </c>
      <c r="AI179" s="37" t="b">
        <f>IFERROR(__xludf.DUMMYFUNCTION("if(isblank(A179),,REGEXMATCH(B179,""^U *vs\. U *$""))"),FALSE)</f>
        <v>0</v>
      </c>
      <c r="AJ179" s="37" t="b">
        <f>IFERROR(__xludf.DUMMYFUNCTION("if(isblank(A179),,REGEXMATCH(B179,""^((I ?vs\. ?(D ?I|I ?D))|((D ?I|I ?D) ?vs\. ?I)) *$""))"),FALSE)</f>
        <v>0</v>
      </c>
      <c r="AK179" s="37" t="b">
        <f>IFERROR(__xludf.DUMMYFUNCTION("if(isblank(A179),,REGEXMATCH(B179,""^((D ?vs\. ?(D ?I|I ?D))|((D ?I|I ?D) ?vs\. ?D)) *$""))"),FALSE)</f>
        <v>0</v>
      </c>
      <c r="AL179" s="37" t="b">
        <f>IFERROR(__xludf.DUMMYFUNCTION("if(isblank(A179),,REGEXMATCH(B179,""^((U ?vs\. ?(D ?I|I ?D))|((D ?I|I ?D) ?vs\. ?U)) *$""))"),FALSE)</f>
        <v>0</v>
      </c>
      <c r="AM179" s="37" t="b">
        <f>IFERROR(__xludf.DUMMYFUNCTION("if(isblank(A179),,REGEXMATCH(B179,""^((I ?vs\. ?(U ?I|I ?U))|((U ?I|I ?U) ?vs\. ?I)) *$""))"),FALSE)</f>
        <v>0</v>
      </c>
      <c r="AN179" s="37" t="b">
        <f>IFERROR(__xludf.DUMMYFUNCTION("if(isblank(A179),,REGEXMATCH(B179,""^((D ?vs\. ?(U ?I|I ?U))|((U ?I|I ?U) ?vs\. ?D)) *$""))"),FALSE)</f>
        <v>0</v>
      </c>
      <c r="AO179" s="37" t="b">
        <f>IFERROR(__xludf.DUMMYFUNCTION("if(isblank(A179),,REGEXMATCH(B179,""^((U ?vs\. ?(U ?I|I ?U))|((U ?I|I ?U) ?vs\. ?U)) *$""))"),FALSE)</f>
        <v>0</v>
      </c>
      <c r="AP179" s="37" t="b">
        <f>IFERROR(__xludf.DUMMYFUNCTION("if(isblank(A179),,REGEXMATCH(B179,""^((I ?vs\. ?(U ?D|D ?U))|((D ?U|U ?D) ?vs\. ?I)) *$""))"),FALSE)</f>
        <v>0</v>
      </c>
      <c r="AQ179" s="37" t="b">
        <f>IFERROR(__xludf.DUMMYFUNCTION("if(isblank(A179),,REGEXMATCH(B179,""^((D ?vs\. ?(U ?D|D ?U))|((D ?U|U ?D) ?vs\. ?D)) *$""))"),FALSE)</f>
        <v>0</v>
      </c>
      <c r="AR179" s="37" t="b">
        <f>IFERROR(__xludf.DUMMYFUNCTION("if(isblank(A179),,REGEXMATCH(B179,""^((U ?vs\. ?(U ?D|D ?U))|((D ?U|U ?D) ?vs\. ?U)) *$""))"),FALSE)</f>
        <v>0</v>
      </c>
      <c r="AS179" s="37" t="b">
        <f>IFERROR(__xludf.DUMMYFUNCTION("if(isblank(A179),,REGEXMATCH(B179,""^((D ?I|I ?D) ?vs\. ?(D ?I|I ?D)) *$""))"),FALSE)</f>
        <v>0</v>
      </c>
      <c r="AT179" s="37" t="b">
        <f>IFERROR(__xludf.DUMMYFUNCTION("if(isblank(A179),,REGEXMATCH(B179,""^((D ?I|I ?D) ?vs\. ?(U ?I|I ?U))|((U ?I|I ?U) ?vs\. ?(D ?I|I ?D)) *$""))"),FALSE)</f>
        <v>0</v>
      </c>
      <c r="AU179" s="37" t="b">
        <f>IFERROR(__xludf.DUMMYFUNCTION("if(isblank(A179),,REGEXMATCH(B179,""^((D ?I|I ?D) ?vs\. ?(U ?D|D ?U))|((U ?D|D ?U) ?vs\. ?(D ?I|I ?D)) *$""))"),FALSE)</f>
        <v>0</v>
      </c>
      <c r="AV179" s="37" t="b">
        <f>IFERROR(__xludf.DUMMYFUNCTION("if(isblank(A179),,REGEXMATCH(B179,""^((U ?I|I ?U) ?vs\. ?(U ?I|I ?U)) *$""))"),FALSE)</f>
        <v>0</v>
      </c>
    </row>
    <row r="180" ht="26.25" customHeight="1">
      <c r="A180" s="79" t="str">
        <f>Paper_Textual_Conflict!M180</f>
        <v>I vs. I (.properties)</v>
      </c>
      <c r="B180" s="37" t="str">
        <f>IFERROR(__xludf.DUMMYFUNCTION("if(isblank(A180),,regexextract(REGEXEXTRACT(A180,""^.*""),""^[^(]*""))"),"I vs. I ")</f>
        <v>I vs. I </v>
      </c>
      <c r="C180" s="37" t="b">
        <f>IFERROR(__xludf.DUMMYFUNCTION("if(isblank(A180),,REGEXMATCH(B180,"".*\+.*"") )"),FALSE)</f>
        <v>0</v>
      </c>
      <c r="D180" s="37" t="b">
        <f>IFERROR(__xludf.DUMMYFUNCTION("if(isblank(A180),,REGEXMATCH(B180,"".*vs.*"") )"),TRUE)</f>
        <v>1</v>
      </c>
      <c r="E180" s="37" t="b">
        <f>Paper_Textual_Conflict!H180</f>
        <v>1</v>
      </c>
      <c r="F180" s="37" t="str">
        <f>Paper_Textual_Conflict!Q180</f>
        <v>Non-Java</v>
      </c>
      <c r="G180" s="33">
        <v>180.0</v>
      </c>
      <c r="H180" s="37" t="b">
        <f>IFERROR(__xludf.DUMMYFUNCTION("if(isblank(A180),,REGEXMATCH(B180,""^I *\+ I *$""))"),FALSE)</f>
        <v>0</v>
      </c>
      <c r="I180" s="37" t="b">
        <f>IFERROR(__xludf.DUMMYFUNCTION("if(isblank(A180),,REGEXMATCH(B180,""(^I *\+ D *$)|(^D *\+ I *$)""))"),FALSE)</f>
        <v>0</v>
      </c>
      <c r="J180" s="37" t="b">
        <f>IFERROR(__xludf.DUMMYFUNCTION("if(isblank(A180),,REGEXMATCH(B180,""(^I *\+ U *$)|(^U *\+ I *$)""))"),FALSE)</f>
        <v>0</v>
      </c>
      <c r="K180" s="37" t="b">
        <f>IFERROR(__xludf.DUMMYFUNCTION("if(isblank(A180),,REGEXMATCH(B180,""(^I *\+ N *$)|(^N *\+ I *$)"") )"),FALSE)</f>
        <v>0</v>
      </c>
      <c r="L180" s="37" t="b">
        <f>IFERROR(__xludf.DUMMYFUNCTION("if(isblank(A180),,REGEXMATCH(B180,""^D *\+ D *$""))"),FALSE)</f>
        <v>0</v>
      </c>
      <c r="M180" s="37" t="b">
        <f>IFERROR(__xludf.DUMMYFUNCTION("if(isblank(A180),,REGEXMATCH(B180,""(^U *\+ D *$)|(^D *\+ U *$)""))"),FALSE)</f>
        <v>0</v>
      </c>
      <c r="N180" s="37" t="b">
        <f>IFERROR(__xludf.DUMMYFUNCTION("if(isblank(A180),,REGEXMATCH(B180,""(^N *\+ D *$)|(^D *\+ N *$)""))"),FALSE)</f>
        <v>0</v>
      </c>
      <c r="O180" s="37" t="b">
        <f>IFERROR(__xludf.DUMMYFUNCTION("if(isblank(A180),,REGEXMATCH(B180,""^U *\+ U *$""))"),FALSE)</f>
        <v>0</v>
      </c>
      <c r="P180" s="37" t="b">
        <f>IFERROR(__xludf.DUMMYFUNCTION("if(isblank(A180),,REGEXMATCH(B180,""(^U *\+ N *$)|(^N *\+ U *$)""))"),FALSE)</f>
        <v>0</v>
      </c>
      <c r="Q180" s="37" t="b">
        <f>IFERROR(__xludf.DUMMYFUNCTION("if(isblank(A180),,REGEXMATCH(B180,""^((I ?\+ ?(D ?I|I ?D))|((D ?I|I ?D) ?\+ ?I)) *$""))"),FALSE)</f>
        <v>0</v>
      </c>
      <c r="R180" s="37" t="b">
        <f>IFERROR(__xludf.DUMMYFUNCTION("if(isblank(A180),,REGEXMATCH(B180,""^((D ?\+ ?(D ?I|I ?D))|((D ?I|I ?D) ?\+ ?D)) *$""))"),FALSE)</f>
        <v>0</v>
      </c>
      <c r="S180" s="37" t="b">
        <f>IFERROR(__xludf.DUMMYFUNCTION("if(isblank(A180),,REGEXMATCH(B180,""^((U ?\+ ?(D ?I|I ?D))|((D ?I|I ?D) ?\+ ?U)) *$""))"),FALSE)</f>
        <v>0</v>
      </c>
      <c r="T180" s="37" t="b">
        <f>IFERROR(__xludf.DUMMYFUNCTION("if(isblank(A180),,REGEXMATCH(B180,""^((N ?\+ ?(D ?I|I ?D))|((D ?I|I ?D) ?\+ ?N)) *$""))"),FALSE)</f>
        <v>0</v>
      </c>
      <c r="U180" s="37" t="b">
        <f>IFERROR(__xludf.DUMMYFUNCTION("if(isblank(A180),,REGEXMATCH(B180,""^((I ?\+ ?(U ?I|I ?U))|((I ?U|U ?I) ?\+ ?I)) *$""))"),FALSE)</f>
        <v>0</v>
      </c>
      <c r="V180" s="37" t="b">
        <f>IFERROR(__xludf.DUMMYFUNCTION("if(isblank(A180),,REGEXMATCH(B180,""^((D ?\+ ?(U ?I|I ?U))|((I ?U|U ?I) ?\+ ?D)) *$""))"),FALSE)</f>
        <v>0</v>
      </c>
      <c r="W180" s="37" t="b">
        <f>IFERROR(__xludf.DUMMYFUNCTION("if(isblank(A180),,REGEXMATCH(B180,""^((U ?\+ ?(U ?I|I ?U))|((I ?U|U ?I) ?\+ ?U)) *$""))"),FALSE)</f>
        <v>0</v>
      </c>
      <c r="X180" s="37" t="b">
        <f>IFERROR(__xludf.DUMMYFUNCTION("if(isblank(A180),,REGEXMATCH(B180,""^((N ?\+ ?(U ?I|I ?U))|((I ?U|U ?I) ?\+ ?N)) *$""))"),FALSE)</f>
        <v>0</v>
      </c>
      <c r="Y180" s="37" t="b">
        <f>IFERROR(__xludf.DUMMYFUNCTION("if(isblank(A180),,REGEXMATCH(B180,""^((I ?\+ ?(U ?D|D ?U))|((D ?U|U ?D) ?\+ ?I)) *$""))"),FALSE)</f>
        <v>0</v>
      </c>
      <c r="Z180" s="37" t="b">
        <f>IFERROR(__xludf.DUMMYFUNCTION("if(isblank(A180),,REGEXMATCH(B180,""^((D ?\+ ?(U ?D|D ?U))|((D ?U|U ?D) ?\+ ?D)) *$""))"),FALSE)</f>
        <v>0</v>
      </c>
      <c r="AA180" s="37" t="b">
        <f>IFERROR(__xludf.DUMMYFUNCTION("if(isblank(A180),,REGEXMATCH(B180,""^((U ?\+ ?(U ?D|D ?U))|((D ?U|U ?D) ?\+ ?U)) *$""))"),FALSE)</f>
        <v>0</v>
      </c>
      <c r="AB180" s="37" t="b">
        <f>IFERROR(__xludf.DUMMYFUNCTION("if(isblank(A180),,REGEXMATCH(B180,""^((D ?I|I ?D) ?\+ ?(D ?I|I ?D)) *$""))"),FALSE)</f>
        <v>0</v>
      </c>
      <c r="AC180" s="37" t="b">
        <f>IFERROR(__xludf.DUMMYFUNCTION("if(isblank(A180),,REGEXMATCH(B180,""^((D ?I|I ?D) ?\+ ?(U ?I|I ?U))|((U ?I|I ?U) ?\+ ?(D ?I|I ?D)) *$""))"),FALSE)</f>
        <v>0</v>
      </c>
      <c r="AD180" s="37" t="b">
        <f>IFERROR(__xludf.DUMMYFUNCTION("if(isblank(A180),,REGEXMATCH(B180,""^I *vs\. I *$""))"),TRUE)</f>
        <v>1</v>
      </c>
      <c r="AE180" s="37" t="b">
        <f>IFERROR(__xludf.DUMMYFUNCTION("if(isblank(A180),,REGEXMATCH(B180,""(^I *vs\. D *$)|(^D *vs\. I *$)""))"),FALSE)</f>
        <v>0</v>
      </c>
      <c r="AF180" s="37" t="b">
        <f>IFERROR(__xludf.DUMMYFUNCTION("if(isblank(A180),,REGEXMATCH(B180,""(^I *vs\. U *$)|(^U *vs\. I *$)""))"),FALSE)</f>
        <v>0</v>
      </c>
      <c r="AG180" s="37" t="b">
        <f>IFERROR(__xludf.DUMMYFUNCTION("if(isblank(A180),,REGEXMATCH(B180,""^D *vs\. D *$""))"),FALSE)</f>
        <v>0</v>
      </c>
      <c r="AH180" s="37" t="b">
        <f>IFERROR(__xludf.DUMMYFUNCTION("if(isblank(A180),,REGEXMATCH(B180,""(^U *vs\. D *$)|(^D *vs\. U *$)""))"),FALSE)</f>
        <v>0</v>
      </c>
      <c r="AI180" s="37" t="b">
        <f>IFERROR(__xludf.DUMMYFUNCTION("if(isblank(A180),,REGEXMATCH(B180,""^U *vs\. U *$""))"),FALSE)</f>
        <v>0</v>
      </c>
      <c r="AJ180" s="37" t="b">
        <f>IFERROR(__xludf.DUMMYFUNCTION("if(isblank(A180),,REGEXMATCH(B180,""^((I ?vs\. ?(D ?I|I ?D))|((D ?I|I ?D) ?vs\. ?I)) *$""))"),FALSE)</f>
        <v>0</v>
      </c>
      <c r="AK180" s="37" t="b">
        <f>IFERROR(__xludf.DUMMYFUNCTION("if(isblank(A180),,REGEXMATCH(B180,""^((D ?vs\. ?(D ?I|I ?D))|((D ?I|I ?D) ?vs\. ?D)) *$""))"),FALSE)</f>
        <v>0</v>
      </c>
      <c r="AL180" s="37" t="b">
        <f>IFERROR(__xludf.DUMMYFUNCTION("if(isblank(A180),,REGEXMATCH(B180,""^((U ?vs\. ?(D ?I|I ?D))|((D ?I|I ?D) ?vs\. ?U)) *$""))"),FALSE)</f>
        <v>0</v>
      </c>
      <c r="AM180" s="37" t="b">
        <f>IFERROR(__xludf.DUMMYFUNCTION("if(isblank(A180),,REGEXMATCH(B180,""^((I ?vs\. ?(U ?I|I ?U))|((U ?I|I ?U) ?vs\. ?I)) *$""))"),FALSE)</f>
        <v>0</v>
      </c>
      <c r="AN180" s="37" t="b">
        <f>IFERROR(__xludf.DUMMYFUNCTION("if(isblank(A180),,REGEXMATCH(B180,""^((D ?vs\. ?(U ?I|I ?U))|((U ?I|I ?U) ?vs\. ?D)) *$""))"),FALSE)</f>
        <v>0</v>
      </c>
      <c r="AO180" s="37" t="b">
        <f>IFERROR(__xludf.DUMMYFUNCTION("if(isblank(A180),,REGEXMATCH(B180,""^((U ?vs\. ?(U ?I|I ?U))|((U ?I|I ?U) ?vs\. ?U)) *$""))"),FALSE)</f>
        <v>0</v>
      </c>
      <c r="AP180" s="37" t="b">
        <f>IFERROR(__xludf.DUMMYFUNCTION("if(isblank(A180),,REGEXMATCH(B180,""^((I ?vs\. ?(U ?D|D ?U))|((D ?U|U ?D) ?vs\. ?I)) *$""))"),FALSE)</f>
        <v>0</v>
      </c>
      <c r="AQ180" s="37" t="b">
        <f>IFERROR(__xludf.DUMMYFUNCTION("if(isblank(A180),,REGEXMATCH(B180,""^((D ?vs\. ?(U ?D|D ?U))|((D ?U|U ?D) ?vs\. ?D)) *$""))"),FALSE)</f>
        <v>0</v>
      </c>
      <c r="AR180" s="37" t="b">
        <f>IFERROR(__xludf.DUMMYFUNCTION("if(isblank(A180),,REGEXMATCH(B180,""^((U ?vs\. ?(U ?D|D ?U))|((D ?U|U ?D) ?vs\. ?U)) *$""))"),FALSE)</f>
        <v>0</v>
      </c>
      <c r="AS180" s="37" t="b">
        <f>IFERROR(__xludf.DUMMYFUNCTION("if(isblank(A180),,REGEXMATCH(B180,""^((D ?I|I ?D) ?vs\. ?(D ?I|I ?D)) *$""))"),FALSE)</f>
        <v>0</v>
      </c>
      <c r="AT180" s="37" t="b">
        <f>IFERROR(__xludf.DUMMYFUNCTION("if(isblank(A180),,REGEXMATCH(B180,""^((D ?I|I ?D) ?vs\. ?(U ?I|I ?U))|((U ?I|I ?U) ?vs\. ?(D ?I|I ?D)) *$""))"),FALSE)</f>
        <v>0</v>
      </c>
      <c r="AU180" s="37" t="b">
        <f>IFERROR(__xludf.DUMMYFUNCTION("if(isblank(A180),,REGEXMATCH(B180,""^((D ?I|I ?D) ?vs\. ?(U ?D|D ?U))|((U ?D|D ?U) ?vs\. ?(D ?I|I ?D)) *$""))"),FALSE)</f>
        <v>0</v>
      </c>
      <c r="AV180" s="37" t="b">
        <f>IFERROR(__xludf.DUMMYFUNCTION("if(isblank(A180),,REGEXMATCH(B180,""^((U ?I|I ?U) ?vs\. ?(U ?I|I ?U)) *$""))"),FALSE)</f>
        <v>0</v>
      </c>
    </row>
    <row r="181" ht="26.25" customHeight="1">
      <c r="A181" s="79" t="str">
        <f>Paper_Textual_Conflict!M181</f>
        <v>I vs. I (import, R includes L)</v>
      </c>
      <c r="B181" s="37" t="str">
        <f>IFERROR(__xludf.DUMMYFUNCTION("if(isblank(A181),,regexextract(REGEXEXTRACT(A181,""^.*""),""^[^(]*""))"),"I vs. I ")</f>
        <v>I vs. I </v>
      </c>
      <c r="C181" s="37" t="b">
        <f>IFERROR(__xludf.DUMMYFUNCTION("if(isblank(A181),,REGEXMATCH(B181,"".*\+.*"") )"),FALSE)</f>
        <v>0</v>
      </c>
      <c r="D181" s="37" t="b">
        <f>IFERROR(__xludf.DUMMYFUNCTION("if(isblank(A181),,REGEXMATCH(B181,"".*vs.*"") )"),TRUE)</f>
        <v>1</v>
      </c>
      <c r="E181" s="37" t="b">
        <f>Paper_Textual_Conflict!H181</f>
        <v>1</v>
      </c>
      <c r="F181" s="37" t="str">
        <f>Paper_Textual_Conflict!Q181</f>
        <v>Java</v>
      </c>
      <c r="G181" s="33">
        <v>181.0</v>
      </c>
      <c r="H181" s="37" t="b">
        <f>IFERROR(__xludf.DUMMYFUNCTION("if(isblank(A181),,REGEXMATCH(B181,""^I *\+ I *$""))"),FALSE)</f>
        <v>0</v>
      </c>
      <c r="I181" s="37" t="b">
        <f>IFERROR(__xludf.DUMMYFUNCTION("if(isblank(A181),,REGEXMATCH(B181,""(^I *\+ D *$)|(^D *\+ I *$)""))"),FALSE)</f>
        <v>0</v>
      </c>
      <c r="J181" s="37" t="b">
        <f>IFERROR(__xludf.DUMMYFUNCTION("if(isblank(A181),,REGEXMATCH(B181,""(^I *\+ U *$)|(^U *\+ I *$)""))"),FALSE)</f>
        <v>0</v>
      </c>
      <c r="K181" s="37" t="b">
        <f>IFERROR(__xludf.DUMMYFUNCTION("if(isblank(A181),,REGEXMATCH(B181,""(^I *\+ N *$)|(^N *\+ I *$)"") )"),FALSE)</f>
        <v>0</v>
      </c>
      <c r="L181" s="37" t="b">
        <f>IFERROR(__xludf.DUMMYFUNCTION("if(isblank(A181),,REGEXMATCH(B181,""^D *\+ D *$""))"),FALSE)</f>
        <v>0</v>
      </c>
      <c r="M181" s="37" t="b">
        <f>IFERROR(__xludf.DUMMYFUNCTION("if(isblank(A181),,REGEXMATCH(B181,""(^U *\+ D *$)|(^D *\+ U *$)""))"),FALSE)</f>
        <v>0</v>
      </c>
      <c r="N181" s="37" t="b">
        <f>IFERROR(__xludf.DUMMYFUNCTION("if(isblank(A181),,REGEXMATCH(B181,""(^N *\+ D *$)|(^D *\+ N *$)""))"),FALSE)</f>
        <v>0</v>
      </c>
      <c r="O181" s="37" t="b">
        <f>IFERROR(__xludf.DUMMYFUNCTION("if(isblank(A181),,REGEXMATCH(B181,""^U *\+ U *$""))"),FALSE)</f>
        <v>0</v>
      </c>
      <c r="P181" s="37" t="b">
        <f>IFERROR(__xludf.DUMMYFUNCTION("if(isblank(A181),,REGEXMATCH(B181,""(^U *\+ N *$)|(^N *\+ U *$)""))"),FALSE)</f>
        <v>0</v>
      </c>
      <c r="Q181" s="37" t="b">
        <f>IFERROR(__xludf.DUMMYFUNCTION("if(isblank(A181),,REGEXMATCH(B181,""^((I ?\+ ?(D ?I|I ?D))|((D ?I|I ?D) ?\+ ?I)) *$""))"),FALSE)</f>
        <v>0</v>
      </c>
      <c r="R181" s="37" t="b">
        <f>IFERROR(__xludf.DUMMYFUNCTION("if(isblank(A181),,REGEXMATCH(B181,""^((D ?\+ ?(D ?I|I ?D))|((D ?I|I ?D) ?\+ ?D)) *$""))"),FALSE)</f>
        <v>0</v>
      </c>
      <c r="S181" s="37" t="b">
        <f>IFERROR(__xludf.DUMMYFUNCTION("if(isblank(A181),,REGEXMATCH(B181,""^((U ?\+ ?(D ?I|I ?D))|((D ?I|I ?D) ?\+ ?U)) *$""))"),FALSE)</f>
        <v>0</v>
      </c>
      <c r="T181" s="37" t="b">
        <f>IFERROR(__xludf.DUMMYFUNCTION("if(isblank(A181),,REGEXMATCH(B181,""^((N ?\+ ?(D ?I|I ?D))|((D ?I|I ?D) ?\+ ?N)) *$""))"),FALSE)</f>
        <v>0</v>
      </c>
      <c r="U181" s="37" t="b">
        <f>IFERROR(__xludf.DUMMYFUNCTION("if(isblank(A181),,REGEXMATCH(B181,""^((I ?\+ ?(U ?I|I ?U))|((I ?U|U ?I) ?\+ ?I)) *$""))"),FALSE)</f>
        <v>0</v>
      </c>
      <c r="V181" s="37" t="b">
        <f>IFERROR(__xludf.DUMMYFUNCTION("if(isblank(A181),,REGEXMATCH(B181,""^((D ?\+ ?(U ?I|I ?U))|((I ?U|U ?I) ?\+ ?D)) *$""))"),FALSE)</f>
        <v>0</v>
      </c>
      <c r="W181" s="37" t="b">
        <f>IFERROR(__xludf.DUMMYFUNCTION("if(isblank(A181),,REGEXMATCH(B181,""^((U ?\+ ?(U ?I|I ?U))|((I ?U|U ?I) ?\+ ?U)) *$""))"),FALSE)</f>
        <v>0</v>
      </c>
      <c r="X181" s="37" t="b">
        <f>IFERROR(__xludf.DUMMYFUNCTION("if(isblank(A181),,REGEXMATCH(B181,""^((N ?\+ ?(U ?I|I ?U))|((I ?U|U ?I) ?\+ ?N)) *$""))"),FALSE)</f>
        <v>0</v>
      </c>
      <c r="Y181" s="37" t="b">
        <f>IFERROR(__xludf.DUMMYFUNCTION("if(isblank(A181),,REGEXMATCH(B181,""^((I ?\+ ?(U ?D|D ?U))|((D ?U|U ?D) ?\+ ?I)) *$""))"),FALSE)</f>
        <v>0</v>
      </c>
      <c r="Z181" s="37" t="b">
        <f>IFERROR(__xludf.DUMMYFUNCTION("if(isblank(A181),,REGEXMATCH(B181,""^((D ?\+ ?(U ?D|D ?U))|((D ?U|U ?D) ?\+ ?D)) *$""))"),FALSE)</f>
        <v>0</v>
      </c>
      <c r="AA181" s="37" t="b">
        <f>IFERROR(__xludf.DUMMYFUNCTION("if(isblank(A181),,REGEXMATCH(B181,""^((U ?\+ ?(U ?D|D ?U))|((D ?U|U ?D) ?\+ ?U)) *$""))"),FALSE)</f>
        <v>0</v>
      </c>
      <c r="AB181" s="37" t="b">
        <f>IFERROR(__xludf.DUMMYFUNCTION("if(isblank(A181),,REGEXMATCH(B181,""^((D ?I|I ?D) ?\+ ?(D ?I|I ?D)) *$""))"),FALSE)</f>
        <v>0</v>
      </c>
      <c r="AC181" s="37" t="b">
        <f>IFERROR(__xludf.DUMMYFUNCTION("if(isblank(A181),,REGEXMATCH(B181,""^((D ?I|I ?D) ?\+ ?(U ?I|I ?U))|((U ?I|I ?U) ?\+ ?(D ?I|I ?D)) *$""))"),FALSE)</f>
        <v>0</v>
      </c>
      <c r="AD181" s="37" t="b">
        <f>IFERROR(__xludf.DUMMYFUNCTION("if(isblank(A181),,REGEXMATCH(B181,""^I *vs\. I *$""))"),TRUE)</f>
        <v>1</v>
      </c>
      <c r="AE181" s="37" t="b">
        <f>IFERROR(__xludf.DUMMYFUNCTION("if(isblank(A181),,REGEXMATCH(B181,""(^I *vs\. D *$)|(^D *vs\. I *$)""))"),FALSE)</f>
        <v>0</v>
      </c>
      <c r="AF181" s="37" t="b">
        <f>IFERROR(__xludf.DUMMYFUNCTION("if(isblank(A181),,REGEXMATCH(B181,""(^I *vs\. U *$)|(^U *vs\. I *$)""))"),FALSE)</f>
        <v>0</v>
      </c>
      <c r="AG181" s="37" t="b">
        <f>IFERROR(__xludf.DUMMYFUNCTION("if(isblank(A181),,REGEXMATCH(B181,""^D *vs\. D *$""))"),FALSE)</f>
        <v>0</v>
      </c>
      <c r="AH181" s="37" t="b">
        <f>IFERROR(__xludf.DUMMYFUNCTION("if(isblank(A181),,REGEXMATCH(B181,""(^U *vs\. D *$)|(^D *vs\. U *$)""))"),FALSE)</f>
        <v>0</v>
      </c>
      <c r="AI181" s="37" t="b">
        <f>IFERROR(__xludf.DUMMYFUNCTION("if(isblank(A181),,REGEXMATCH(B181,""^U *vs\. U *$""))"),FALSE)</f>
        <v>0</v>
      </c>
      <c r="AJ181" s="37" t="b">
        <f>IFERROR(__xludf.DUMMYFUNCTION("if(isblank(A181),,REGEXMATCH(B181,""^((I ?vs\. ?(D ?I|I ?D))|((D ?I|I ?D) ?vs\. ?I)) *$""))"),FALSE)</f>
        <v>0</v>
      </c>
      <c r="AK181" s="37" t="b">
        <f>IFERROR(__xludf.DUMMYFUNCTION("if(isblank(A181),,REGEXMATCH(B181,""^((D ?vs\. ?(D ?I|I ?D))|((D ?I|I ?D) ?vs\. ?D)) *$""))"),FALSE)</f>
        <v>0</v>
      </c>
      <c r="AL181" s="37" t="b">
        <f>IFERROR(__xludf.DUMMYFUNCTION("if(isblank(A181),,REGEXMATCH(B181,""^((U ?vs\. ?(D ?I|I ?D))|((D ?I|I ?D) ?vs\. ?U)) *$""))"),FALSE)</f>
        <v>0</v>
      </c>
      <c r="AM181" s="37" t="b">
        <f>IFERROR(__xludf.DUMMYFUNCTION("if(isblank(A181),,REGEXMATCH(B181,""^((I ?vs\. ?(U ?I|I ?U))|((U ?I|I ?U) ?vs\. ?I)) *$""))"),FALSE)</f>
        <v>0</v>
      </c>
      <c r="AN181" s="37" t="b">
        <f>IFERROR(__xludf.DUMMYFUNCTION("if(isblank(A181),,REGEXMATCH(B181,""^((D ?vs\. ?(U ?I|I ?U))|((U ?I|I ?U) ?vs\. ?D)) *$""))"),FALSE)</f>
        <v>0</v>
      </c>
      <c r="AO181" s="37" t="b">
        <f>IFERROR(__xludf.DUMMYFUNCTION("if(isblank(A181),,REGEXMATCH(B181,""^((U ?vs\. ?(U ?I|I ?U))|((U ?I|I ?U) ?vs\. ?U)) *$""))"),FALSE)</f>
        <v>0</v>
      </c>
      <c r="AP181" s="37" t="b">
        <f>IFERROR(__xludf.DUMMYFUNCTION("if(isblank(A181),,REGEXMATCH(B181,""^((I ?vs\. ?(U ?D|D ?U))|((D ?U|U ?D) ?vs\. ?I)) *$""))"),FALSE)</f>
        <v>0</v>
      </c>
      <c r="AQ181" s="37" t="b">
        <f>IFERROR(__xludf.DUMMYFUNCTION("if(isblank(A181),,REGEXMATCH(B181,""^((D ?vs\. ?(U ?D|D ?U))|((D ?U|U ?D) ?vs\. ?D)) *$""))"),FALSE)</f>
        <v>0</v>
      </c>
      <c r="AR181" s="37" t="b">
        <f>IFERROR(__xludf.DUMMYFUNCTION("if(isblank(A181),,REGEXMATCH(B181,""^((U ?vs\. ?(U ?D|D ?U))|((D ?U|U ?D) ?vs\. ?U)) *$""))"),FALSE)</f>
        <v>0</v>
      </c>
      <c r="AS181" s="37" t="b">
        <f>IFERROR(__xludf.DUMMYFUNCTION("if(isblank(A181),,REGEXMATCH(B181,""^((D ?I|I ?D) ?vs\. ?(D ?I|I ?D)) *$""))"),FALSE)</f>
        <v>0</v>
      </c>
      <c r="AT181" s="37" t="b">
        <f>IFERROR(__xludf.DUMMYFUNCTION("if(isblank(A181),,REGEXMATCH(B181,""^((D ?I|I ?D) ?vs\. ?(U ?I|I ?U))|((U ?I|I ?U) ?vs\. ?(D ?I|I ?D)) *$""))"),FALSE)</f>
        <v>0</v>
      </c>
      <c r="AU181" s="37" t="b">
        <f>IFERROR(__xludf.DUMMYFUNCTION("if(isblank(A181),,REGEXMATCH(B181,""^((D ?I|I ?D) ?vs\. ?(U ?D|D ?U))|((U ?D|D ?U) ?vs\. ?(D ?I|I ?D)) *$""))"),FALSE)</f>
        <v>0</v>
      </c>
      <c r="AV181" s="37" t="b">
        <f>IFERROR(__xludf.DUMMYFUNCTION("if(isblank(A181),,REGEXMATCH(B181,""^((U ?I|I ?U) ?vs\. ?(U ?I|I ?U)) *$""))"),FALSE)</f>
        <v>0</v>
      </c>
    </row>
    <row r="182" ht="26.25" customHeight="1">
      <c r="A182" s="79"/>
    </row>
    <row r="183" ht="26.25" customHeight="1">
      <c r="A183" s="79"/>
      <c r="H183" s="37">
        <f t="shared" ref="H183:AV183" si="1">countif(H2:H181,TRUE)</f>
        <v>0</v>
      </c>
      <c r="I183" s="37">
        <f t="shared" si="1"/>
        <v>7</v>
      </c>
      <c r="J183" s="37">
        <f t="shared" si="1"/>
        <v>8</v>
      </c>
      <c r="K183" s="37">
        <f t="shared" si="1"/>
        <v>5</v>
      </c>
      <c r="L183" s="37">
        <f t="shared" si="1"/>
        <v>1</v>
      </c>
      <c r="M183" s="37">
        <f t="shared" si="1"/>
        <v>1</v>
      </c>
      <c r="N183" s="37">
        <f t="shared" si="1"/>
        <v>0</v>
      </c>
      <c r="O183" s="37">
        <f t="shared" si="1"/>
        <v>2</v>
      </c>
      <c r="P183" s="37">
        <f t="shared" si="1"/>
        <v>0</v>
      </c>
      <c r="Q183" s="37">
        <f t="shared" si="1"/>
        <v>6</v>
      </c>
      <c r="R183" s="37">
        <f t="shared" si="1"/>
        <v>1</v>
      </c>
      <c r="S183" s="37">
        <f t="shared" si="1"/>
        <v>3</v>
      </c>
      <c r="T183" s="37">
        <f t="shared" si="1"/>
        <v>2</v>
      </c>
      <c r="U183" s="37">
        <f t="shared" si="1"/>
        <v>1</v>
      </c>
      <c r="V183" s="37">
        <f t="shared" si="1"/>
        <v>0</v>
      </c>
      <c r="W183" s="37">
        <f t="shared" si="1"/>
        <v>3</v>
      </c>
      <c r="X183" s="37">
        <f t="shared" si="1"/>
        <v>0</v>
      </c>
      <c r="Y183" s="37">
        <f t="shared" si="1"/>
        <v>0</v>
      </c>
      <c r="Z183" s="37">
        <f t="shared" si="1"/>
        <v>1</v>
      </c>
      <c r="AA183" s="37">
        <f t="shared" si="1"/>
        <v>0</v>
      </c>
      <c r="AB183" s="37">
        <f t="shared" si="1"/>
        <v>0</v>
      </c>
      <c r="AC183" s="37">
        <f t="shared" si="1"/>
        <v>3</v>
      </c>
      <c r="AD183" s="37">
        <f t="shared" si="1"/>
        <v>38</v>
      </c>
      <c r="AE183" s="37">
        <f t="shared" si="1"/>
        <v>3</v>
      </c>
      <c r="AF183" s="37">
        <f t="shared" si="1"/>
        <v>1</v>
      </c>
      <c r="AG183" s="37">
        <f t="shared" si="1"/>
        <v>1</v>
      </c>
      <c r="AH183" s="37">
        <f t="shared" si="1"/>
        <v>26</v>
      </c>
      <c r="AI183" s="37">
        <f t="shared" si="1"/>
        <v>30</v>
      </c>
      <c r="AJ183" s="37">
        <f t="shared" si="1"/>
        <v>2</v>
      </c>
      <c r="AK183" s="37">
        <f t="shared" si="1"/>
        <v>4</v>
      </c>
      <c r="AL183" s="37">
        <f t="shared" si="1"/>
        <v>8</v>
      </c>
      <c r="AM183" s="37">
        <f t="shared" si="1"/>
        <v>0</v>
      </c>
      <c r="AN183" s="37">
        <f t="shared" si="1"/>
        <v>0</v>
      </c>
      <c r="AO183" s="37">
        <f t="shared" si="1"/>
        <v>4</v>
      </c>
      <c r="AP183" s="37">
        <f t="shared" si="1"/>
        <v>0</v>
      </c>
      <c r="AQ183" s="37">
        <f t="shared" si="1"/>
        <v>1</v>
      </c>
      <c r="AR183" s="37">
        <f t="shared" si="1"/>
        <v>1</v>
      </c>
      <c r="AS183" s="37">
        <f t="shared" si="1"/>
        <v>9</v>
      </c>
      <c r="AT183" s="37">
        <f t="shared" si="1"/>
        <v>4</v>
      </c>
      <c r="AU183" s="37">
        <f t="shared" si="1"/>
        <v>4</v>
      </c>
      <c r="AV183" s="37">
        <f t="shared" si="1"/>
        <v>0</v>
      </c>
    </row>
    <row r="184" ht="26.25" customHeight="1">
      <c r="A184" s="79"/>
      <c r="H184" s="33" t="str">
        <f>IFERROR(__xludf.DUMMYFUNCTION("filter(row(H2:H181),H2:H181=TRUE)"),"#N/A")</f>
        <v>#N/A</v>
      </c>
      <c r="I184" s="33">
        <f>IFERROR(__xludf.DUMMYFUNCTION("filter(row(I2:I181),I2:I181=TRUE)"),17.0)</f>
        <v>17</v>
      </c>
      <c r="J184" s="33">
        <f>IFERROR(__xludf.DUMMYFUNCTION("filter(row(J2:J181),J2:J181=TRUE)"),19.0)</f>
        <v>19</v>
      </c>
      <c r="K184" s="33">
        <f>IFERROR(__xludf.DUMMYFUNCTION("filter(row(K2:K181),K2:K181=TRUE)"),16.0)</f>
        <v>16</v>
      </c>
      <c r="L184" s="33">
        <f>IFERROR(__xludf.DUMMYFUNCTION("filter(row(L2:L181),L2:L181=TRUE)"),77.0)</f>
        <v>77</v>
      </c>
      <c r="M184" s="33">
        <f>IFERROR(__xludf.DUMMYFUNCTION("filter(row(M2:M181),M2:M181=TRUE)"),3.0)</f>
        <v>3</v>
      </c>
      <c r="N184" s="33" t="str">
        <f>IFERROR(__xludf.DUMMYFUNCTION("filter(row(N2:N181),N2:N181=TRUE)"),"#N/A")</f>
        <v>#N/A</v>
      </c>
      <c r="O184" s="33">
        <f>IFERROR(__xludf.DUMMYFUNCTION("filter(row(O2:O181),O2:O181=TRUE)"),4.0)</f>
        <v>4</v>
      </c>
      <c r="P184" s="33" t="str">
        <f>IFERROR(__xludf.DUMMYFUNCTION("filter(row(P2:P181),P2:P181=TRUE)"),"#N/A")</f>
        <v>#N/A</v>
      </c>
      <c r="Q184" s="33">
        <f>IFERROR(__xludf.DUMMYFUNCTION("filter(row(Q2:Q181),Q2:Q181=TRUE)"),89.0)</f>
        <v>89</v>
      </c>
      <c r="R184" s="33">
        <f>IFERROR(__xludf.DUMMYFUNCTION("filter(row(R2:R181),R2:R181=TRUE)"),61.0)</f>
        <v>61</v>
      </c>
      <c r="S184" s="33">
        <f>IFERROR(__xludf.DUMMYFUNCTION("filter(row(S2:S181),S2:S181=TRUE)"),47.0)</f>
        <v>47</v>
      </c>
      <c r="T184" s="33">
        <f>IFERROR(__xludf.DUMMYFUNCTION("filter(row(T2:T181),T2:T181=TRUE)"),14.0)</f>
        <v>14</v>
      </c>
      <c r="U184" s="33">
        <f>IFERROR(__xludf.DUMMYFUNCTION("filter(row(U2:U181),U2:U181=TRUE)"),149.0)</f>
        <v>149</v>
      </c>
      <c r="V184" s="33" t="str">
        <f>IFERROR(__xludf.DUMMYFUNCTION("filter(row(V2:V181),V2:V181=TRUE)"),"#N/A")</f>
        <v>#N/A</v>
      </c>
      <c r="W184" s="33">
        <f>IFERROR(__xludf.DUMMYFUNCTION("filter(row(W2:W181),W2:W181=TRUE)"),6.0)</f>
        <v>6</v>
      </c>
      <c r="X184" s="33" t="str">
        <f>IFERROR(__xludf.DUMMYFUNCTION("filter(row(X2:X181),X2:X181=TRUE)"),"#N/A")</f>
        <v>#N/A</v>
      </c>
      <c r="Y184" s="33" t="str">
        <f>IFERROR(__xludf.DUMMYFUNCTION("filter(row(Y2:Y181),Y2:Y181=TRUE)"),"#N/A")</f>
        <v>#N/A</v>
      </c>
      <c r="Z184" s="33">
        <f>IFERROR(__xludf.DUMMYFUNCTION("filter(row(Z2:Z181),Z2:Z181=TRUE)"),95.0)</f>
        <v>95</v>
      </c>
      <c r="AA184" s="33" t="str">
        <f>IFERROR(__xludf.DUMMYFUNCTION("filter(row(AA2:AA181),AA2:AA181=TRUE)"),"#N/A")</f>
        <v>#N/A</v>
      </c>
      <c r="AB184" s="33" t="str">
        <f>IFERROR(__xludf.DUMMYFUNCTION("filter(row(AB2:AB181),AB2:AB181=TRUE)"),"#N/A")</f>
        <v>#N/A</v>
      </c>
      <c r="AC184" s="33">
        <f>IFERROR(__xludf.DUMMYFUNCTION("filter(row(AC2:AC181),AC2:AC181=TRUE)"),7.0)</f>
        <v>7</v>
      </c>
      <c r="AD184" s="33">
        <f>IFERROR(__xludf.DUMMYFUNCTION("filter(row(AD2:AD181),AD2:AD181=TRUE)"),12.0)</f>
        <v>12</v>
      </c>
      <c r="AE184" s="33">
        <f>IFERROR(__xludf.DUMMYFUNCTION("filter(row(AE2:AE181),AE2:AE181=TRUE)"),44.0)</f>
        <v>44</v>
      </c>
      <c r="AF184" s="33">
        <f>IFERROR(__xludf.DUMMYFUNCTION("filter(row(AF2:AF181),AF2:AF181=TRUE)"),124.0)</f>
        <v>124</v>
      </c>
      <c r="AG184" s="33">
        <f>IFERROR(__xludf.DUMMYFUNCTION("filter(row(AG2:AG181),AG2:AG181=TRUE)"),35.0)</f>
        <v>35</v>
      </c>
      <c r="AH184" s="33">
        <f>IFERROR(__xludf.DUMMYFUNCTION("filter(row(AH2:AH181),AH2:AH181=TRUE)"),5.0)</f>
        <v>5</v>
      </c>
      <c r="AI184" s="33">
        <f>IFERROR(__xludf.DUMMYFUNCTION("filter(row(AI2:AI181),AI2:AI181=TRUE)"),2.0)</f>
        <v>2</v>
      </c>
      <c r="AJ184" s="33">
        <f>IFERROR(__xludf.DUMMYFUNCTION("filter(row(AJ2:AJ181),AJ2:AJ181=TRUE)"),54.0)</f>
        <v>54</v>
      </c>
      <c r="AK184" s="33">
        <f>IFERROR(__xludf.DUMMYFUNCTION("filter(row(AK2:AK181),AK2:AK181=TRUE)"),114.0)</f>
        <v>114</v>
      </c>
      <c r="AL184" s="33">
        <f>IFERROR(__xludf.DUMMYFUNCTION("filter(row(AL2:AL181),AL2:AL181=TRUE)"),20.0)</f>
        <v>20</v>
      </c>
      <c r="AM184" s="33" t="str">
        <f>IFERROR(__xludf.DUMMYFUNCTION("filter(row(AM2:AM181),AM2:AM181=TRUE)"),"#N/A")</f>
        <v>#N/A</v>
      </c>
      <c r="AN184" s="33" t="str">
        <f>IFERROR(__xludf.DUMMYFUNCTION("filter(row(AN2:AN181),AN2:AN181=TRUE)"),"#N/A")</f>
        <v>#N/A</v>
      </c>
      <c r="AO184" s="33">
        <f>IFERROR(__xludf.DUMMYFUNCTION("filter(row(AO2:AO181),AO2:AO181=TRUE)"),18.0)</f>
        <v>18</v>
      </c>
      <c r="AP184" s="33" t="str">
        <f>IFERROR(__xludf.DUMMYFUNCTION("filter(row(AP2:AP181),AP2:AP181=TRUE)"),"#N/A")</f>
        <v>#N/A</v>
      </c>
      <c r="AQ184" s="33">
        <f>IFERROR(__xludf.DUMMYFUNCTION("filter(row(AQ2:AQ181),AQ2:AQ181=TRUE)"),159.0)</f>
        <v>159</v>
      </c>
      <c r="AR184" s="33">
        <f>IFERROR(__xludf.DUMMYFUNCTION("filter(row(AR2:AR181),AR2:AR181=TRUE)"),135.0)</f>
        <v>135</v>
      </c>
      <c r="AS184" s="33">
        <f>IFERROR(__xludf.DUMMYFUNCTION("filter(row(AS2:AS181),AS2:AS181=TRUE)"),10.0)</f>
        <v>10</v>
      </c>
      <c r="AT184" s="33">
        <f>IFERROR(__xludf.DUMMYFUNCTION("filter(row(AT2:AT181),AT2:AT181=TRUE)"),25.0)</f>
        <v>25</v>
      </c>
      <c r="AU184" s="33">
        <f>IFERROR(__xludf.DUMMYFUNCTION("filter(row(AU2:AU181),AU2:AU181=TRUE)"),8.0)</f>
        <v>8</v>
      </c>
      <c r="AV184" s="33" t="str">
        <f>IFERROR(__xludf.DUMMYFUNCTION("filter(row(AV2:AV181),AV2:AV181=TRUE)"),"#N/A")</f>
        <v>#N/A</v>
      </c>
    </row>
    <row r="185" ht="26.25" customHeight="1">
      <c r="A185" s="79"/>
      <c r="I185" s="37">
        <f>IFERROR(__xludf.DUMMYFUNCTION("""COMPUTED_VALUE"""),38.0)</f>
        <v>38</v>
      </c>
      <c r="J185" s="37">
        <f>IFERROR(__xludf.DUMMYFUNCTION("""COMPUTED_VALUE"""),21.0)</f>
        <v>21</v>
      </c>
      <c r="K185" s="37">
        <f>IFERROR(__xludf.DUMMYFUNCTION("""COMPUTED_VALUE"""),42.0)</f>
        <v>42</v>
      </c>
      <c r="O185" s="37">
        <f>IFERROR(__xludf.DUMMYFUNCTION("""COMPUTED_VALUE"""),126.0)</f>
        <v>126</v>
      </c>
      <c r="Q185" s="37">
        <f>IFERROR(__xludf.DUMMYFUNCTION("""COMPUTED_VALUE"""),112.0)</f>
        <v>112</v>
      </c>
      <c r="S185" s="37">
        <f>IFERROR(__xludf.DUMMYFUNCTION("""COMPUTED_VALUE"""),130.0)</f>
        <v>130</v>
      </c>
      <c r="T185" s="37">
        <f>IFERROR(__xludf.DUMMYFUNCTION("""COMPUTED_VALUE"""),80.0)</f>
        <v>80</v>
      </c>
      <c r="W185" s="37">
        <f>IFERROR(__xludf.DUMMYFUNCTION("""COMPUTED_VALUE"""),92.0)</f>
        <v>92</v>
      </c>
      <c r="AC185" s="37">
        <f>IFERROR(__xludf.DUMMYFUNCTION("""COMPUTED_VALUE"""),40.0)</f>
        <v>40</v>
      </c>
      <c r="AD185" s="37">
        <f>IFERROR(__xludf.DUMMYFUNCTION("""COMPUTED_VALUE"""),24.0)</f>
        <v>24</v>
      </c>
      <c r="AE185" s="37">
        <f>IFERROR(__xludf.DUMMYFUNCTION("""COMPUTED_VALUE"""),78.0)</f>
        <v>78</v>
      </c>
      <c r="AH185" s="37">
        <f>IFERROR(__xludf.DUMMYFUNCTION("""COMPUTED_VALUE"""),15.0)</f>
        <v>15</v>
      </c>
      <c r="AI185" s="37">
        <f>IFERROR(__xludf.DUMMYFUNCTION("""COMPUTED_VALUE"""),9.0)</f>
        <v>9</v>
      </c>
      <c r="AJ185" s="37">
        <f>IFERROR(__xludf.DUMMYFUNCTION("""COMPUTED_VALUE"""),129.0)</f>
        <v>129</v>
      </c>
      <c r="AK185" s="37">
        <f>IFERROR(__xludf.DUMMYFUNCTION("""COMPUTED_VALUE"""),123.0)</f>
        <v>123</v>
      </c>
      <c r="AL185" s="37">
        <f>IFERROR(__xludf.DUMMYFUNCTION("""COMPUTED_VALUE"""),29.0)</f>
        <v>29</v>
      </c>
      <c r="AO185" s="37">
        <f>IFERROR(__xludf.DUMMYFUNCTION("""COMPUTED_VALUE"""),98.0)</f>
        <v>98</v>
      </c>
      <c r="AS185" s="37">
        <f>IFERROR(__xludf.DUMMYFUNCTION("""COMPUTED_VALUE"""),22.0)</f>
        <v>22</v>
      </c>
      <c r="AT185" s="37">
        <f>IFERROR(__xludf.DUMMYFUNCTION("""COMPUTED_VALUE"""),101.0)</f>
        <v>101</v>
      </c>
      <c r="AU185" s="37">
        <f>IFERROR(__xludf.DUMMYFUNCTION("""COMPUTED_VALUE"""),48.0)</f>
        <v>48</v>
      </c>
    </row>
    <row r="186" ht="26.25" customHeight="1">
      <c r="I186" s="37">
        <f>IFERROR(__xludf.DUMMYFUNCTION("""COMPUTED_VALUE"""),88.0)</f>
        <v>88</v>
      </c>
      <c r="J186" s="37">
        <f>IFERROR(__xludf.DUMMYFUNCTION("""COMPUTED_VALUE"""),56.0)</f>
        <v>56</v>
      </c>
      <c r="K186" s="37">
        <f>IFERROR(__xludf.DUMMYFUNCTION("""COMPUTED_VALUE"""),87.0)</f>
        <v>87</v>
      </c>
      <c r="Q186" s="37">
        <f>IFERROR(__xludf.DUMMYFUNCTION("""COMPUTED_VALUE"""),128.0)</f>
        <v>128</v>
      </c>
      <c r="S186" s="37">
        <f>IFERROR(__xludf.DUMMYFUNCTION("""COMPUTED_VALUE"""),148.0)</f>
        <v>148</v>
      </c>
      <c r="W186" s="37">
        <f>IFERROR(__xludf.DUMMYFUNCTION("""COMPUTED_VALUE"""),155.0)</f>
        <v>155</v>
      </c>
      <c r="AC186" s="37">
        <f>IFERROR(__xludf.DUMMYFUNCTION("""COMPUTED_VALUE"""),162.0)</f>
        <v>162</v>
      </c>
      <c r="AD186" s="37">
        <f>IFERROR(__xludf.DUMMYFUNCTION("""COMPUTED_VALUE"""),28.0)</f>
        <v>28</v>
      </c>
      <c r="AE186" s="37">
        <f>IFERROR(__xludf.DUMMYFUNCTION("""COMPUTED_VALUE"""),104.0)</f>
        <v>104</v>
      </c>
      <c r="AH186" s="37">
        <f>IFERROR(__xludf.DUMMYFUNCTION("""COMPUTED_VALUE"""),23.0)</f>
        <v>23</v>
      </c>
      <c r="AI186" s="37">
        <f>IFERROR(__xludf.DUMMYFUNCTION("""COMPUTED_VALUE"""),11.0)</f>
        <v>11</v>
      </c>
      <c r="AK186" s="37">
        <f>IFERROR(__xludf.DUMMYFUNCTION("""COMPUTED_VALUE"""),133.0)</f>
        <v>133</v>
      </c>
      <c r="AL186" s="37">
        <f>IFERROR(__xludf.DUMMYFUNCTION("""COMPUTED_VALUE"""),50.0)</f>
        <v>50</v>
      </c>
      <c r="AO186" s="37">
        <f>IFERROR(__xludf.DUMMYFUNCTION("""COMPUTED_VALUE"""),120.0)</f>
        <v>120</v>
      </c>
      <c r="AS186" s="37">
        <f>IFERROR(__xludf.DUMMYFUNCTION("""COMPUTED_VALUE"""),67.0)</f>
        <v>67</v>
      </c>
      <c r="AT186" s="37">
        <f>IFERROR(__xludf.DUMMYFUNCTION("""COMPUTED_VALUE"""),138.0)</f>
        <v>138</v>
      </c>
      <c r="AU186" s="37">
        <f>IFERROR(__xludf.DUMMYFUNCTION("""COMPUTED_VALUE"""),73.0)</f>
        <v>73</v>
      </c>
    </row>
    <row r="187" ht="26.25" customHeight="1">
      <c r="I187" s="37">
        <f>IFERROR(__xludf.DUMMYFUNCTION("""COMPUTED_VALUE"""),103.0)</f>
        <v>103</v>
      </c>
      <c r="J187" s="37">
        <f>IFERROR(__xludf.DUMMYFUNCTION("""COMPUTED_VALUE"""),57.0)</f>
        <v>57</v>
      </c>
      <c r="K187" s="37">
        <f>IFERROR(__xludf.DUMMYFUNCTION("""COMPUTED_VALUE"""),125.0)</f>
        <v>125</v>
      </c>
      <c r="Q187" s="37">
        <f>IFERROR(__xludf.DUMMYFUNCTION("""COMPUTED_VALUE"""),163.0)</f>
        <v>163</v>
      </c>
      <c r="AD187" s="37">
        <f>IFERROR(__xludf.DUMMYFUNCTION("""COMPUTED_VALUE"""),30.0)</f>
        <v>30</v>
      </c>
      <c r="AH187" s="37">
        <f>IFERROR(__xludf.DUMMYFUNCTION("""COMPUTED_VALUE"""),27.0)</f>
        <v>27</v>
      </c>
      <c r="AI187" s="37">
        <f>IFERROR(__xludf.DUMMYFUNCTION("""COMPUTED_VALUE"""),13.0)</f>
        <v>13</v>
      </c>
      <c r="AK187" s="37">
        <f>IFERROR(__xludf.DUMMYFUNCTION("""COMPUTED_VALUE"""),147.0)</f>
        <v>147</v>
      </c>
      <c r="AL187" s="37">
        <f>IFERROR(__xludf.DUMMYFUNCTION("""COMPUTED_VALUE"""),60.0)</f>
        <v>60</v>
      </c>
      <c r="AO187" s="37">
        <f>IFERROR(__xludf.DUMMYFUNCTION("""COMPUTED_VALUE"""),167.0)</f>
        <v>167</v>
      </c>
      <c r="AS187" s="37">
        <f>IFERROR(__xludf.DUMMYFUNCTION("""COMPUTED_VALUE"""),107.0)</f>
        <v>107</v>
      </c>
      <c r="AT187" s="37">
        <f>IFERROR(__xludf.DUMMYFUNCTION("""COMPUTED_VALUE"""),152.0)</f>
        <v>152</v>
      </c>
      <c r="AU187" s="37">
        <f>IFERROR(__xludf.DUMMYFUNCTION("""COMPUTED_VALUE"""),146.0)</f>
        <v>146</v>
      </c>
    </row>
    <row r="188" ht="26.25" customHeight="1">
      <c r="I188" s="37">
        <f>IFERROR(__xludf.DUMMYFUNCTION("""COMPUTED_VALUE"""),110.0)</f>
        <v>110</v>
      </c>
      <c r="J188" s="37">
        <f>IFERROR(__xludf.DUMMYFUNCTION("""COMPUTED_VALUE"""),116.0)</f>
        <v>116</v>
      </c>
      <c r="K188" s="37">
        <f>IFERROR(__xludf.DUMMYFUNCTION("""COMPUTED_VALUE"""),127.0)</f>
        <v>127</v>
      </c>
      <c r="Q188" s="37">
        <f>IFERROR(__xludf.DUMMYFUNCTION("""COMPUTED_VALUE"""),171.0)</f>
        <v>171</v>
      </c>
      <c r="AD188" s="37">
        <f>IFERROR(__xludf.DUMMYFUNCTION("""COMPUTED_VALUE"""),33.0)</f>
        <v>33</v>
      </c>
      <c r="AH188" s="37">
        <f>IFERROR(__xludf.DUMMYFUNCTION("""COMPUTED_VALUE"""),31.0)</f>
        <v>31</v>
      </c>
      <c r="AI188" s="37">
        <f>IFERROR(__xludf.DUMMYFUNCTION("""COMPUTED_VALUE"""),26.0)</f>
        <v>26</v>
      </c>
      <c r="AL188" s="37">
        <f>IFERROR(__xludf.DUMMYFUNCTION("""COMPUTED_VALUE"""),68.0)</f>
        <v>68</v>
      </c>
      <c r="AS188" s="37">
        <f>IFERROR(__xludf.DUMMYFUNCTION("""COMPUTED_VALUE"""),117.0)</f>
        <v>117</v>
      </c>
    </row>
    <row r="189" ht="26.25" customHeight="1">
      <c r="I189" s="37">
        <f>IFERROR(__xludf.DUMMYFUNCTION("""COMPUTED_VALUE"""),141.0)</f>
        <v>141</v>
      </c>
      <c r="J189" s="37">
        <f>IFERROR(__xludf.DUMMYFUNCTION("""COMPUTED_VALUE"""),132.0)</f>
        <v>132</v>
      </c>
      <c r="Q189" s="37">
        <f>IFERROR(__xludf.DUMMYFUNCTION("""COMPUTED_VALUE"""),178.0)</f>
        <v>178</v>
      </c>
      <c r="AD189" s="37">
        <f>IFERROR(__xludf.DUMMYFUNCTION("""COMPUTED_VALUE"""),34.0)</f>
        <v>34</v>
      </c>
      <c r="AH189" s="37">
        <f>IFERROR(__xludf.DUMMYFUNCTION("""COMPUTED_VALUE"""),43.0)</f>
        <v>43</v>
      </c>
      <c r="AI189" s="37">
        <f>IFERROR(__xludf.DUMMYFUNCTION("""COMPUTED_VALUE"""),32.0)</f>
        <v>32</v>
      </c>
      <c r="AL189" s="37">
        <f>IFERROR(__xludf.DUMMYFUNCTION("""COMPUTED_VALUE"""),90.0)</f>
        <v>90</v>
      </c>
      <c r="AS189" s="37">
        <f>IFERROR(__xludf.DUMMYFUNCTION("""COMPUTED_VALUE"""),118.0)</f>
        <v>118</v>
      </c>
    </row>
    <row r="190" ht="26.25" customHeight="1">
      <c r="I190" s="37">
        <f>IFERROR(__xludf.DUMMYFUNCTION("""COMPUTED_VALUE"""),144.0)</f>
        <v>144</v>
      </c>
      <c r="J190" s="37">
        <f>IFERROR(__xludf.DUMMYFUNCTION("""COMPUTED_VALUE"""),158.0)</f>
        <v>158</v>
      </c>
      <c r="AD190" s="37">
        <f>IFERROR(__xludf.DUMMYFUNCTION("""COMPUTED_VALUE"""),36.0)</f>
        <v>36</v>
      </c>
      <c r="AH190" s="37">
        <f>IFERROR(__xludf.DUMMYFUNCTION("""COMPUTED_VALUE"""),45.0)</f>
        <v>45</v>
      </c>
      <c r="AI190" s="37">
        <f>IFERROR(__xludf.DUMMYFUNCTION("""COMPUTED_VALUE"""),37.0)</f>
        <v>37</v>
      </c>
      <c r="AL190" s="37">
        <f>IFERROR(__xludf.DUMMYFUNCTION("""COMPUTED_VALUE"""),113.0)</f>
        <v>113</v>
      </c>
      <c r="AS190" s="37">
        <f>IFERROR(__xludf.DUMMYFUNCTION("""COMPUTED_VALUE"""),150.0)</f>
        <v>150</v>
      </c>
    </row>
    <row r="191" ht="26.25" customHeight="1">
      <c r="J191" s="37">
        <f>IFERROR(__xludf.DUMMYFUNCTION("""COMPUTED_VALUE"""),170.0)</f>
        <v>170</v>
      </c>
      <c r="AD191" s="37">
        <f>IFERROR(__xludf.DUMMYFUNCTION("""COMPUTED_VALUE"""),39.0)</f>
        <v>39</v>
      </c>
      <c r="AH191" s="37">
        <f>IFERROR(__xludf.DUMMYFUNCTION("""COMPUTED_VALUE"""),51.0)</f>
        <v>51</v>
      </c>
      <c r="AI191" s="37">
        <f>IFERROR(__xludf.DUMMYFUNCTION("""COMPUTED_VALUE"""),41.0)</f>
        <v>41</v>
      </c>
      <c r="AL191" s="37">
        <f>IFERROR(__xludf.DUMMYFUNCTION("""COMPUTED_VALUE"""),166.0)</f>
        <v>166</v>
      </c>
      <c r="AS191" s="37">
        <f>IFERROR(__xludf.DUMMYFUNCTION("""COMPUTED_VALUE"""),156.0)</f>
        <v>156</v>
      </c>
    </row>
    <row r="192" ht="26.25" customHeight="1">
      <c r="AD192" s="37">
        <f>IFERROR(__xludf.DUMMYFUNCTION("""COMPUTED_VALUE"""),46.0)</f>
        <v>46</v>
      </c>
      <c r="AH192" s="37">
        <f>IFERROR(__xludf.DUMMYFUNCTION("""COMPUTED_VALUE"""),58.0)</f>
        <v>58</v>
      </c>
      <c r="AI192" s="37">
        <f>IFERROR(__xludf.DUMMYFUNCTION("""COMPUTED_VALUE"""),49.0)</f>
        <v>49</v>
      </c>
      <c r="AS192" s="37">
        <f>IFERROR(__xludf.DUMMYFUNCTION("""COMPUTED_VALUE"""),175.0)</f>
        <v>175</v>
      </c>
    </row>
    <row r="193" ht="26.25" customHeight="1">
      <c r="AD193" s="37">
        <f>IFERROR(__xludf.DUMMYFUNCTION("""COMPUTED_VALUE"""),59.0)</f>
        <v>59</v>
      </c>
      <c r="AH193" s="37">
        <f>IFERROR(__xludf.DUMMYFUNCTION("""COMPUTED_VALUE"""),62.0)</f>
        <v>62</v>
      </c>
      <c r="AI193" s="37">
        <f>IFERROR(__xludf.DUMMYFUNCTION("""COMPUTED_VALUE"""),52.0)</f>
        <v>52</v>
      </c>
    </row>
    <row r="194" ht="26.25" customHeight="1">
      <c r="AD194" s="37">
        <f>IFERROR(__xludf.DUMMYFUNCTION("""COMPUTED_VALUE"""),63.0)</f>
        <v>63</v>
      </c>
      <c r="AH194" s="37">
        <f>IFERROR(__xludf.DUMMYFUNCTION("""COMPUTED_VALUE"""),65.0)</f>
        <v>65</v>
      </c>
      <c r="AI194" s="37">
        <f>IFERROR(__xludf.DUMMYFUNCTION("""COMPUTED_VALUE"""),53.0)</f>
        <v>53</v>
      </c>
    </row>
    <row r="195" ht="26.25" customHeight="1">
      <c r="AD195" s="37">
        <f>IFERROR(__xludf.DUMMYFUNCTION("""COMPUTED_VALUE"""),70.0)</f>
        <v>70</v>
      </c>
      <c r="AH195" s="37">
        <f>IFERROR(__xludf.DUMMYFUNCTION("""COMPUTED_VALUE"""),66.0)</f>
        <v>66</v>
      </c>
      <c r="AI195" s="37">
        <f>IFERROR(__xludf.DUMMYFUNCTION("""COMPUTED_VALUE"""),55.0)</f>
        <v>55</v>
      </c>
    </row>
    <row r="196" ht="26.25" customHeight="1">
      <c r="AD196" s="37">
        <f>IFERROR(__xludf.DUMMYFUNCTION("""COMPUTED_VALUE"""),74.0)</f>
        <v>74</v>
      </c>
      <c r="AH196" s="37">
        <f>IFERROR(__xludf.DUMMYFUNCTION("""COMPUTED_VALUE"""),71.0)</f>
        <v>71</v>
      </c>
      <c r="AI196" s="37">
        <f>IFERROR(__xludf.DUMMYFUNCTION("""COMPUTED_VALUE"""),64.0)</f>
        <v>64</v>
      </c>
    </row>
    <row r="197" ht="26.25" customHeight="1">
      <c r="AD197" s="37">
        <f>IFERROR(__xludf.DUMMYFUNCTION("""COMPUTED_VALUE"""),79.0)</f>
        <v>79</v>
      </c>
      <c r="AH197" s="37">
        <f>IFERROR(__xludf.DUMMYFUNCTION("""COMPUTED_VALUE"""),72.0)</f>
        <v>72</v>
      </c>
      <c r="AI197" s="37">
        <f>IFERROR(__xludf.DUMMYFUNCTION("""COMPUTED_VALUE"""),69.0)</f>
        <v>69</v>
      </c>
    </row>
    <row r="198" ht="26.25" customHeight="1">
      <c r="AD198" s="37">
        <f>IFERROR(__xludf.DUMMYFUNCTION("""COMPUTED_VALUE"""),81.0)</f>
        <v>81</v>
      </c>
      <c r="AH198" s="37">
        <f>IFERROR(__xludf.DUMMYFUNCTION("""COMPUTED_VALUE"""),76.0)</f>
        <v>76</v>
      </c>
      <c r="AI198" s="37">
        <f>IFERROR(__xludf.DUMMYFUNCTION("""COMPUTED_VALUE"""),75.0)</f>
        <v>75</v>
      </c>
    </row>
    <row r="199" ht="26.25" customHeight="1">
      <c r="AD199" s="37">
        <f>IFERROR(__xludf.DUMMYFUNCTION("""COMPUTED_VALUE"""),82.0)</f>
        <v>82</v>
      </c>
      <c r="AH199" s="37">
        <f>IFERROR(__xludf.DUMMYFUNCTION("""COMPUTED_VALUE"""),84.0)</f>
        <v>84</v>
      </c>
      <c r="AI199" s="37">
        <f>IFERROR(__xludf.DUMMYFUNCTION("""COMPUTED_VALUE"""),86.0)</f>
        <v>86</v>
      </c>
    </row>
    <row r="200" ht="26.25" customHeight="1">
      <c r="AD200" s="37">
        <f>IFERROR(__xludf.DUMMYFUNCTION("""COMPUTED_VALUE"""),83.0)</f>
        <v>83</v>
      </c>
      <c r="AH200" s="37">
        <f>IFERROR(__xludf.DUMMYFUNCTION("""COMPUTED_VALUE"""),96.0)</f>
        <v>96</v>
      </c>
      <c r="AI200" s="37">
        <f>IFERROR(__xludf.DUMMYFUNCTION("""COMPUTED_VALUE"""),91.0)</f>
        <v>91</v>
      </c>
    </row>
    <row r="201" ht="26.25" customHeight="1">
      <c r="AD201" s="37">
        <f>IFERROR(__xludf.DUMMYFUNCTION("""COMPUTED_VALUE"""),85.0)</f>
        <v>85</v>
      </c>
      <c r="AH201" s="37">
        <f>IFERROR(__xludf.DUMMYFUNCTION("""COMPUTED_VALUE"""),102.0)</f>
        <v>102</v>
      </c>
      <c r="AI201" s="37">
        <f>IFERROR(__xludf.DUMMYFUNCTION("""COMPUTED_VALUE"""),93.0)</f>
        <v>93</v>
      </c>
    </row>
    <row r="202" ht="26.25" customHeight="1">
      <c r="AD202" s="37">
        <f>IFERROR(__xludf.DUMMYFUNCTION("""COMPUTED_VALUE"""),94.0)</f>
        <v>94</v>
      </c>
      <c r="AH202" s="37">
        <f>IFERROR(__xludf.DUMMYFUNCTION("""COMPUTED_VALUE"""),106.0)</f>
        <v>106</v>
      </c>
      <c r="AI202" s="37">
        <f>IFERROR(__xludf.DUMMYFUNCTION("""COMPUTED_VALUE"""),99.0)</f>
        <v>99</v>
      </c>
    </row>
    <row r="203" ht="26.25" customHeight="1">
      <c r="AD203" s="37">
        <f>IFERROR(__xludf.DUMMYFUNCTION("""COMPUTED_VALUE"""),97.0)</f>
        <v>97</v>
      </c>
      <c r="AH203" s="37">
        <f>IFERROR(__xludf.DUMMYFUNCTION("""COMPUTED_VALUE"""),119.0)</f>
        <v>119</v>
      </c>
      <c r="AI203" s="37">
        <f>IFERROR(__xludf.DUMMYFUNCTION("""COMPUTED_VALUE"""),100.0)</f>
        <v>100</v>
      </c>
    </row>
    <row r="204" ht="26.25" customHeight="1">
      <c r="AD204" s="37">
        <f>IFERROR(__xludf.DUMMYFUNCTION("""COMPUTED_VALUE"""),111.0)</f>
        <v>111</v>
      </c>
      <c r="AH204" s="37">
        <f>IFERROR(__xludf.DUMMYFUNCTION("""COMPUTED_VALUE"""),122.0)</f>
        <v>122</v>
      </c>
      <c r="AI204" s="37">
        <f>IFERROR(__xludf.DUMMYFUNCTION("""COMPUTED_VALUE"""),105.0)</f>
        <v>105</v>
      </c>
    </row>
    <row r="205" ht="26.25" customHeight="1">
      <c r="AD205" s="37">
        <f>IFERROR(__xludf.DUMMYFUNCTION("""COMPUTED_VALUE"""),131.0)</f>
        <v>131</v>
      </c>
      <c r="AH205" s="37">
        <f>IFERROR(__xludf.DUMMYFUNCTION("""COMPUTED_VALUE"""),142.0)</f>
        <v>142</v>
      </c>
      <c r="AI205" s="37">
        <f>IFERROR(__xludf.DUMMYFUNCTION("""COMPUTED_VALUE"""),108.0)</f>
        <v>108</v>
      </c>
    </row>
    <row r="206" ht="26.25" customHeight="1">
      <c r="AD206" s="37">
        <f>IFERROR(__xludf.DUMMYFUNCTION("""COMPUTED_VALUE"""),136.0)</f>
        <v>136</v>
      </c>
      <c r="AH206" s="37">
        <f>IFERROR(__xludf.DUMMYFUNCTION("""COMPUTED_VALUE"""),157.0)</f>
        <v>157</v>
      </c>
      <c r="AI206" s="37">
        <f>IFERROR(__xludf.DUMMYFUNCTION("""COMPUTED_VALUE"""),109.0)</f>
        <v>109</v>
      </c>
    </row>
    <row r="207" ht="26.25" customHeight="1">
      <c r="AD207" s="37">
        <f>IFERROR(__xludf.DUMMYFUNCTION("""COMPUTED_VALUE"""),139.0)</f>
        <v>139</v>
      </c>
      <c r="AH207" s="37">
        <f>IFERROR(__xludf.DUMMYFUNCTION("""COMPUTED_VALUE"""),161.0)</f>
        <v>161</v>
      </c>
      <c r="AI207" s="37">
        <f>IFERROR(__xludf.DUMMYFUNCTION("""COMPUTED_VALUE"""),115.0)</f>
        <v>115</v>
      </c>
    </row>
    <row r="208" ht="26.25" customHeight="1">
      <c r="AD208" s="37">
        <f>IFERROR(__xludf.DUMMYFUNCTION("""COMPUTED_VALUE"""),140.0)</f>
        <v>140</v>
      </c>
      <c r="AH208" s="37">
        <f>IFERROR(__xludf.DUMMYFUNCTION("""COMPUTED_VALUE"""),164.0)</f>
        <v>164</v>
      </c>
      <c r="AI208" s="37">
        <f>IFERROR(__xludf.DUMMYFUNCTION("""COMPUTED_VALUE"""),121.0)</f>
        <v>121</v>
      </c>
    </row>
    <row r="209" ht="26.25" customHeight="1">
      <c r="AD209" s="37">
        <f>IFERROR(__xludf.DUMMYFUNCTION("""COMPUTED_VALUE"""),145.0)</f>
        <v>145</v>
      </c>
      <c r="AH209" s="37">
        <f>IFERROR(__xludf.DUMMYFUNCTION("""COMPUTED_VALUE"""),168.0)</f>
        <v>168</v>
      </c>
      <c r="AI209" s="37">
        <f>IFERROR(__xludf.DUMMYFUNCTION("""COMPUTED_VALUE"""),134.0)</f>
        <v>134</v>
      </c>
    </row>
    <row r="210" ht="26.25" customHeight="1">
      <c r="AD210" s="37">
        <f>IFERROR(__xludf.DUMMYFUNCTION("""COMPUTED_VALUE"""),151.0)</f>
        <v>151</v>
      </c>
      <c r="AI210" s="37">
        <f>IFERROR(__xludf.DUMMYFUNCTION("""COMPUTED_VALUE"""),137.0)</f>
        <v>137</v>
      </c>
    </row>
    <row r="211" ht="26.25" customHeight="1">
      <c r="AD211" s="37">
        <f>IFERROR(__xludf.DUMMYFUNCTION("""COMPUTED_VALUE"""),153.0)</f>
        <v>153</v>
      </c>
      <c r="AI211" s="37">
        <f>IFERROR(__xludf.DUMMYFUNCTION("""COMPUTED_VALUE"""),143.0)</f>
        <v>143</v>
      </c>
    </row>
    <row r="212" ht="26.25" customHeight="1">
      <c r="AD212" s="37">
        <f>IFERROR(__xludf.DUMMYFUNCTION("""COMPUTED_VALUE"""),154.0)</f>
        <v>154</v>
      </c>
      <c r="AI212" s="37">
        <f>IFERROR(__xludf.DUMMYFUNCTION("""COMPUTED_VALUE"""),160.0)</f>
        <v>160</v>
      </c>
    </row>
    <row r="213" ht="26.25" customHeight="1">
      <c r="AD213" s="37">
        <f>IFERROR(__xludf.DUMMYFUNCTION("""COMPUTED_VALUE"""),165.0)</f>
        <v>165</v>
      </c>
      <c r="AI213" s="37">
        <f>IFERROR(__xludf.DUMMYFUNCTION("""COMPUTED_VALUE"""),173.0)</f>
        <v>173</v>
      </c>
    </row>
    <row r="214" ht="26.25" customHeight="1">
      <c r="AD214" s="37">
        <f>IFERROR(__xludf.DUMMYFUNCTION("""COMPUTED_VALUE"""),169.0)</f>
        <v>169</v>
      </c>
    </row>
    <row r="215" ht="26.25" customHeight="1">
      <c r="AD215" s="37">
        <f>IFERROR(__xludf.DUMMYFUNCTION("""COMPUTED_VALUE"""),172.0)</f>
        <v>172</v>
      </c>
    </row>
    <row r="216" ht="26.25" customHeight="1">
      <c r="AD216" s="37">
        <f>IFERROR(__xludf.DUMMYFUNCTION("""COMPUTED_VALUE"""),174.0)</f>
        <v>174</v>
      </c>
    </row>
    <row r="217" ht="26.25" customHeight="1">
      <c r="AD217" s="37">
        <f>IFERROR(__xludf.DUMMYFUNCTION("""COMPUTED_VALUE"""),176.0)</f>
        <v>176</v>
      </c>
    </row>
    <row r="218" ht="26.25" customHeight="1">
      <c r="AD218" s="37">
        <f>IFERROR(__xludf.DUMMYFUNCTION("""COMPUTED_VALUE"""),177.0)</f>
        <v>177</v>
      </c>
    </row>
    <row r="219" ht="26.25" customHeight="1">
      <c r="AD219" s="37">
        <f>IFERROR(__xludf.DUMMYFUNCTION("""COMPUTED_VALUE"""),179.0)</f>
        <v>179</v>
      </c>
    </row>
    <row r="220" ht="26.25" customHeight="1">
      <c r="AD220" s="37">
        <f>IFERROR(__xludf.DUMMYFUNCTION("""COMPUTED_VALUE"""),180.0)</f>
        <v>180</v>
      </c>
    </row>
    <row r="221" ht="26.25" customHeight="1">
      <c r="AD221" s="37">
        <f>IFERROR(__xludf.DUMMYFUNCTION("""COMPUTED_VALUE"""),181.0)</f>
        <v>181</v>
      </c>
    </row>
    <row r="222" ht="26.25" customHeight="1"/>
    <row r="223" ht="26.25" customHeight="1"/>
    <row r="224" ht="26.25" customHeight="1"/>
    <row r="225" ht="26.25" customHeight="1"/>
    <row r="226" ht="26.25" customHeight="1"/>
  </sheetData>
  <drawing r:id="rId1"/>
</worksheet>
</file>