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23C3580-4658-46A2-950D-568C6ED438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Шаблон модели экономики" sheetId="1" r:id="rId1"/>
    <sheet name="Модели экономики Melody" sheetId="2" r:id="rId2"/>
    <sheet name="Шаблон для платформы" sheetId="3" state="hidden" r:id="rId3"/>
    <sheet name="Когортный анализ Melod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3" l="1"/>
  <c r="M13" i="3"/>
  <c r="O13" i="3" s="1"/>
  <c r="AE6" i="3"/>
  <c r="AF6" i="3" s="1"/>
  <c r="N6" i="3"/>
  <c r="M6" i="3"/>
  <c r="D6" i="3"/>
  <c r="F6" i="3" s="1"/>
  <c r="H6" i="3" s="1"/>
  <c r="AQ41" i="2"/>
  <c r="AR41" i="2" s="1"/>
  <c r="N41" i="2"/>
  <c r="M41" i="2"/>
  <c r="O41" i="2" s="1"/>
  <c r="BE41" i="2" s="1"/>
  <c r="D41" i="2"/>
  <c r="F41" i="2" s="1"/>
  <c r="H41" i="2" s="1"/>
  <c r="J41" i="2" s="1"/>
  <c r="AQ34" i="2"/>
  <c r="N34" i="2"/>
  <c r="M34" i="2"/>
  <c r="O34" i="2" s="1"/>
  <c r="D34" i="2"/>
  <c r="F34" i="2" s="1"/>
  <c r="H34" i="2" s="1"/>
  <c r="J34" i="2" s="1"/>
  <c r="N27" i="2"/>
  <c r="M27" i="2"/>
  <c r="O27" i="2" s="1"/>
  <c r="D27" i="2"/>
  <c r="F27" i="2" s="1"/>
  <c r="H27" i="2" s="1"/>
  <c r="J27" i="2" s="1"/>
  <c r="F20" i="2"/>
  <c r="H20" i="2" s="1"/>
  <c r="J20" i="2" s="1"/>
  <c r="D20" i="2"/>
  <c r="D13" i="2"/>
  <c r="F13" i="2" s="1"/>
  <c r="H13" i="2" s="1"/>
  <c r="J13" i="2" s="1"/>
  <c r="M13" i="2" s="1"/>
  <c r="D6" i="2"/>
  <c r="F6" i="2" s="1"/>
  <c r="H6" i="2" s="1"/>
  <c r="J6" i="2" s="1"/>
  <c r="B4" i="4" s="1"/>
  <c r="AA41" i="1"/>
  <c r="AB41" i="1" s="1"/>
  <c r="N41" i="1"/>
  <c r="O41" i="1" s="1"/>
  <c r="M41" i="1"/>
  <c r="F41" i="1"/>
  <c r="H41" i="1" s="1"/>
  <c r="D41" i="1"/>
  <c r="AA34" i="1"/>
  <c r="N34" i="1"/>
  <c r="O34" i="1" s="1"/>
  <c r="AE34" i="1" s="1"/>
  <c r="M34" i="1"/>
  <c r="F34" i="1"/>
  <c r="H34" i="1" s="1"/>
  <c r="D34" i="1"/>
  <c r="N27" i="1"/>
  <c r="M27" i="1"/>
  <c r="O27" i="1" s="1"/>
  <c r="D27" i="1"/>
  <c r="F27" i="1" s="1"/>
  <c r="H27" i="1" s="1"/>
  <c r="D20" i="1"/>
  <c r="F20" i="1" s="1"/>
  <c r="H20" i="1" s="1"/>
  <c r="D13" i="1"/>
  <c r="F13" i="1" s="1"/>
  <c r="H13" i="1" s="1"/>
  <c r="K13" i="1" s="1"/>
  <c r="D6" i="1"/>
  <c r="F6" i="1" s="1"/>
  <c r="H6" i="1" s="1"/>
  <c r="AT41" i="2" l="1"/>
  <c r="BG41" i="2"/>
  <c r="BJ41" i="2"/>
  <c r="AV41" i="2"/>
  <c r="AS41" i="2"/>
  <c r="AU41" i="2"/>
  <c r="S34" i="1"/>
  <c r="AC34" i="1" s="1"/>
  <c r="U34" i="1"/>
  <c r="T34" i="1"/>
  <c r="AB34" i="1"/>
  <c r="AI41" i="1"/>
  <c r="U41" i="1"/>
  <c r="AC41" i="1"/>
  <c r="T41" i="1"/>
  <c r="S41" i="1"/>
  <c r="AJ41" i="1" s="1"/>
  <c r="AM41" i="1"/>
  <c r="AG41" i="1"/>
  <c r="AL41" i="1"/>
  <c r="AU34" i="2"/>
  <c r="AR34" i="2"/>
  <c r="W6" i="3"/>
  <c r="AJ6" i="3" s="1"/>
  <c r="V6" i="3"/>
  <c r="U6" i="3"/>
  <c r="AI6" i="3"/>
  <c r="AM6" i="3"/>
  <c r="H13" i="3"/>
  <c r="F13" i="3" s="1"/>
  <c r="D13" i="3" s="1"/>
  <c r="B13" i="3" s="1"/>
  <c r="AG6" i="3"/>
  <c r="AH6" i="3"/>
  <c r="Q6" i="3"/>
  <c r="L20" i="1"/>
  <c r="M20" i="1"/>
  <c r="Q20" i="1"/>
  <c r="N20" i="1"/>
  <c r="X27" i="1"/>
  <c r="U27" i="1"/>
  <c r="S27" i="1"/>
  <c r="T27" i="1"/>
  <c r="AK41" i="2"/>
  <c r="AD34" i="2"/>
  <c r="AK27" i="2"/>
  <c r="AJ41" i="2"/>
  <c r="AC34" i="2"/>
  <c r="AJ27" i="2"/>
  <c r="AI41" i="2"/>
  <c r="AB34" i="2"/>
  <c r="AI27" i="2"/>
  <c r="AC27" i="2"/>
  <c r="AB27" i="2"/>
  <c r="AA27" i="2"/>
  <c r="W20" i="2"/>
  <c r="AE34" i="2"/>
  <c r="AH41" i="2"/>
  <c r="AA34" i="2"/>
  <c r="AH27" i="2"/>
  <c r="AF27" i="2"/>
  <c r="AE41" i="2"/>
  <c r="AD41" i="2"/>
  <c r="AD27" i="2"/>
  <c r="AD20" i="2"/>
  <c r="AC41" i="2"/>
  <c r="AX41" i="2" s="1"/>
  <c r="AC20" i="2"/>
  <c r="AJ34" i="2"/>
  <c r="AA20" i="2"/>
  <c r="AI34" i="2"/>
  <c r="AV34" i="2" s="1"/>
  <c r="AH34" i="2"/>
  <c r="AF34" i="2"/>
  <c r="AG41" i="2"/>
  <c r="AG27" i="2"/>
  <c r="AI20" i="2"/>
  <c r="AF41" i="2"/>
  <c r="AF20" i="2"/>
  <c r="AE27" i="2"/>
  <c r="AB41" i="2"/>
  <c r="BB41" i="2" s="1"/>
  <c r="AB20" i="2"/>
  <c r="X20" i="2"/>
  <c r="AE20" i="2"/>
  <c r="Z20" i="2"/>
  <c r="Y20" i="2"/>
  <c r="V20" i="2"/>
  <c r="AJ20" i="2" s="1"/>
  <c r="AK34" i="2"/>
  <c r="AA41" i="2"/>
  <c r="AW41" i="2" s="1"/>
  <c r="AG34" i="2"/>
  <c r="P6" i="3"/>
  <c r="L4" i="4"/>
  <c r="K4" i="4"/>
  <c r="I4" i="4"/>
  <c r="M4" i="4"/>
  <c r="J4" i="4"/>
  <c r="H4" i="4"/>
  <c r="C4" i="4"/>
  <c r="G4" i="4"/>
  <c r="F4" i="4"/>
  <c r="E4" i="4"/>
  <c r="D4" i="4"/>
  <c r="AA27" i="1"/>
  <c r="AN27" i="2"/>
  <c r="AQ27" i="2"/>
  <c r="BK41" i="2" l="1"/>
  <c r="AP6" i="3"/>
  <c r="AK6" i="3"/>
  <c r="AL6" i="3" s="1"/>
  <c r="AF41" i="1"/>
  <c r="AH41" i="1" s="1"/>
  <c r="AZ41" i="2"/>
  <c r="AQ6" i="3"/>
  <c r="AD41" i="1"/>
  <c r="BA41" i="2"/>
  <c r="AY41" i="2"/>
  <c r="AE41" i="1"/>
  <c r="AK20" i="2"/>
  <c r="AS34" i="2"/>
  <c r="AT34" i="2" s="1"/>
  <c r="AW34" i="2" s="1"/>
  <c r="AN6" i="3"/>
  <c r="AO6" i="3" s="1"/>
  <c r="AR6" i="3" s="1"/>
  <c r="AK41" i="1"/>
  <c r="AN41" i="1" s="1"/>
  <c r="BC41" i="2"/>
  <c r="P13" i="3"/>
  <c r="Y27" i="1"/>
  <c r="AD34" i="1"/>
  <c r="Z27" i="1"/>
  <c r="AB27" i="1" s="1"/>
  <c r="R20" i="1"/>
  <c r="S20" i="1" s="1"/>
  <c r="BH41" i="2"/>
  <c r="BI41" i="2" s="1"/>
  <c r="BL41" i="2" s="1"/>
  <c r="AO27" i="2"/>
  <c r="AP27" i="2" s="1"/>
  <c r="AR27" i="2" s="1"/>
  <c r="AF34" i="1"/>
  <c r="BD41" i="2"/>
  <c r="BF41" i="2" s="1"/>
  <c r="AG3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3" authorId="0" shapeId="0" xr:uid="{00000000-0006-0000-0200-000001000000}">
      <text>
        <r>
          <rPr>
            <sz val="10"/>
            <color rgb="FF000000"/>
            <rFont val="Arial"/>
            <scheme val="minor"/>
          </rPr>
          <t xml:space="preserve">Это обратная задача. Здесь мы воронку начинаем с выхода, т.к. он обусловлен стороной спроса.
</t>
        </r>
      </text>
    </comment>
  </commentList>
</comments>
</file>

<file path=xl/sharedStrings.xml><?xml version="1.0" encoding="utf-8"?>
<sst xmlns="http://schemas.openxmlformats.org/spreadsheetml/2006/main" count="503" uniqueCount="125">
  <si>
    <t>Шаг 1. Воронка привлечения новых клиентов</t>
  </si>
  <si>
    <t>Воронка привлечения</t>
  </si>
  <si>
    <t>Количество потребителей на входе воронки</t>
  </si>
  <si>
    <t>Конверсия из входа воронки в шаг 2</t>
  </si>
  <si>
    <t>Количество на шаге 2</t>
  </si>
  <si>
    <t>Конверсия из шага 2 в шаг 3</t>
  </si>
  <si>
    <t>Количество на шаге 3</t>
  </si>
  <si>
    <t>Конверсия из шага 3 в клиента</t>
  </si>
  <si>
    <t>Количество клиентов на выходе из воронки</t>
  </si>
  <si>
    <t>Таким цветом выделены ячейки с тестовыми данными</t>
  </si>
  <si>
    <t>Таким цветом выделены ячейки с расчётными данными</t>
  </si>
  <si>
    <t>Таким цветом выделены новые ячейки, которые мы добавили на каждом шаге</t>
  </si>
  <si>
    <t>Данные за конкретный период</t>
  </si>
  <si>
    <t>Шаг 2. Новые клиенты совершают покупки</t>
  </si>
  <si>
    <t>Сделки</t>
  </si>
  <si>
    <t>Экономика</t>
  </si>
  <si>
    <t>Среднее количество покупок на клиента за период</t>
  </si>
  <si>
    <t>Средний чек одной покупки</t>
  </si>
  <si>
    <t>Выручка с новых клиентов за первый период</t>
  </si>
  <si>
    <t>Шаг 3. Отток клиентов</t>
  </si>
  <si>
    <t>Удержание клиентов</t>
  </si>
  <si>
    <t>Retention клиентов 2 периода</t>
  </si>
  <si>
    <t>Retention клиентов 3 периода</t>
  </si>
  <si>
    <t>Retention клиентов 4 периода</t>
  </si>
  <si>
    <t>Количество оставшихся клиентов во 2 периоде</t>
  </si>
  <si>
    <t>Количество оставшихся клиентов в 3 периоде</t>
  </si>
  <si>
    <t>Количество оставшихся клиентов в 4 периоде</t>
  </si>
  <si>
    <t>Выручка с удержанных клиентов</t>
  </si>
  <si>
    <t>Общая выручка за 4 периода</t>
  </si>
  <si>
    <t>Шаг 4. Стоимость привлечения клиента</t>
  </si>
  <si>
    <t>Стоимость привлечения клиента</t>
  </si>
  <si>
    <t>Стоимость потребителя на входе воронки</t>
  </si>
  <si>
    <t>Стоимость конверсии во второй шаг</t>
  </si>
  <si>
    <t>Стоимость конверсии в третий шаг</t>
  </si>
  <si>
    <t>Стоимость конверсии в последний шаг</t>
  </si>
  <si>
    <t>Стоимость привлечения клиента (только маркетинг)</t>
  </si>
  <si>
    <t>Стоимость активации клиента</t>
  </si>
  <si>
    <t>Общая стоимость привлечения клиента</t>
  </si>
  <si>
    <t>Общие расходы на привлечение клиентов</t>
  </si>
  <si>
    <t>Прибыль за 4 периода</t>
  </si>
  <si>
    <t>Шаг 5. Себестоимость товаров и услуг</t>
  </si>
  <si>
    <t>Затраты на каждую сделку</t>
  </si>
  <si>
    <t>Стоимость конверсии в клиента</t>
  </si>
  <si>
    <t>Затраты 1</t>
  </si>
  <si>
    <t>Затраты 2</t>
  </si>
  <si>
    <t>Затраты 3</t>
  </si>
  <si>
    <t>Совокупные затраты</t>
  </si>
  <si>
    <t>Общие расходы на проведение сделок</t>
  </si>
  <si>
    <t>Шаг 6. Сходимость юнит-экономики</t>
  </si>
  <si>
    <t>Метрики сходимости экономики</t>
  </si>
  <si>
    <t>Маржинальная прибыль с клиента за один период</t>
  </si>
  <si>
    <t>LTV1 (период привлечения клиента)</t>
  </si>
  <si>
    <t>LTV2</t>
  </si>
  <si>
    <t>LTV3</t>
  </si>
  <si>
    <t>LTV4</t>
  </si>
  <si>
    <t>ROI</t>
  </si>
  <si>
    <t>Количество увидевших рекламу</t>
  </si>
  <si>
    <t>Конверсия в клик по рекламе</t>
  </si>
  <si>
    <t>Количество посетителей страницы приложения в магазине</t>
  </si>
  <si>
    <t>Конверсия из посетителей страницы в установку приложения</t>
  </si>
  <si>
    <t>Количество скачавших приложение</t>
  </si>
  <si>
    <t>Конверсия из установки в регистрацию</t>
  </si>
  <si>
    <t>Количество регистраций</t>
  </si>
  <si>
    <t>Конверсия из регистрации в покупку</t>
  </si>
  <si>
    <t>Количество купивших подписку</t>
  </si>
  <si>
    <t>Таким цветом выделены ячейки с расчетными данными</t>
  </si>
  <si>
    <t>Стоимость ежемесячной подписки</t>
  </si>
  <si>
    <t>Retention клиентов 5 периода</t>
  </si>
  <si>
    <t>Retention клиентов 6 периода</t>
  </si>
  <si>
    <t>Retention клиентов 7 периода</t>
  </si>
  <si>
    <t>Retention клиентов 8 периода</t>
  </si>
  <si>
    <t>Retention клиентов 9 периода</t>
  </si>
  <si>
    <t>Retention клиентов 10 периода</t>
  </si>
  <si>
    <t>Retention клиентов 11 периода</t>
  </si>
  <si>
    <t>Retention клиентов 12 периода</t>
  </si>
  <si>
    <t>Количество оставшихся клиентов в 2 периоде</t>
  </si>
  <si>
    <t>Количество оставшихся клиентов во 3 периоде</t>
  </si>
  <si>
    <t>Количество оставшихся клиентов в 5 периоде</t>
  </si>
  <si>
    <t>Количество оставшихся клиентов в 6 периоде</t>
  </si>
  <si>
    <t>Количество оставшихся клиентов в 7 периоде</t>
  </si>
  <si>
    <t>Количество оставшихся клиентов в 8 периоде</t>
  </si>
  <si>
    <t>Количество оставшихся клиентов в 9 периоде</t>
  </si>
  <si>
    <t>Количество оставшихся клиентов в 10 периоде</t>
  </si>
  <si>
    <t>Количество оставшихся клиентов в 11 периоде</t>
  </si>
  <si>
    <t>Количество оставшихся клиентов в 12 периоде</t>
  </si>
  <si>
    <t>Общая выручка за 12 периодов</t>
  </si>
  <si>
    <t>Стоимость клика по рекламному объявлению в Яндекс Директе</t>
  </si>
  <si>
    <t>Стоимость скидки за первую покупку подписки</t>
  </si>
  <si>
    <t xml:space="preserve">Стоимость привлечения клиента </t>
  </si>
  <si>
    <t>Общая стоимость клиента</t>
  </si>
  <si>
    <t>Прибыль за 12 периодов</t>
  </si>
  <si>
    <t>Затраты в месяц на одного платящего пользователя</t>
  </si>
  <si>
    <t>Затраты на эквайринг</t>
  </si>
  <si>
    <t>Затраты на push-уведомления</t>
  </si>
  <si>
    <t>Затраты на хостинг и стриминг</t>
  </si>
  <si>
    <t>Общие расходы на проведение сделок за 12 периодов</t>
  </si>
  <si>
    <t>LTV5</t>
  </si>
  <si>
    <t>LTV6</t>
  </si>
  <si>
    <t>LTV7</t>
  </si>
  <si>
    <t>LTV8</t>
  </si>
  <si>
    <t>LTV9</t>
  </si>
  <si>
    <t>LTV10</t>
  </si>
  <si>
    <t>LTV11</t>
  </si>
  <si>
    <t>LTV12</t>
  </si>
  <si>
    <t>Сторона спроса</t>
  </si>
  <si>
    <t>Количество человек на входе воронки</t>
  </si>
  <si>
    <t>Конверсия из входа воронки в шаг 3</t>
  </si>
  <si>
    <t>Конверсия из входа воронки в клиента</t>
  </si>
  <si>
    <t>Стоимость человека на входе воронки</t>
  </si>
  <si>
    <t>Коэффициент баланса</t>
  </si>
  <si>
    <t>Стоимость привлечения стороны спроса на одного клиента</t>
  </si>
  <si>
    <t>Retention клиентов 1 периода</t>
  </si>
  <si>
    <t>Количество оставшихся клиентов в 1 периоде</t>
  </si>
  <si>
    <t>Затраты 4</t>
  </si>
  <si>
    <t>Затраты 5</t>
  </si>
  <si>
    <t>Чистая прибыль с клиента за один период</t>
  </si>
  <si>
    <t>LTV0 (период привлечения клиента)</t>
  </si>
  <si>
    <t>LTV1</t>
  </si>
  <si>
    <t>Сторона предложения</t>
  </si>
  <si>
    <t>Общие расходы на привлечение стороны предложения</t>
  </si>
  <si>
    <t>Новые</t>
  </si>
  <si>
    <t>Удержанные клиенты</t>
  </si>
  <si>
    <t>Периоды</t>
  </si>
  <si>
    <t>Retention</t>
  </si>
  <si>
    <t>Оставшихся в когорте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</si>
</sst>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9" fontId="2" fillId="4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6" borderId="0" xfId="0" applyFont="1" applyFill="1" applyAlignment="1"/>
    <xf numFmtId="0" fontId="1" fillId="0" borderId="0" xfId="0" applyFont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0" fontId="1" fillId="7" borderId="0" xfId="0" applyFont="1" applyFill="1" applyAlignment="1"/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9" fontId="2" fillId="4" borderId="0" xfId="0" applyNumberFormat="1" applyFont="1" applyFill="1" applyAlignment="1">
      <alignment vertical="center"/>
    </xf>
    <xf numFmtId="1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5" borderId="0" xfId="0" applyFont="1" applyFill="1" applyAlignment="1"/>
    <xf numFmtId="0" fontId="2" fillId="4" borderId="0" xfId="0" applyFont="1" applyFill="1" applyAlignment="1">
      <alignment vertical="center"/>
    </xf>
    <xf numFmtId="3" fontId="2" fillId="0" borderId="2" xfId="0" applyNumberFormat="1" applyFont="1" applyBorder="1" applyAlignment="1">
      <alignment vertical="center"/>
    </xf>
    <xf numFmtId="0" fontId="1" fillId="7" borderId="2" xfId="0" applyFont="1" applyFill="1" applyBorder="1" applyAlignment="1"/>
    <xf numFmtId="0" fontId="2" fillId="0" borderId="2" xfId="0" applyFont="1" applyBorder="1" applyAlignment="1">
      <alignment vertical="center"/>
    </xf>
    <xf numFmtId="0" fontId="2" fillId="5" borderId="0" xfId="0" applyFont="1" applyFill="1"/>
    <xf numFmtId="0" fontId="2" fillId="5" borderId="2" xfId="0" applyFont="1" applyFill="1" applyBorder="1"/>
    <xf numFmtId="0" fontId="1" fillId="3" borderId="2" xfId="0" applyFont="1" applyFill="1" applyBorder="1" applyAlignment="1">
      <alignment vertical="center"/>
    </xf>
    <xf numFmtId="10" fontId="2" fillId="0" borderId="2" xfId="0" applyNumberFormat="1" applyFont="1" applyBorder="1" applyAlignment="1">
      <alignment vertical="center"/>
    </xf>
    <xf numFmtId="3" fontId="2" fillId="4" borderId="0" xfId="0" applyNumberFormat="1" applyFont="1" applyFill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vertical="center"/>
    </xf>
    <xf numFmtId="0" fontId="2" fillId="0" borderId="0" xfId="0" applyFont="1"/>
    <xf numFmtId="0" fontId="1" fillId="8" borderId="0" xfId="0" applyFont="1" applyFill="1" applyAlignment="1">
      <alignment vertical="center" wrapText="1"/>
    </xf>
    <xf numFmtId="165" fontId="2" fillId="4" borderId="0" xfId="0" applyNumberFormat="1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3" fontId="2" fillId="0" borderId="0" xfId="0" applyNumberFormat="1" applyFont="1"/>
    <xf numFmtId="0" fontId="1" fillId="8" borderId="2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0" fontId="1" fillId="5" borderId="0" xfId="0" applyFont="1" applyFill="1" applyAlignment="1">
      <alignment vertical="center"/>
    </xf>
    <xf numFmtId="166" fontId="4" fillId="0" borderId="0" xfId="0" applyNumberFormat="1" applyFont="1" applyAlignment="1">
      <alignment horizontal="right" vertical="center"/>
    </xf>
    <xf numFmtId="0" fontId="1" fillId="7" borderId="0" xfId="0" applyFont="1" applyFill="1" applyAlignment="1"/>
    <xf numFmtId="0" fontId="0" fillId="0" borderId="0" xfId="0" applyFont="1" applyAlignment="1"/>
    <xf numFmtId="0" fontId="1" fillId="5" borderId="1" xfId="0" applyFont="1" applyFill="1" applyBorder="1" applyAlignment="1"/>
    <xf numFmtId="0" fontId="3" fillId="0" borderId="2" xfId="0" applyFont="1" applyBorder="1"/>
    <xf numFmtId="0" fontId="1" fillId="6" borderId="0" xfId="0" applyFont="1" applyFill="1" applyAlignment="1"/>
    <xf numFmtId="0" fontId="1" fillId="2" borderId="0" xfId="0" applyFont="1" applyFill="1" applyAlignment="1"/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5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S41"/>
  <sheetViews>
    <sheetView tabSelected="1" workbookViewId="0"/>
  </sheetViews>
  <sheetFormatPr defaultColWidth="12.5703125" defaultRowHeight="15.75" customHeight="1" x14ac:dyDescent="0.2"/>
  <cols>
    <col min="1" max="1" width="15.85546875" customWidth="1"/>
    <col min="2" max="2" width="12.7109375" customWidth="1"/>
    <col min="3" max="3" width="11.140625" customWidth="1"/>
    <col min="4" max="4" width="10.7109375" customWidth="1"/>
    <col min="5" max="5" width="10.85546875" customWidth="1"/>
    <col min="6" max="6" width="11.42578125" customWidth="1"/>
    <col min="7" max="7" width="10.28515625" customWidth="1"/>
    <col min="11" max="11" width="14.42578125" customWidth="1"/>
    <col min="13" max="13" width="13.140625" customWidth="1"/>
    <col min="17" max="17" width="14.42578125" customWidth="1"/>
    <col min="22" max="22" width="14.42578125" customWidth="1"/>
    <col min="24" max="24" width="15" customWidth="1"/>
    <col min="26" max="26" width="14.7109375" customWidth="1"/>
  </cols>
  <sheetData>
    <row r="2" spans="1:45" x14ac:dyDescent="0.2">
      <c r="B2" s="1" t="s">
        <v>0</v>
      </c>
    </row>
    <row r="4" spans="1:45" x14ac:dyDescent="0.2">
      <c r="A4" s="2"/>
      <c r="B4" s="56" t="s">
        <v>1</v>
      </c>
      <c r="C4" s="52"/>
      <c r="D4" s="52"/>
      <c r="E4" s="52"/>
      <c r="F4" s="52"/>
      <c r="G4" s="52"/>
      <c r="H4" s="52"/>
    </row>
    <row r="5" spans="1:45" ht="51" x14ac:dyDescent="0.2">
      <c r="A5" s="3"/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J5" s="57" t="s">
        <v>9</v>
      </c>
      <c r="K5" s="52"/>
      <c r="L5" s="58" t="s">
        <v>10</v>
      </c>
      <c r="M5" s="52"/>
      <c r="N5" s="59" t="s">
        <v>11</v>
      </c>
      <c r="O5" s="52"/>
    </row>
    <row r="6" spans="1:45" ht="38.25" x14ac:dyDescent="0.2">
      <c r="A6" s="5" t="s">
        <v>12</v>
      </c>
      <c r="B6" s="6">
        <v>10000</v>
      </c>
      <c r="C6" s="7">
        <v>0.8</v>
      </c>
      <c r="D6" s="8">
        <f>B6*C6</f>
        <v>8000</v>
      </c>
      <c r="E6" s="7">
        <v>0.6</v>
      </c>
      <c r="F6" s="8">
        <f>D6*E6</f>
        <v>4800</v>
      </c>
      <c r="G6" s="7">
        <v>0.65</v>
      </c>
      <c r="H6" s="9">
        <f>F6*G6</f>
        <v>3120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9" spans="1:45" x14ac:dyDescent="0.2">
      <c r="B9" s="1" t="s">
        <v>13</v>
      </c>
    </row>
    <row r="11" spans="1:45" x14ac:dyDescent="0.2">
      <c r="A11" s="2"/>
      <c r="B11" s="56" t="s">
        <v>1</v>
      </c>
      <c r="C11" s="52"/>
      <c r="D11" s="52"/>
      <c r="E11" s="52"/>
      <c r="F11" s="52"/>
      <c r="G11" s="52"/>
      <c r="H11" s="52"/>
      <c r="I11" s="53" t="s">
        <v>14</v>
      </c>
      <c r="J11" s="54"/>
      <c r="K11" s="10" t="s">
        <v>15</v>
      </c>
    </row>
    <row r="12" spans="1:45" ht="63.75" x14ac:dyDescent="0.2">
      <c r="A12" s="3"/>
      <c r="B12" s="11" t="s">
        <v>2</v>
      </c>
      <c r="C12" s="11" t="s">
        <v>3</v>
      </c>
      <c r="D12" s="11" t="s">
        <v>4</v>
      </c>
      <c r="E12" s="11" t="s">
        <v>5</v>
      </c>
      <c r="F12" s="11" t="s">
        <v>6</v>
      </c>
      <c r="G12" s="11" t="s">
        <v>7</v>
      </c>
      <c r="H12" s="11" t="s">
        <v>8</v>
      </c>
      <c r="I12" s="12" t="s">
        <v>16</v>
      </c>
      <c r="J12" s="13" t="s">
        <v>17</v>
      </c>
      <c r="K12" s="4" t="s">
        <v>18</v>
      </c>
    </row>
    <row r="13" spans="1:45" ht="38.25" x14ac:dyDescent="0.2">
      <c r="A13" s="5" t="s">
        <v>12</v>
      </c>
      <c r="B13" s="6">
        <v>10000</v>
      </c>
      <c r="C13" s="7">
        <v>0.8</v>
      </c>
      <c r="D13" s="8">
        <f>B13*C13</f>
        <v>8000</v>
      </c>
      <c r="E13" s="7">
        <v>0.6</v>
      </c>
      <c r="F13" s="8">
        <f>D13*E13</f>
        <v>4800</v>
      </c>
      <c r="G13" s="7">
        <v>0.65</v>
      </c>
      <c r="H13" s="9">
        <f>F13*G13</f>
        <v>3120</v>
      </c>
      <c r="I13" s="14">
        <v>2</v>
      </c>
      <c r="J13" s="15">
        <v>3500</v>
      </c>
      <c r="K13" s="16">
        <f>H13*I13*J13</f>
        <v>21840000</v>
      </c>
    </row>
    <row r="16" spans="1:45" x14ac:dyDescent="0.2">
      <c r="B16" s="1" t="s">
        <v>19</v>
      </c>
    </row>
    <row r="18" spans="1:45" x14ac:dyDescent="0.2">
      <c r="A18" s="2"/>
      <c r="B18" s="56" t="s">
        <v>1</v>
      </c>
      <c r="C18" s="52"/>
      <c r="D18" s="52"/>
      <c r="E18" s="52"/>
      <c r="F18" s="52"/>
      <c r="G18" s="52"/>
      <c r="H18" s="54"/>
      <c r="I18" s="51" t="s">
        <v>20</v>
      </c>
      <c r="J18" s="52"/>
      <c r="K18" s="52"/>
      <c r="L18" s="52"/>
      <c r="M18" s="52"/>
      <c r="N18" s="52"/>
      <c r="O18" s="53" t="s">
        <v>14</v>
      </c>
      <c r="P18" s="54"/>
      <c r="Q18" s="55" t="s">
        <v>15</v>
      </c>
      <c r="R18" s="52"/>
      <c r="S18" s="52"/>
    </row>
    <row r="19" spans="1:45" ht="63.75" x14ac:dyDescent="0.2">
      <c r="A19" s="3"/>
      <c r="B19" s="11" t="s">
        <v>2</v>
      </c>
      <c r="C19" s="11" t="s">
        <v>3</v>
      </c>
      <c r="D19" s="11" t="s">
        <v>4</v>
      </c>
      <c r="E19" s="11" t="s">
        <v>5</v>
      </c>
      <c r="F19" s="11" t="s">
        <v>6</v>
      </c>
      <c r="G19" s="11" t="s">
        <v>7</v>
      </c>
      <c r="H19" s="18" t="s">
        <v>8</v>
      </c>
      <c r="I19" s="4" t="s">
        <v>21</v>
      </c>
      <c r="J19" s="4" t="s">
        <v>22</v>
      </c>
      <c r="K19" s="4" t="s">
        <v>23</v>
      </c>
      <c r="L19" s="4" t="s">
        <v>24</v>
      </c>
      <c r="M19" s="4" t="s">
        <v>25</v>
      </c>
      <c r="N19" s="4" t="s">
        <v>26</v>
      </c>
      <c r="O19" s="19" t="s">
        <v>16</v>
      </c>
      <c r="P19" s="18" t="s">
        <v>17</v>
      </c>
      <c r="Q19" s="11" t="s">
        <v>18</v>
      </c>
      <c r="R19" s="4" t="s">
        <v>27</v>
      </c>
      <c r="S19" s="4" t="s">
        <v>28</v>
      </c>
    </row>
    <row r="20" spans="1:45" ht="38.25" x14ac:dyDescent="0.2">
      <c r="A20" s="5" t="s">
        <v>12</v>
      </c>
      <c r="B20" s="6">
        <v>10000</v>
      </c>
      <c r="C20" s="7">
        <v>0.8</v>
      </c>
      <c r="D20" s="8">
        <f>B20*C20</f>
        <v>8000</v>
      </c>
      <c r="E20" s="7">
        <v>0.6</v>
      </c>
      <c r="F20" s="8">
        <f>D20*E20</f>
        <v>4800</v>
      </c>
      <c r="G20" s="7">
        <v>0.65</v>
      </c>
      <c r="H20" s="20">
        <f>F20*G20</f>
        <v>3120</v>
      </c>
      <c r="I20" s="21">
        <v>0.3</v>
      </c>
      <c r="J20" s="21">
        <v>0.2</v>
      </c>
      <c r="K20" s="21">
        <v>0.1</v>
      </c>
      <c r="L20" s="22">
        <f>H20*I20</f>
        <v>936</v>
      </c>
      <c r="M20" s="22">
        <f>H20*J20</f>
        <v>624</v>
      </c>
      <c r="N20" s="22">
        <f>H20*K20</f>
        <v>312</v>
      </c>
      <c r="O20" s="14">
        <v>2</v>
      </c>
      <c r="P20" s="15">
        <v>3500</v>
      </c>
      <c r="Q20" s="23">
        <f>H20*O20*P20</f>
        <v>21840000</v>
      </c>
      <c r="R20" s="23">
        <f>SUM(L20:N20)*O20*P20</f>
        <v>13104000</v>
      </c>
      <c r="S20" s="23">
        <f>SUM(Q20:R20)</f>
        <v>34944000</v>
      </c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</row>
    <row r="23" spans="1:45" x14ac:dyDescent="0.2">
      <c r="B23" s="1" t="s">
        <v>29</v>
      </c>
    </row>
    <row r="25" spans="1:45" x14ac:dyDescent="0.2">
      <c r="A25" s="2"/>
      <c r="B25" s="56" t="s">
        <v>1</v>
      </c>
      <c r="C25" s="52"/>
      <c r="D25" s="52"/>
      <c r="E25" s="52"/>
      <c r="F25" s="52"/>
      <c r="G25" s="52"/>
      <c r="H25" s="54"/>
      <c r="I25" s="60" t="s">
        <v>30</v>
      </c>
      <c r="J25" s="52"/>
      <c r="K25" s="52"/>
      <c r="L25" s="52"/>
      <c r="M25" s="52"/>
      <c r="N25" s="52"/>
      <c r="O25" s="54"/>
      <c r="P25" s="51" t="s">
        <v>20</v>
      </c>
      <c r="Q25" s="52"/>
      <c r="R25" s="52"/>
      <c r="S25" s="52"/>
      <c r="T25" s="52"/>
      <c r="U25" s="52"/>
      <c r="V25" s="53" t="s">
        <v>14</v>
      </c>
      <c r="W25" s="54"/>
      <c r="X25" s="55" t="s">
        <v>15</v>
      </c>
      <c r="Y25" s="52"/>
      <c r="Z25" s="52"/>
      <c r="AA25" s="52"/>
      <c r="AB25" s="52"/>
    </row>
    <row r="26" spans="1:45" ht="63.75" x14ac:dyDescent="0.2">
      <c r="A26" s="3"/>
      <c r="B26" s="11" t="s">
        <v>2</v>
      </c>
      <c r="C26" s="11" t="s">
        <v>3</v>
      </c>
      <c r="D26" s="11" t="s">
        <v>4</v>
      </c>
      <c r="E26" s="11" t="s">
        <v>5</v>
      </c>
      <c r="F26" s="11" t="s">
        <v>6</v>
      </c>
      <c r="G26" s="11" t="s">
        <v>7</v>
      </c>
      <c r="H26" s="18" t="s">
        <v>8</v>
      </c>
      <c r="I26" s="4" t="s">
        <v>31</v>
      </c>
      <c r="J26" s="4" t="s">
        <v>32</v>
      </c>
      <c r="K26" s="4" t="s">
        <v>33</v>
      </c>
      <c r="L26" s="4" t="s">
        <v>34</v>
      </c>
      <c r="M26" s="4" t="s">
        <v>35</v>
      </c>
      <c r="N26" s="4" t="s">
        <v>36</v>
      </c>
      <c r="O26" s="13" t="s">
        <v>37</v>
      </c>
      <c r="P26" s="11" t="s">
        <v>21</v>
      </c>
      <c r="Q26" s="11" t="s">
        <v>22</v>
      </c>
      <c r="R26" s="11" t="s">
        <v>23</v>
      </c>
      <c r="S26" s="11" t="s">
        <v>24</v>
      </c>
      <c r="T26" s="11" t="s">
        <v>25</v>
      </c>
      <c r="U26" s="11" t="s">
        <v>26</v>
      </c>
      <c r="V26" s="19" t="s">
        <v>16</v>
      </c>
      <c r="W26" s="18" t="s">
        <v>17</v>
      </c>
      <c r="X26" s="11" t="s">
        <v>18</v>
      </c>
      <c r="Y26" s="11" t="s">
        <v>27</v>
      </c>
      <c r="Z26" s="11" t="s">
        <v>28</v>
      </c>
      <c r="AA26" s="4" t="s">
        <v>38</v>
      </c>
      <c r="AB26" s="4" t="s">
        <v>39</v>
      </c>
    </row>
    <row r="27" spans="1:45" ht="38.25" x14ac:dyDescent="0.2">
      <c r="A27" s="5" t="s">
        <v>12</v>
      </c>
      <c r="B27" s="6">
        <v>10000</v>
      </c>
      <c r="C27" s="7">
        <v>0.8</v>
      </c>
      <c r="D27" s="8">
        <f>B27*C27</f>
        <v>8000</v>
      </c>
      <c r="E27" s="7">
        <v>0.6</v>
      </c>
      <c r="F27" s="8">
        <f>D27*E27</f>
        <v>4800</v>
      </c>
      <c r="G27" s="7">
        <v>0.65</v>
      </c>
      <c r="H27" s="20">
        <f>F27*G27</f>
        <v>3120</v>
      </c>
      <c r="I27" s="26">
        <v>1200</v>
      </c>
      <c r="J27" s="26">
        <v>300</v>
      </c>
      <c r="K27" s="26">
        <v>700</v>
      </c>
      <c r="L27" s="26">
        <v>30</v>
      </c>
      <c r="M27" s="23">
        <f>I27/C27/E27/G27</f>
        <v>3846.1538461538462</v>
      </c>
      <c r="N27" s="23">
        <f>J27/E27/G27+K27/G27+L27</f>
        <v>1876.1538461538462</v>
      </c>
      <c r="O27" s="27">
        <f>M27+N27</f>
        <v>5722.3076923076924</v>
      </c>
      <c r="P27" s="21">
        <v>0.3</v>
      </c>
      <c r="Q27" s="21">
        <v>0.2</v>
      </c>
      <c r="R27" s="21">
        <v>0.1</v>
      </c>
      <c r="S27" s="22">
        <f>H27*P27</f>
        <v>936</v>
      </c>
      <c r="T27" s="22">
        <f>H27*Q27</f>
        <v>624</v>
      </c>
      <c r="U27" s="22">
        <f>H27*R27</f>
        <v>312</v>
      </c>
      <c r="V27" s="14">
        <v>2</v>
      </c>
      <c r="W27" s="15">
        <v>3500</v>
      </c>
      <c r="X27" s="23">
        <f>H27*V27*W27</f>
        <v>21840000</v>
      </c>
      <c r="Y27" s="23">
        <f>SUM(S27:U27)*V27*W27</f>
        <v>13104000</v>
      </c>
      <c r="Z27" s="23">
        <f>SUM(X27:Y27)</f>
        <v>34944000</v>
      </c>
      <c r="AA27" s="23">
        <f>O27*H27</f>
        <v>17853600</v>
      </c>
      <c r="AB27" s="23">
        <f>Z27-AA27</f>
        <v>17090400</v>
      </c>
    </row>
    <row r="30" spans="1:45" x14ac:dyDescent="0.2">
      <c r="B30" s="1" t="s">
        <v>40</v>
      </c>
    </row>
    <row r="32" spans="1:45" x14ac:dyDescent="0.2">
      <c r="A32" s="2"/>
      <c r="B32" s="56" t="s">
        <v>1</v>
      </c>
      <c r="C32" s="52"/>
      <c r="D32" s="52"/>
      <c r="E32" s="52"/>
      <c r="F32" s="52"/>
      <c r="G32" s="52"/>
      <c r="H32" s="54"/>
      <c r="I32" s="60" t="s">
        <v>30</v>
      </c>
      <c r="J32" s="52"/>
      <c r="K32" s="52"/>
      <c r="L32" s="52"/>
      <c r="M32" s="52"/>
      <c r="N32" s="52"/>
      <c r="O32" s="54"/>
      <c r="P32" s="51" t="s">
        <v>20</v>
      </c>
      <c r="Q32" s="52"/>
      <c r="R32" s="52"/>
      <c r="S32" s="52"/>
      <c r="T32" s="52"/>
      <c r="U32" s="52"/>
      <c r="V32" s="53" t="s">
        <v>14</v>
      </c>
      <c r="W32" s="54"/>
      <c r="X32" s="17" t="s">
        <v>41</v>
      </c>
      <c r="Y32" s="17"/>
      <c r="Z32" s="17"/>
      <c r="AA32" s="28"/>
      <c r="AB32" s="55" t="s">
        <v>15</v>
      </c>
      <c r="AC32" s="52"/>
      <c r="AD32" s="52"/>
      <c r="AE32" s="52"/>
      <c r="AF32" s="52"/>
      <c r="AG32" s="52"/>
    </row>
    <row r="33" spans="1:45" ht="63.75" x14ac:dyDescent="0.2">
      <c r="A33" s="3"/>
      <c r="B33" s="11" t="s">
        <v>2</v>
      </c>
      <c r="C33" s="11" t="s">
        <v>3</v>
      </c>
      <c r="D33" s="11" t="s">
        <v>4</v>
      </c>
      <c r="E33" s="11" t="s">
        <v>5</v>
      </c>
      <c r="F33" s="11" t="s">
        <v>6</v>
      </c>
      <c r="G33" s="11" t="s">
        <v>7</v>
      </c>
      <c r="H33" s="18" t="s">
        <v>8</v>
      </c>
      <c r="I33" s="11" t="s">
        <v>31</v>
      </c>
      <c r="J33" s="11" t="s">
        <v>32</v>
      </c>
      <c r="K33" s="11" t="s">
        <v>33</v>
      </c>
      <c r="L33" s="11" t="s">
        <v>42</v>
      </c>
      <c r="M33" s="11" t="s">
        <v>35</v>
      </c>
      <c r="N33" s="11" t="s">
        <v>36</v>
      </c>
      <c r="O33" s="18" t="s">
        <v>37</v>
      </c>
      <c r="P33" s="11" t="s">
        <v>21</v>
      </c>
      <c r="Q33" s="11" t="s">
        <v>22</v>
      </c>
      <c r="R33" s="11" t="s">
        <v>23</v>
      </c>
      <c r="S33" s="11" t="s">
        <v>24</v>
      </c>
      <c r="T33" s="11" t="s">
        <v>25</v>
      </c>
      <c r="U33" s="11" t="s">
        <v>26</v>
      </c>
      <c r="V33" s="19" t="s">
        <v>16</v>
      </c>
      <c r="W33" s="18" t="s">
        <v>17</v>
      </c>
      <c r="X33" s="4" t="s">
        <v>43</v>
      </c>
      <c r="Y33" s="4" t="s">
        <v>44</v>
      </c>
      <c r="Z33" s="4" t="s">
        <v>45</v>
      </c>
      <c r="AA33" s="13" t="s">
        <v>46</v>
      </c>
      <c r="AB33" s="11" t="s">
        <v>18</v>
      </c>
      <c r="AC33" s="11" t="s">
        <v>27</v>
      </c>
      <c r="AD33" s="11" t="s">
        <v>28</v>
      </c>
      <c r="AE33" s="11" t="s">
        <v>38</v>
      </c>
      <c r="AF33" s="4" t="s">
        <v>47</v>
      </c>
      <c r="AG33" s="11" t="s">
        <v>39</v>
      </c>
    </row>
    <row r="34" spans="1:45" ht="38.25" x14ac:dyDescent="0.2">
      <c r="A34" s="5" t="s">
        <v>12</v>
      </c>
      <c r="B34" s="6">
        <v>10000</v>
      </c>
      <c r="C34" s="7">
        <v>0.8</v>
      </c>
      <c r="D34" s="8">
        <f>B34*C34</f>
        <v>8000</v>
      </c>
      <c r="E34" s="7">
        <v>0.6</v>
      </c>
      <c r="F34" s="8">
        <f>D34*E34</f>
        <v>4800</v>
      </c>
      <c r="G34" s="7">
        <v>0.65</v>
      </c>
      <c r="H34" s="20">
        <f>F34*G34</f>
        <v>3120</v>
      </c>
      <c r="I34" s="26">
        <v>1200</v>
      </c>
      <c r="J34" s="26">
        <v>300</v>
      </c>
      <c r="K34" s="26">
        <v>700</v>
      </c>
      <c r="L34" s="26">
        <v>30</v>
      </c>
      <c r="M34" s="23">
        <f>I34/C34/E34/G34</f>
        <v>3846.1538461538462</v>
      </c>
      <c r="N34" s="23">
        <f>J34/E34/G34+K34/G34+L34</f>
        <v>1876.1538461538462</v>
      </c>
      <c r="O34" s="27">
        <f>M34+N34</f>
        <v>5722.3076923076924</v>
      </c>
      <c r="P34" s="21">
        <v>0.3</v>
      </c>
      <c r="Q34" s="21">
        <v>0.2</v>
      </c>
      <c r="R34" s="21">
        <v>0.1</v>
      </c>
      <c r="S34" s="22">
        <f>H34*P34</f>
        <v>936</v>
      </c>
      <c r="T34" s="22">
        <f>H34*Q34</f>
        <v>624</v>
      </c>
      <c r="U34" s="22">
        <f>H34*R34</f>
        <v>312</v>
      </c>
      <c r="V34" s="14">
        <v>2</v>
      </c>
      <c r="W34" s="15">
        <v>3500</v>
      </c>
      <c r="X34" s="21">
        <v>0.03</v>
      </c>
      <c r="Y34" s="26">
        <v>1300</v>
      </c>
      <c r="Z34" s="26">
        <v>10</v>
      </c>
      <c r="AA34" s="29">
        <f>W34*X34+Y34+Z34</f>
        <v>1415</v>
      </c>
      <c r="AB34" s="23">
        <f>H34*V34*W34</f>
        <v>21840000</v>
      </c>
      <c r="AC34" s="23">
        <f>SUM(S34:U34)*V34*W34</f>
        <v>13104000</v>
      </c>
      <c r="AD34" s="23">
        <f>SUM(AB34:AC34)</f>
        <v>34944000</v>
      </c>
      <c r="AE34" s="23">
        <f>O34*H34</f>
        <v>17853600</v>
      </c>
      <c r="AF34" s="23">
        <f>(H34+S34+T34+U34)*V34*AA34</f>
        <v>14127360</v>
      </c>
      <c r="AG34" s="23">
        <f>AD34-AE34-AF34</f>
        <v>2963040</v>
      </c>
    </row>
    <row r="37" spans="1:45" x14ac:dyDescent="0.2">
      <c r="B37" s="1" t="s">
        <v>48</v>
      </c>
    </row>
    <row r="39" spans="1:45" x14ac:dyDescent="0.2">
      <c r="A39" s="2"/>
      <c r="B39" s="56" t="s">
        <v>1</v>
      </c>
      <c r="C39" s="52"/>
      <c r="D39" s="52"/>
      <c r="E39" s="52"/>
      <c r="F39" s="52"/>
      <c r="G39" s="52"/>
      <c r="H39" s="54"/>
      <c r="I39" s="60" t="s">
        <v>30</v>
      </c>
      <c r="J39" s="52"/>
      <c r="K39" s="52"/>
      <c r="L39" s="52"/>
      <c r="M39" s="52"/>
      <c r="N39" s="52"/>
      <c r="O39" s="54"/>
      <c r="P39" s="51" t="s">
        <v>20</v>
      </c>
      <c r="Q39" s="52"/>
      <c r="R39" s="52"/>
      <c r="S39" s="52"/>
      <c r="T39" s="52"/>
      <c r="U39" s="52"/>
      <c r="V39" s="53" t="s">
        <v>14</v>
      </c>
      <c r="W39" s="54"/>
      <c r="X39" s="17" t="s">
        <v>41</v>
      </c>
      <c r="Y39" s="17"/>
      <c r="Z39" s="17"/>
      <c r="AA39" s="28"/>
      <c r="AB39" s="25" t="s">
        <v>49</v>
      </c>
      <c r="AC39" s="30"/>
      <c r="AD39" s="30"/>
      <c r="AE39" s="30"/>
      <c r="AF39" s="30"/>
      <c r="AG39" s="30"/>
      <c r="AH39" s="31"/>
      <c r="AI39" s="55" t="s">
        <v>15</v>
      </c>
      <c r="AJ39" s="52"/>
      <c r="AK39" s="52"/>
      <c r="AL39" s="52"/>
      <c r="AM39" s="52"/>
      <c r="AN39" s="52"/>
    </row>
    <row r="40" spans="1:45" ht="76.5" x14ac:dyDescent="0.2">
      <c r="A40" s="3"/>
      <c r="B40" s="11" t="s">
        <v>2</v>
      </c>
      <c r="C40" s="11" t="s">
        <v>3</v>
      </c>
      <c r="D40" s="11" t="s">
        <v>4</v>
      </c>
      <c r="E40" s="11" t="s">
        <v>5</v>
      </c>
      <c r="F40" s="11" t="s">
        <v>6</v>
      </c>
      <c r="G40" s="11" t="s">
        <v>7</v>
      </c>
      <c r="H40" s="18" t="s">
        <v>8</v>
      </c>
      <c r="I40" s="11" t="s">
        <v>31</v>
      </c>
      <c r="J40" s="11" t="s">
        <v>32</v>
      </c>
      <c r="K40" s="11" t="s">
        <v>33</v>
      </c>
      <c r="L40" s="11" t="s">
        <v>42</v>
      </c>
      <c r="M40" s="11" t="s">
        <v>35</v>
      </c>
      <c r="N40" s="11" t="s">
        <v>36</v>
      </c>
      <c r="O40" s="18" t="s">
        <v>37</v>
      </c>
      <c r="P40" s="11" t="s">
        <v>21</v>
      </c>
      <c r="Q40" s="11" t="s">
        <v>22</v>
      </c>
      <c r="R40" s="11" t="s">
        <v>23</v>
      </c>
      <c r="S40" s="11" t="s">
        <v>24</v>
      </c>
      <c r="T40" s="11" t="s">
        <v>25</v>
      </c>
      <c r="U40" s="11" t="s">
        <v>26</v>
      </c>
      <c r="V40" s="19" t="s">
        <v>16</v>
      </c>
      <c r="W40" s="18" t="s">
        <v>17</v>
      </c>
      <c r="X40" s="11" t="s">
        <v>43</v>
      </c>
      <c r="Y40" s="11" t="s">
        <v>44</v>
      </c>
      <c r="Z40" s="11" t="s">
        <v>45</v>
      </c>
      <c r="AA40" s="18" t="s">
        <v>46</v>
      </c>
      <c r="AB40" s="4" t="s">
        <v>50</v>
      </c>
      <c r="AC40" s="4" t="s">
        <v>51</v>
      </c>
      <c r="AD40" s="4" t="s">
        <v>52</v>
      </c>
      <c r="AE40" s="4" t="s">
        <v>53</v>
      </c>
      <c r="AF40" s="4" t="s">
        <v>54</v>
      </c>
      <c r="AG40" s="4" t="s">
        <v>37</v>
      </c>
      <c r="AH40" s="32" t="s">
        <v>55</v>
      </c>
      <c r="AI40" s="11" t="s">
        <v>18</v>
      </c>
      <c r="AJ40" s="11" t="s">
        <v>27</v>
      </c>
      <c r="AK40" s="11" t="s">
        <v>28</v>
      </c>
      <c r="AL40" s="11" t="s">
        <v>38</v>
      </c>
      <c r="AM40" s="11" t="s">
        <v>47</v>
      </c>
      <c r="AN40" s="11" t="s">
        <v>39</v>
      </c>
    </row>
    <row r="41" spans="1:45" ht="38.25" x14ac:dyDescent="0.2">
      <c r="A41" s="5" t="s">
        <v>12</v>
      </c>
      <c r="B41" s="6">
        <v>10000</v>
      </c>
      <c r="C41" s="7">
        <v>0.8</v>
      </c>
      <c r="D41" s="8">
        <f>B41*C41</f>
        <v>8000</v>
      </c>
      <c r="E41" s="7">
        <v>0.6</v>
      </c>
      <c r="F41" s="8">
        <f>D41*E41</f>
        <v>4800</v>
      </c>
      <c r="G41" s="7">
        <v>0.65</v>
      </c>
      <c r="H41" s="20">
        <f>F41*G41</f>
        <v>3120</v>
      </c>
      <c r="I41" s="26">
        <v>1200</v>
      </c>
      <c r="J41" s="26">
        <v>300</v>
      </c>
      <c r="K41" s="26">
        <v>700</v>
      </c>
      <c r="L41" s="26">
        <v>30</v>
      </c>
      <c r="M41" s="23">
        <f>I41/C41/E41/G41</f>
        <v>3846.1538461538462</v>
      </c>
      <c r="N41" s="23">
        <f>J41/E41/G41+K41/G41+L41</f>
        <v>1876.1538461538462</v>
      </c>
      <c r="O41" s="27">
        <f>M41+N41</f>
        <v>5722.3076923076924</v>
      </c>
      <c r="P41" s="21">
        <v>0.3</v>
      </c>
      <c r="Q41" s="21">
        <v>0.2</v>
      </c>
      <c r="R41" s="21">
        <v>0.1</v>
      </c>
      <c r="S41" s="22">
        <f>H41*P41</f>
        <v>936</v>
      </c>
      <c r="T41" s="22">
        <f>H41*Q41</f>
        <v>624</v>
      </c>
      <c r="U41" s="22">
        <f>H41*R41</f>
        <v>312</v>
      </c>
      <c r="V41" s="14">
        <v>2</v>
      </c>
      <c r="W41" s="15">
        <v>3500</v>
      </c>
      <c r="X41" s="21">
        <v>0.03</v>
      </c>
      <c r="Y41" s="26">
        <v>1300</v>
      </c>
      <c r="Z41" s="26">
        <v>10</v>
      </c>
      <c r="AA41" s="29">
        <f>W41*X41+Y41+Z41</f>
        <v>1415</v>
      </c>
      <c r="AB41" s="24">
        <f>V41*(W41-AA41)</f>
        <v>4170</v>
      </c>
      <c r="AC41" s="24">
        <f>H41*AB41/H41</f>
        <v>4170</v>
      </c>
      <c r="AD41" s="24">
        <f>(H41+S41)*AB41/H41</f>
        <v>5421</v>
      </c>
      <c r="AE41" s="24">
        <f>(H41+S41+T41)*AB41/H41</f>
        <v>6255</v>
      </c>
      <c r="AF41" s="24">
        <f>(H41+S41+T41+U41)*AB41/H41</f>
        <v>6672</v>
      </c>
      <c r="AG41" s="23">
        <f>O41</f>
        <v>5722.3076923076924</v>
      </c>
      <c r="AH41" s="33">
        <f>(AF41-AG41)/AG41</f>
        <v>0.16596316709235112</v>
      </c>
      <c r="AI41" s="23">
        <f>H41*V41*W41</f>
        <v>21840000</v>
      </c>
      <c r="AJ41" s="23">
        <f>SUM(S41:U41)*V41*W41</f>
        <v>13104000</v>
      </c>
      <c r="AK41" s="23">
        <f>SUM(AI41:AJ41)</f>
        <v>34944000</v>
      </c>
      <c r="AL41" s="23">
        <f>O41*H41</f>
        <v>17853600</v>
      </c>
      <c r="AM41" s="23">
        <f>(H41+S41+T41+U41)*V41*AA41</f>
        <v>14127360</v>
      </c>
      <c r="AN41" s="23">
        <f>AK41-AL41-AM41</f>
        <v>2963040</v>
      </c>
      <c r="AO41" s="23"/>
      <c r="AP41" s="23"/>
      <c r="AQ41" s="23"/>
      <c r="AR41" s="23"/>
      <c r="AS41" s="23"/>
    </row>
  </sheetData>
  <mergeCells count="25">
    <mergeCell ref="AI39:AN39"/>
    <mergeCell ref="B25:H25"/>
    <mergeCell ref="I25:O25"/>
    <mergeCell ref="P25:U25"/>
    <mergeCell ref="V25:W25"/>
    <mergeCell ref="X25:AB25"/>
    <mergeCell ref="B32:H32"/>
    <mergeCell ref="I32:O32"/>
    <mergeCell ref="P32:U32"/>
    <mergeCell ref="V32:W32"/>
    <mergeCell ref="AB32:AG32"/>
    <mergeCell ref="B39:H39"/>
    <mergeCell ref="I39:O39"/>
    <mergeCell ref="P39:U39"/>
    <mergeCell ref="V39:W39"/>
    <mergeCell ref="I18:N18"/>
    <mergeCell ref="O18:P18"/>
    <mergeCell ref="Q18:S18"/>
    <mergeCell ref="B4:H4"/>
    <mergeCell ref="J5:K5"/>
    <mergeCell ref="L5:M5"/>
    <mergeCell ref="N5:O5"/>
    <mergeCell ref="B11:H11"/>
    <mergeCell ref="I11:J11"/>
    <mergeCell ref="B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O41"/>
  <sheetViews>
    <sheetView workbookViewId="0"/>
  </sheetViews>
  <sheetFormatPr defaultColWidth="12.5703125" defaultRowHeight="15.75" customHeight="1" x14ac:dyDescent="0.2"/>
  <cols>
    <col min="1" max="1" width="15.85546875" customWidth="1"/>
    <col min="2" max="22" width="13.85546875" customWidth="1"/>
    <col min="24" max="24" width="15" customWidth="1"/>
    <col min="26" max="26" width="14.7109375" customWidth="1"/>
  </cols>
  <sheetData>
    <row r="2" spans="1:67" x14ac:dyDescent="0.2">
      <c r="B2" s="1" t="s">
        <v>0</v>
      </c>
    </row>
    <row r="4" spans="1:67" x14ac:dyDescent="0.2">
      <c r="A4" s="2"/>
      <c r="B4" s="56" t="s">
        <v>1</v>
      </c>
      <c r="C4" s="52"/>
      <c r="D4" s="52"/>
      <c r="E4" s="52"/>
      <c r="F4" s="52"/>
      <c r="G4" s="52"/>
      <c r="H4" s="52"/>
      <c r="I4" s="52"/>
      <c r="J4" s="52"/>
    </row>
    <row r="5" spans="1:67" x14ac:dyDescent="0.2">
      <c r="A5" s="3"/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s">
        <v>61</v>
      </c>
      <c r="H5" s="4" t="s">
        <v>62</v>
      </c>
      <c r="I5" s="4" t="s">
        <v>63</v>
      </c>
      <c r="J5" s="4" t="s">
        <v>64</v>
      </c>
      <c r="N5" s="57" t="s">
        <v>9</v>
      </c>
      <c r="O5" s="52"/>
      <c r="P5" s="58" t="s">
        <v>65</v>
      </c>
      <c r="Q5" s="52"/>
      <c r="R5" s="59" t="s">
        <v>11</v>
      </c>
      <c r="S5" s="52"/>
    </row>
    <row r="6" spans="1:67" x14ac:dyDescent="0.2">
      <c r="A6" s="5" t="s">
        <v>12</v>
      </c>
      <c r="B6" s="34">
        <v>100000</v>
      </c>
      <c r="C6" s="7">
        <v>0.2</v>
      </c>
      <c r="D6" s="35">
        <f>B6*C6</f>
        <v>20000</v>
      </c>
      <c r="E6" s="7">
        <v>0.8</v>
      </c>
      <c r="F6" s="36">
        <f>D6*E6</f>
        <v>16000</v>
      </c>
      <c r="G6" s="7">
        <v>0.8</v>
      </c>
      <c r="H6" s="36">
        <f>F6*G6</f>
        <v>12800</v>
      </c>
      <c r="I6" s="7">
        <v>0.65</v>
      </c>
      <c r="J6" s="36">
        <f>H6*I6</f>
        <v>8320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9" spans="1:67" x14ac:dyDescent="0.2">
      <c r="B9" s="1" t="s">
        <v>13</v>
      </c>
    </row>
    <row r="11" spans="1:67" x14ac:dyDescent="0.2">
      <c r="A11" s="2"/>
      <c r="B11" s="56" t="s">
        <v>1</v>
      </c>
      <c r="C11" s="52"/>
      <c r="D11" s="52"/>
      <c r="E11" s="52"/>
      <c r="F11" s="52"/>
      <c r="G11" s="52"/>
      <c r="H11" s="52"/>
      <c r="I11" s="52"/>
      <c r="J11" s="52"/>
      <c r="K11" s="53" t="s">
        <v>14</v>
      </c>
      <c r="L11" s="54"/>
      <c r="M11" s="10" t="s">
        <v>15</v>
      </c>
    </row>
    <row r="12" spans="1:67" x14ac:dyDescent="0.2">
      <c r="A12" s="3"/>
      <c r="B12" s="11" t="s">
        <v>56</v>
      </c>
      <c r="C12" s="11" t="s">
        <v>57</v>
      </c>
      <c r="D12" s="11" t="s">
        <v>58</v>
      </c>
      <c r="E12" s="11" t="s">
        <v>59</v>
      </c>
      <c r="F12" s="11" t="s">
        <v>60</v>
      </c>
      <c r="G12" s="11" t="s">
        <v>61</v>
      </c>
      <c r="H12" s="11" t="s">
        <v>62</v>
      </c>
      <c r="I12" s="11" t="s">
        <v>63</v>
      </c>
      <c r="J12" s="11" t="s">
        <v>64</v>
      </c>
      <c r="K12" s="12" t="s">
        <v>16</v>
      </c>
      <c r="L12" s="13" t="s">
        <v>66</v>
      </c>
      <c r="M12" s="4" t="s">
        <v>18</v>
      </c>
    </row>
    <row r="13" spans="1:67" x14ac:dyDescent="0.2">
      <c r="A13" s="5" t="s">
        <v>12</v>
      </c>
      <c r="B13" s="34">
        <v>100000</v>
      </c>
      <c r="C13" s="7">
        <v>0.2</v>
      </c>
      <c r="D13" s="35">
        <f>B13*C13</f>
        <v>20000</v>
      </c>
      <c r="E13" s="7">
        <v>0.8</v>
      </c>
      <c r="F13" s="36">
        <f>D13*E13</f>
        <v>16000</v>
      </c>
      <c r="G13" s="7">
        <v>0.8</v>
      </c>
      <c r="H13" s="36">
        <f>F13*G13</f>
        <v>12800</v>
      </c>
      <c r="I13" s="7">
        <v>0.65</v>
      </c>
      <c r="J13" s="36">
        <f>H13*I13</f>
        <v>8320</v>
      </c>
      <c r="K13" s="14">
        <v>1</v>
      </c>
      <c r="L13" s="15">
        <v>300</v>
      </c>
      <c r="M13" s="16">
        <f>J13*K13*L13</f>
        <v>2496000</v>
      </c>
    </row>
    <row r="16" spans="1:67" x14ac:dyDescent="0.2">
      <c r="B16" s="1" t="s">
        <v>19</v>
      </c>
    </row>
    <row r="18" spans="1:67" x14ac:dyDescent="0.2">
      <c r="A18" s="2"/>
      <c r="B18" s="56" t="s">
        <v>1</v>
      </c>
      <c r="C18" s="52"/>
      <c r="D18" s="52"/>
      <c r="E18" s="52"/>
      <c r="F18" s="52"/>
      <c r="G18" s="52"/>
      <c r="H18" s="52"/>
      <c r="I18" s="52"/>
      <c r="J18" s="54"/>
      <c r="K18" s="51" t="s">
        <v>20</v>
      </c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 t="s">
        <v>14</v>
      </c>
      <c r="AH18" s="54"/>
      <c r="AI18" s="55" t="s">
        <v>15</v>
      </c>
      <c r="AJ18" s="52"/>
      <c r="AK18" s="52"/>
    </row>
    <row r="19" spans="1:67" x14ac:dyDescent="0.2">
      <c r="A19" s="3"/>
      <c r="B19" s="11" t="s">
        <v>56</v>
      </c>
      <c r="C19" s="11" t="s">
        <v>57</v>
      </c>
      <c r="D19" s="11" t="s">
        <v>58</v>
      </c>
      <c r="E19" s="11" t="s">
        <v>59</v>
      </c>
      <c r="F19" s="11" t="s">
        <v>60</v>
      </c>
      <c r="G19" s="11" t="s">
        <v>61</v>
      </c>
      <c r="H19" s="11" t="s">
        <v>62</v>
      </c>
      <c r="I19" s="11" t="s">
        <v>63</v>
      </c>
      <c r="J19" s="18" t="s">
        <v>64</v>
      </c>
      <c r="K19" s="4" t="s">
        <v>21</v>
      </c>
      <c r="L19" s="4" t="s">
        <v>22</v>
      </c>
      <c r="M19" s="4" t="s">
        <v>23</v>
      </c>
      <c r="N19" s="4" t="s">
        <v>67</v>
      </c>
      <c r="O19" s="4" t="s">
        <v>68</v>
      </c>
      <c r="P19" s="4" t="s">
        <v>69</v>
      </c>
      <c r="Q19" s="4" t="s">
        <v>70</v>
      </c>
      <c r="R19" s="4" t="s">
        <v>71</v>
      </c>
      <c r="S19" s="4" t="s">
        <v>72</v>
      </c>
      <c r="T19" s="4" t="s">
        <v>73</v>
      </c>
      <c r="U19" s="4" t="s">
        <v>74</v>
      </c>
      <c r="V19" s="4" t="s">
        <v>75</v>
      </c>
      <c r="W19" s="4" t="s">
        <v>76</v>
      </c>
      <c r="X19" s="4" t="s">
        <v>26</v>
      </c>
      <c r="Y19" s="4" t="s">
        <v>77</v>
      </c>
      <c r="Z19" s="4" t="s">
        <v>78</v>
      </c>
      <c r="AA19" s="4" t="s">
        <v>79</v>
      </c>
      <c r="AB19" s="4" t="s">
        <v>80</v>
      </c>
      <c r="AC19" s="4" t="s">
        <v>81</v>
      </c>
      <c r="AD19" s="4" t="s">
        <v>82</v>
      </c>
      <c r="AE19" s="4" t="s">
        <v>83</v>
      </c>
      <c r="AF19" s="4" t="s">
        <v>84</v>
      </c>
      <c r="AG19" s="19" t="s">
        <v>16</v>
      </c>
      <c r="AH19" s="18" t="s">
        <v>66</v>
      </c>
      <c r="AI19" s="11" t="s">
        <v>18</v>
      </c>
      <c r="AJ19" s="4" t="s">
        <v>27</v>
      </c>
      <c r="AK19" s="4" t="s">
        <v>85</v>
      </c>
    </row>
    <row r="20" spans="1:67" x14ac:dyDescent="0.2">
      <c r="A20" s="5" t="s">
        <v>12</v>
      </c>
      <c r="B20" s="34">
        <v>100000</v>
      </c>
      <c r="C20" s="7">
        <v>0.2</v>
      </c>
      <c r="D20" s="35">
        <f>B20*C20</f>
        <v>20000</v>
      </c>
      <c r="E20" s="7">
        <v>0.8</v>
      </c>
      <c r="F20" s="36">
        <f>D20*E20</f>
        <v>16000</v>
      </c>
      <c r="G20" s="7">
        <v>0.8</v>
      </c>
      <c r="H20" s="36">
        <f>F20*G20</f>
        <v>12800</v>
      </c>
      <c r="I20" s="7">
        <v>0.65</v>
      </c>
      <c r="J20" s="37">
        <f>H20*I20</f>
        <v>8320</v>
      </c>
      <c r="K20" s="21">
        <v>0.74</v>
      </c>
      <c r="L20" s="21">
        <v>0.66</v>
      </c>
      <c r="M20" s="21">
        <v>0.5</v>
      </c>
      <c r="N20" s="21">
        <v>0.48</v>
      </c>
      <c r="O20" s="21">
        <v>0.44</v>
      </c>
      <c r="P20" s="21">
        <v>0.4</v>
      </c>
      <c r="Q20" s="21">
        <v>0.38</v>
      </c>
      <c r="R20" s="21">
        <v>0.36</v>
      </c>
      <c r="S20" s="21">
        <v>0.35</v>
      </c>
      <c r="T20" s="21">
        <v>0.35</v>
      </c>
      <c r="U20" s="21">
        <v>0.35</v>
      </c>
      <c r="V20" s="38">
        <f t="shared" ref="V20:AF20" si="0">$J$20*K20</f>
        <v>6156.8</v>
      </c>
      <c r="W20" s="38">
        <f t="shared" si="0"/>
        <v>5491.2</v>
      </c>
      <c r="X20" s="38">
        <f t="shared" si="0"/>
        <v>4160</v>
      </c>
      <c r="Y20" s="38">
        <f t="shared" si="0"/>
        <v>3993.6</v>
      </c>
      <c r="Z20" s="38">
        <f t="shared" si="0"/>
        <v>3660.8</v>
      </c>
      <c r="AA20" s="38">
        <f t="shared" si="0"/>
        <v>3328</v>
      </c>
      <c r="AB20" s="38">
        <f t="shared" si="0"/>
        <v>3161.6</v>
      </c>
      <c r="AC20" s="38">
        <f t="shared" si="0"/>
        <v>2995.2</v>
      </c>
      <c r="AD20" s="38">
        <f t="shared" si="0"/>
        <v>2912</v>
      </c>
      <c r="AE20" s="38">
        <f t="shared" si="0"/>
        <v>2912</v>
      </c>
      <c r="AF20" s="38">
        <f t="shared" si="0"/>
        <v>2912</v>
      </c>
      <c r="AG20" s="14">
        <v>1</v>
      </c>
      <c r="AH20" s="15">
        <v>300</v>
      </c>
      <c r="AI20" s="23">
        <f>J20*AG20*AH20</f>
        <v>2496000</v>
      </c>
      <c r="AJ20" s="23">
        <f>SUM(V20:AF20)*AG20*AH20</f>
        <v>12504960</v>
      </c>
      <c r="AK20" s="23">
        <f>SUM(AI20:AJ20)</f>
        <v>15000960</v>
      </c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</row>
    <row r="23" spans="1:67" x14ac:dyDescent="0.2">
      <c r="B23" s="1" t="s">
        <v>29</v>
      </c>
    </row>
    <row r="25" spans="1:67" x14ac:dyDescent="0.2">
      <c r="A25" s="2"/>
      <c r="B25" s="56" t="s">
        <v>1</v>
      </c>
      <c r="C25" s="52"/>
      <c r="D25" s="52"/>
      <c r="E25" s="52"/>
      <c r="F25" s="52"/>
      <c r="G25" s="52"/>
      <c r="H25" s="52"/>
      <c r="I25" s="52"/>
      <c r="J25" s="54"/>
      <c r="K25" s="60" t="s">
        <v>30</v>
      </c>
      <c r="L25" s="52"/>
      <c r="M25" s="52"/>
      <c r="N25" s="52"/>
      <c r="O25" s="54"/>
      <c r="P25" s="51" t="s">
        <v>20</v>
      </c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3" t="s">
        <v>14</v>
      </c>
      <c r="AM25" s="54"/>
      <c r="AN25" s="55" t="s">
        <v>15</v>
      </c>
      <c r="AO25" s="52"/>
      <c r="AP25" s="52"/>
      <c r="AQ25" s="52"/>
      <c r="AR25" s="52"/>
    </row>
    <row r="26" spans="1:67" x14ac:dyDescent="0.2">
      <c r="A26" s="3"/>
      <c r="B26" s="11" t="s">
        <v>56</v>
      </c>
      <c r="C26" s="11" t="s">
        <v>57</v>
      </c>
      <c r="D26" s="11" t="s">
        <v>58</v>
      </c>
      <c r="E26" s="11" t="s">
        <v>59</v>
      </c>
      <c r="F26" s="11" t="s">
        <v>60</v>
      </c>
      <c r="G26" s="11" t="s">
        <v>61</v>
      </c>
      <c r="H26" s="11" t="s">
        <v>62</v>
      </c>
      <c r="I26" s="11" t="s">
        <v>63</v>
      </c>
      <c r="J26" s="18" t="s">
        <v>64</v>
      </c>
      <c r="K26" s="4" t="s">
        <v>86</v>
      </c>
      <c r="L26" s="4" t="s">
        <v>87</v>
      </c>
      <c r="M26" s="4" t="s">
        <v>88</v>
      </c>
      <c r="N26" s="4" t="s">
        <v>36</v>
      </c>
      <c r="O26" s="13" t="s">
        <v>89</v>
      </c>
      <c r="P26" s="11" t="s">
        <v>21</v>
      </c>
      <c r="Q26" s="11" t="s">
        <v>22</v>
      </c>
      <c r="R26" s="11" t="s">
        <v>23</v>
      </c>
      <c r="S26" s="11" t="s">
        <v>67</v>
      </c>
      <c r="T26" s="11" t="s">
        <v>68</v>
      </c>
      <c r="U26" s="11" t="s">
        <v>69</v>
      </c>
      <c r="V26" s="11" t="s">
        <v>70</v>
      </c>
      <c r="W26" s="11" t="s">
        <v>71</v>
      </c>
      <c r="X26" s="11" t="s">
        <v>72</v>
      </c>
      <c r="Y26" s="11" t="s">
        <v>73</v>
      </c>
      <c r="Z26" s="11" t="s">
        <v>74</v>
      </c>
      <c r="AA26" s="11" t="s">
        <v>75</v>
      </c>
      <c r="AB26" s="11" t="s">
        <v>76</v>
      </c>
      <c r="AC26" s="11" t="s">
        <v>26</v>
      </c>
      <c r="AD26" s="11" t="s">
        <v>77</v>
      </c>
      <c r="AE26" s="11" t="s">
        <v>78</v>
      </c>
      <c r="AF26" s="11" t="s">
        <v>79</v>
      </c>
      <c r="AG26" s="11" t="s">
        <v>80</v>
      </c>
      <c r="AH26" s="11" t="s">
        <v>81</v>
      </c>
      <c r="AI26" s="11" t="s">
        <v>82</v>
      </c>
      <c r="AJ26" s="11" t="s">
        <v>83</v>
      </c>
      <c r="AK26" s="11" t="s">
        <v>84</v>
      </c>
      <c r="AL26" s="19" t="s">
        <v>16</v>
      </c>
      <c r="AM26" s="18" t="s">
        <v>66</v>
      </c>
      <c r="AN26" s="11" t="s">
        <v>18</v>
      </c>
      <c r="AO26" s="11" t="s">
        <v>27</v>
      </c>
      <c r="AP26" s="11" t="s">
        <v>85</v>
      </c>
      <c r="AQ26" s="4" t="s">
        <v>38</v>
      </c>
      <c r="AR26" s="4" t="s">
        <v>90</v>
      </c>
    </row>
    <row r="27" spans="1:67" x14ac:dyDescent="0.2">
      <c r="A27" s="5" t="s">
        <v>12</v>
      </c>
      <c r="B27" s="34">
        <v>100000</v>
      </c>
      <c r="C27" s="7">
        <v>0.2</v>
      </c>
      <c r="D27" s="35">
        <f>B27*C27</f>
        <v>20000</v>
      </c>
      <c r="E27" s="7">
        <v>0.8</v>
      </c>
      <c r="F27" s="36">
        <f>D27*E27</f>
        <v>16000</v>
      </c>
      <c r="G27" s="7">
        <v>0.8</v>
      </c>
      <c r="H27" s="36">
        <f>F27*G27</f>
        <v>12800</v>
      </c>
      <c r="I27" s="7">
        <v>0.65</v>
      </c>
      <c r="J27" s="37">
        <f>H27*I27</f>
        <v>8320</v>
      </c>
      <c r="K27" s="26">
        <v>500</v>
      </c>
      <c r="L27" s="26">
        <v>100</v>
      </c>
      <c r="M27" s="23">
        <f>K27/E27/G27/I27</f>
        <v>1201.9230769230769</v>
      </c>
      <c r="N27" s="23">
        <f>L27</f>
        <v>100</v>
      </c>
      <c r="O27" s="27">
        <f>M27+N27</f>
        <v>1301.9230769230769</v>
      </c>
      <c r="P27" s="21">
        <v>0.74</v>
      </c>
      <c r="Q27" s="21">
        <v>0.66</v>
      </c>
      <c r="R27" s="21">
        <v>0.5</v>
      </c>
      <c r="S27" s="21">
        <v>0.48</v>
      </c>
      <c r="T27" s="21">
        <v>0.44</v>
      </c>
      <c r="U27" s="21">
        <v>0.4</v>
      </c>
      <c r="V27" s="21">
        <v>0.38</v>
      </c>
      <c r="W27" s="21">
        <v>0.36</v>
      </c>
      <c r="X27" s="21">
        <v>0.35</v>
      </c>
      <c r="Y27" s="21">
        <v>0.35</v>
      </c>
      <c r="Z27" s="21">
        <v>0.35</v>
      </c>
      <c r="AA27" s="38">
        <f t="shared" ref="AA27:AK27" si="1">$J$20*P27</f>
        <v>6156.8</v>
      </c>
      <c r="AB27" s="38">
        <f t="shared" si="1"/>
        <v>5491.2</v>
      </c>
      <c r="AC27" s="38">
        <f t="shared" si="1"/>
        <v>4160</v>
      </c>
      <c r="AD27" s="38">
        <f t="shared" si="1"/>
        <v>3993.6</v>
      </c>
      <c r="AE27" s="38">
        <f t="shared" si="1"/>
        <v>3660.8</v>
      </c>
      <c r="AF27" s="38">
        <f t="shared" si="1"/>
        <v>3328</v>
      </c>
      <c r="AG27" s="38">
        <f t="shared" si="1"/>
        <v>3161.6</v>
      </c>
      <c r="AH27" s="38">
        <f t="shared" si="1"/>
        <v>2995.2</v>
      </c>
      <c r="AI27" s="38">
        <f t="shared" si="1"/>
        <v>2912</v>
      </c>
      <c r="AJ27" s="38">
        <f t="shared" si="1"/>
        <v>2912</v>
      </c>
      <c r="AK27" s="38">
        <f t="shared" si="1"/>
        <v>2912</v>
      </c>
      <c r="AL27" s="14">
        <v>1</v>
      </c>
      <c r="AM27" s="15">
        <v>300</v>
      </c>
      <c r="AN27" s="23">
        <f>J27*AL27*AM27</f>
        <v>2496000</v>
      </c>
      <c r="AO27" s="23">
        <f>SUM(AA27:AK27)*AL27*AM27</f>
        <v>12504960</v>
      </c>
      <c r="AP27" s="23">
        <f>SUM(AN27:AO27)</f>
        <v>15000960</v>
      </c>
      <c r="AQ27" s="23">
        <f>J27*O27</f>
        <v>10832000</v>
      </c>
      <c r="AR27" s="23">
        <f>AP27-AQ27</f>
        <v>4168960</v>
      </c>
    </row>
    <row r="30" spans="1:67" x14ac:dyDescent="0.2">
      <c r="B30" s="1" t="s">
        <v>40</v>
      </c>
    </row>
    <row r="32" spans="1:67" x14ac:dyDescent="0.2">
      <c r="A32" s="2"/>
      <c r="B32" s="56" t="s">
        <v>1</v>
      </c>
      <c r="C32" s="52"/>
      <c r="D32" s="52"/>
      <c r="E32" s="52"/>
      <c r="F32" s="52"/>
      <c r="G32" s="52"/>
      <c r="H32" s="52"/>
      <c r="I32" s="52"/>
      <c r="J32" s="54"/>
      <c r="K32" s="60" t="s">
        <v>30</v>
      </c>
      <c r="L32" s="52"/>
      <c r="M32" s="52"/>
      <c r="N32" s="52"/>
      <c r="O32" s="54"/>
      <c r="P32" s="51" t="s">
        <v>20</v>
      </c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3" t="s">
        <v>14</v>
      </c>
      <c r="AM32" s="54"/>
      <c r="AN32" s="51" t="s">
        <v>91</v>
      </c>
      <c r="AO32" s="52"/>
      <c r="AP32" s="52"/>
      <c r="AQ32" s="54"/>
      <c r="AR32" s="55" t="s">
        <v>15</v>
      </c>
      <c r="AS32" s="52"/>
      <c r="AT32" s="52"/>
      <c r="AU32" s="52"/>
      <c r="AV32" s="52"/>
      <c r="AW32" s="52"/>
      <c r="AX32" s="39"/>
      <c r="AY32" s="39"/>
      <c r="AZ32" s="39"/>
      <c r="BA32" s="39"/>
      <c r="BB32" s="39"/>
      <c r="BC32" s="39"/>
    </row>
    <row r="33" spans="1:67" x14ac:dyDescent="0.2">
      <c r="A33" s="3"/>
      <c r="B33" s="11" t="s">
        <v>56</v>
      </c>
      <c r="C33" s="11" t="s">
        <v>57</v>
      </c>
      <c r="D33" s="11" t="s">
        <v>58</v>
      </c>
      <c r="E33" s="11" t="s">
        <v>59</v>
      </c>
      <c r="F33" s="11" t="s">
        <v>60</v>
      </c>
      <c r="G33" s="11" t="s">
        <v>61</v>
      </c>
      <c r="H33" s="11" t="s">
        <v>62</v>
      </c>
      <c r="I33" s="11" t="s">
        <v>63</v>
      </c>
      <c r="J33" s="18" t="s">
        <v>64</v>
      </c>
      <c r="K33" s="11" t="s">
        <v>86</v>
      </c>
      <c r="L33" s="11" t="s">
        <v>87</v>
      </c>
      <c r="M33" s="11" t="s">
        <v>88</v>
      </c>
      <c r="N33" s="11" t="s">
        <v>36</v>
      </c>
      <c r="O33" s="18" t="s">
        <v>89</v>
      </c>
      <c r="P33" s="11" t="s">
        <v>21</v>
      </c>
      <c r="Q33" s="11" t="s">
        <v>22</v>
      </c>
      <c r="R33" s="11" t="s">
        <v>23</v>
      </c>
      <c r="S33" s="11" t="s">
        <v>67</v>
      </c>
      <c r="T33" s="11" t="s">
        <v>68</v>
      </c>
      <c r="U33" s="11" t="s">
        <v>69</v>
      </c>
      <c r="V33" s="11" t="s">
        <v>70</v>
      </c>
      <c r="W33" s="11" t="s">
        <v>71</v>
      </c>
      <c r="X33" s="11" t="s">
        <v>72</v>
      </c>
      <c r="Y33" s="11" t="s">
        <v>73</v>
      </c>
      <c r="Z33" s="11" t="s">
        <v>74</v>
      </c>
      <c r="AA33" s="11" t="s">
        <v>75</v>
      </c>
      <c r="AB33" s="11" t="s">
        <v>76</v>
      </c>
      <c r="AC33" s="11" t="s">
        <v>26</v>
      </c>
      <c r="AD33" s="11" t="s">
        <v>77</v>
      </c>
      <c r="AE33" s="11" t="s">
        <v>78</v>
      </c>
      <c r="AF33" s="11" t="s">
        <v>79</v>
      </c>
      <c r="AG33" s="11" t="s">
        <v>80</v>
      </c>
      <c r="AH33" s="11" t="s">
        <v>81</v>
      </c>
      <c r="AI33" s="11" t="s">
        <v>82</v>
      </c>
      <c r="AJ33" s="11" t="s">
        <v>83</v>
      </c>
      <c r="AK33" s="11" t="s">
        <v>84</v>
      </c>
      <c r="AL33" s="19" t="s">
        <v>16</v>
      </c>
      <c r="AM33" s="18" t="s">
        <v>66</v>
      </c>
      <c r="AN33" s="40" t="s">
        <v>92</v>
      </c>
      <c r="AO33" s="40" t="s">
        <v>93</v>
      </c>
      <c r="AP33" s="40" t="s">
        <v>94</v>
      </c>
      <c r="AQ33" s="18" t="s">
        <v>46</v>
      </c>
      <c r="AR33" s="11" t="s">
        <v>18</v>
      </c>
      <c r="AS33" s="11" t="s">
        <v>27</v>
      </c>
      <c r="AT33" s="11" t="s">
        <v>85</v>
      </c>
      <c r="AU33" s="11" t="s">
        <v>38</v>
      </c>
      <c r="AV33" s="4" t="s">
        <v>95</v>
      </c>
      <c r="AW33" s="11" t="s">
        <v>90</v>
      </c>
      <c r="AX33" s="39"/>
      <c r="AY33" s="39"/>
      <c r="AZ33" s="39"/>
      <c r="BA33" s="39"/>
      <c r="BB33" s="39"/>
      <c r="BC33" s="39"/>
    </row>
    <row r="34" spans="1:67" x14ac:dyDescent="0.2">
      <c r="A34" s="5" t="s">
        <v>12</v>
      </c>
      <c r="B34" s="34">
        <v>100000</v>
      </c>
      <c r="C34" s="7">
        <v>0.2</v>
      </c>
      <c r="D34" s="35">
        <f>B34*C34</f>
        <v>20000</v>
      </c>
      <c r="E34" s="7">
        <v>0.8</v>
      </c>
      <c r="F34" s="36">
        <f>D34*E34</f>
        <v>16000</v>
      </c>
      <c r="G34" s="7">
        <v>0.8</v>
      </c>
      <c r="H34" s="36">
        <f>F34*G34</f>
        <v>12800</v>
      </c>
      <c r="I34" s="7">
        <v>0.65</v>
      </c>
      <c r="J34" s="37">
        <f>H34*I34</f>
        <v>8320</v>
      </c>
      <c r="K34" s="26">
        <v>500</v>
      </c>
      <c r="L34" s="26">
        <v>100</v>
      </c>
      <c r="M34" s="23">
        <f>K34/E34/G34/I34</f>
        <v>1201.9230769230769</v>
      </c>
      <c r="N34" s="23">
        <f>L34</f>
        <v>100</v>
      </c>
      <c r="O34" s="27">
        <f>M34+N34</f>
        <v>1301.9230769230769</v>
      </c>
      <c r="P34" s="21">
        <v>0.74</v>
      </c>
      <c r="Q34" s="21">
        <v>0.66</v>
      </c>
      <c r="R34" s="21">
        <v>0.5</v>
      </c>
      <c r="S34" s="21">
        <v>0.48</v>
      </c>
      <c r="T34" s="21">
        <v>0.44</v>
      </c>
      <c r="U34" s="21">
        <v>0.4</v>
      </c>
      <c r="V34" s="21">
        <v>0.38</v>
      </c>
      <c r="W34" s="21">
        <v>0.36</v>
      </c>
      <c r="X34" s="21">
        <v>0.35</v>
      </c>
      <c r="Y34" s="21">
        <v>0.35</v>
      </c>
      <c r="Z34" s="21">
        <v>0.35</v>
      </c>
      <c r="AA34" s="38">
        <f t="shared" ref="AA34:AK34" si="2">$J$20*P34</f>
        <v>6156.8</v>
      </c>
      <c r="AB34" s="38">
        <f t="shared" si="2"/>
        <v>5491.2</v>
      </c>
      <c r="AC34" s="38">
        <f t="shared" si="2"/>
        <v>4160</v>
      </c>
      <c r="AD34" s="38">
        <f t="shared" si="2"/>
        <v>3993.6</v>
      </c>
      <c r="AE34" s="38">
        <f t="shared" si="2"/>
        <v>3660.8</v>
      </c>
      <c r="AF34" s="38">
        <f t="shared" si="2"/>
        <v>3328</v>
      </c>
      <c r="AG34" s="38">
        <f t="shared" si="2"/>
        <v>3161.6</v>
      </c>
      <c r="AH34" s="38">
        <f t="shared" si="2"/>
        <v>2995.2</v>
      </c>
      <c r="AI34" s="38">
        <f t="shared" si="2"/>
        <v>2912</v>
      </c>
      <c r="AJ34" s="38">
        <f t="shared" si="2"/>
        <v>2912</v>
      </c>
      <c r="AK34" s="38">
        <f t="shared" si="2"/>
        <v>2912</v>
      </c>
      <c r="AL34" s="14">
        <v>1</v>
      </c>
      <c r="AM34" s="15">
        <v>300</v>
      </c>
      <c r="AN34" s="41">
        <v>1.4999999999999999E-2</v>
      </c>
      <c r="AO34" s="26">
        <v>10</v>
      </c>
      <c r="AP34" s="26">
        <v>50</v>
      </c>
      <c r="AQ34" s="29">
        <f>AM34*AN34+AO34+AP34</f>
        <v>64.5</v>
      </c>
      <c r="AR34" s="23">
        <f>J34*AL34*AM34</f>
        <v>2496000</v>
      </c>
      <c r="AS34" s="23">
        <f>SUM(AA34:AK34)*AL34*AM34</f>
        <v>12504960</v>
      </c>
      <c r="AT34" s="23">
        <f>SUM(AR34:AS34)</f>
        <v>15000960</v>
      </c>
      <c r="AU34" s="23">
        <f>J34*O34</f>
        <v>10832000</v>
      </c>
      <c r="AV34" s="42">
        <f>(J34+SUM(AA34:AK34))*AL34*AQ34</f>
        <v>3225206.4</v>
      </c>
      <c r="AW34" s="42">
        <f>AT34-AU34-AV34</f>
        <v>943753.60000000009</v>
      </c>
      <c r="AX34" s="43"/>
      <c r="AY34" s="43"/>
      <c r="AZ34" s="43"/>
      <c r="BA34" s="43"/>
      <c r="BB34" s="43"/>
    </row>
    <row r="37" spans="1:67" x14ac:dyDescent="0.2">
      <c r="B37" s="1" t="s">
        <v>48</v>
      </c>
    </row>
    <row r="38" spans="1:67" x14ac:dyDescent="0.2">
      <c r="AV38" s="24"/>
    </row>
    <row r="39" spans="1:67" x14ac:dyDescent="0.2">
      <c r="A39" s="2"/>
      <c r="B39" s="56" t="s">
        <v>1</v>
      </c>
      <c r="C39" s="52"/>
      <c r="D39" s="52"/>
      <c r="E39" s="52"/>
      <c r="F39" s="52"/>
      <c r="G39" s="52"/>
      <c r="H39" s="52"/>
      <c r="I39" s="52"/>
      <c r="J39" s="54"/>
      <c r="K39" s="60" t="s">
        <v>30</v>
      </c>
      <c r="L39" s="52"/>
      <c r="M39" s="52"/>
      <c r="N39" s="52"/>
      <c r="O39" s="54"/>
      <c r="P39" s="51" t="s">
        <v>20</v>
      </c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3" t="s">
        <v>14</v>
      </c>
      <c r="AM39" s="54"/>
      <c r="AN39" s="51" t="s">
        <v>91</v>
      </c>
      <c r="AO39" s="52"/>
      <c r="AP39" s="52"/>
      <c r="AQ39" s="54"/>
      <c r="AR39" s="60" t="s">
        <v>49</v>
      </c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4"/>
      <c r="BG39" s="55" t="s">
        <v>15</v>
      </c>
      <c r="BH39" s="52"/>
      <c r="BI39" s="52"/>
      <c r="BJ39" s="52"/>
      <c r="BK39" s="52"/>
      <c r="BL39" s="52"/>
    </row>
    <row r="40" spans="1:67" x14ac:dyDescent="0.2">
      <c r="A40" s="3"/>
      <c r="B40" s="11" t="s">
        <v>56</v>
      </c>
      <c r="C40" s="11" t="s">
        <v>57</v>
      </c>
      <c r="D40" s="11" t="s">
        <v>58</v>
      </c>
      <c r="E40" s="11" t="s">
        <v>59</v>
      </c>
      <c r="F40" s="11" t="s">
        <v>60</v>
      </c>
      <c r="G40" s="11" t="s">
        <v>61</v>
      </c>
      <c r="H40" s="11" t="s">
        <v>62</v>
      </c>
      <c r="I40" s="11" t="s">
        <v>63</v>
      </c>
      <c r="J40" s="18" t="s">
        <v>64</v>
      </c>
      <c r="K40" s="11" t="s">
        <v>86</v>
      </c>
      <c r="L40" s="11" t="s">
        <v>87</v>
      </c>
      <c r="M40" s="11" t="s">
        <v>88</v>
      </c>
      <c r="N40" s="11" t="s">
        <v>36</v>
      </c>
      <c r="O40" s="18" t="s">
        <v>89</v>
      </c>
      <c r="P40" s="11" t="s">
        <v>21</v>
      </c>
      <c r="Q40" s="11" t="s">
        <v>22</v>
      </c>
      <c r="R40" s="11" t="s">
        <v>23</v>
      </c>
      <c r="S40" s="11" t="s">
        <v>67</v>
      </c>
      <c r="T40" s="11" t="s">
        <v>68</v>
      </c>
      <c r="U40" s="11" t="s">
        <v>69</v>
      </c>
      <c r="V40" s="11" t="s">
        <v>70</v>
      </c>
      <c r="W40" s="11" t="s">
        <v>71</v>
      </c>
      <c r="X40" s="11" t="s">
        <v>72</v>
      </c>
      <c r="Y40" s="11" t="s">
        <v>73</v>
      </c>
      <c r="Z40" s="11" t="s">
        <v>74</v>
      </c>
      <c r="AA40" s="11" t="s">
        <v>75</v>
      </c>
      <c r="AB40" s="11" t="s">
        <v>76</v>
      </c>
      <c r="AC40" s="11" t="s">
        <v>26</v>
      </c>
      <c r="AD40" s="11" t="s">
        <v>77</v>
      </c>
      <c r="AE40" s="11" t="s">
        <v>78</v>
      </c>
      <c r="AF40" s="11" t="s">
        <v>79</v>
      </c>
      <c r="AG40" s="11" t="s">
        <v>80</v>
      </c>
      <c r="AH40" s="11" t="s">
        <v>81</v>
      </c>
      <c r="AI40" s="11" t="s">
        <v>82</v>
      </c>
      <c r="AJ40" s="11" t="s">
        <v>83</v>
      </c>
      <c r="AK40" s="11" t="s">
        <v>84</v>
      </c>
      <c r="AL40" s="19" t="s">
        <v>16</v>
      </c>
      <c r="AM40" s="18" t="s">
        <v>66</v>
      </c>
      <c r="AN40" s="40" t="s">
        <v>92</v>
      </c>
      <c r="AO40" s="40" t="s">
        <v>93</v>
      </c>
      <c r="AP40" s="40" t="s">
        <v>94</v>
      </c>
      <c r="AQ40" s="18" t="s">
        <v>46</v>
      </c>
      <c r="AR40" s="4" t="s">
        <v>50</v>
      </c>
      <c r="AS40" s="4" t="s">
        <v>51</v>
      </c>
      <c r="AT40" s="4" t="s">
        <v>52</v>
      </c>
      <c r="AU40" s="4" t="s">
        <v>53</v>
      </c>
      <c r="AV40" s="4" t="s">
        <v>54</v>
      </c>
      <c r="AW40" s="4" t="s">
        <v>96</v>
      </c>
      <c r="AX40" s="4" t="s">
        <v>97</v>
      </c>
      <c r="AY40" s="4" t="s">
        <v>98</v>
      </c>
      <c r="AZ40" s="4" t="s">
        <v>99</v>
      </c>
      <c r="BA40" s="4" t="s">
        <v>100</v>
      </c>
      <c r="BB40" s="4" t="s">
        <v>101</v>
      </c>
      <c r="BC40" s="4" t="s">
        <v>102</v>
      </c>
      <c r="BD40" s="4" t="s">
        <v>103</v>
      </c>
      <c r="BE40" s="4" t="s">
        <v>37</v>
      </c>
      <c r="BF40" s="32" t="s">
        <v>55</v>
      </c>
      <c r="BG40" s="11" t="s">
        <v>18</v>
      </c>
      <c r="BH40" s="11" t="s">
        <v>27</v>
      </c>
      <c r="BI40" s="11" t="s">
        <v>85</v>
      </c>
      <c r="BJ40" s="11" t="s">
        <v>38</v>
      </c>
      <c r="BK40" s="11" t="s">
        <v>95</v>
      </c>
      <c r="BL40" s="11" t="s">
        <v>90</v>
      </c>
    </row>
    <row r="41" spans="1:67" x14ac:dyDescent="0.2">
      <c r="A41" s="5" t="s">
        <v>12</v>
      </c>
      <c r="B41" s="34">
        <v>100000</v>
      </c>
      <c r="C41" s="7">
        <v>0.2</v>
      </c>
      <c r="D41" s="35">
        <f>B41*C41</f>
        <v>20000</v>
      </c>
      <c r="E41" s="7">
        <v>0.8</v>
      </c>
      <c r="F41" s="36">
        <f>D41*E41</f>
        <v>16000</v>
      </c>
      <c r="G41" s="7">
        <v>0.8</v>
      </c>
      <c r="H41" s="36">
        <f>F41*G41</f>
        <v>12800</v>
      </c>
      <c r="I41" s="7">
        <v>0.65</v>
      </c>
      <c r="J41" s="37">
        <f>H41*I41</f>
        <v>8320</v>
      </c>
      <c r="K41" s="26">
        <v>500</v>
      </c>
      <c r="L41" s="26">
        <v>100</v>
      </c>
      <c r="M41" s="23">
        <f>K41/E41/G41/I41</f>
        <v>1201.9230769230769</v>
      </c>
      <c r="N41" s="23">
        <f>L41</f>
        <v>100</v>
      </c>
      <c r="O41" s="27">
        <f>M41+N41</f>
        <v>1301.9230769230769</v>
      </c>
      <c r="P41" s="21">
        <v>0.74</v>
      </c>
      <c r="Q41" s="21">
        <v>0.66</v>
      </c>
      <c r="R41" s="21">
        <v>0.5</v>
      </c>
      <c r="S41" s="21">
        <v>0.48</v>
      </c>
      <c r="T41" s="21">
        <v>0.44</v>
      </c>
      <c r="U41" s="21">
        <v>0.4</v>
      </c>
      <c r="V41" s="21">
        <v>0.38</v>
      </c>
      <c r="W41" s="21">
        <v>0.36</v>
      </c>
      <c r="X41" s="21">
        <v>0.35</v>
      </c>
      <c r="Y41" s="21">
        <v>0.35</v>
      </c>
      <c r="Z41" s="21">
        <v>0.35</v>
      </c>
      <c r="AA41" s="38">
        <f t="shared" ref="AA41:AK41" si="3">$J$20*P41</f>
        <v>6156.8</v>
      </c>
      <c r="AB41" s="38">
        <f t="shared" si="3"/>
        <v>5491.2</v>
      </c>
      <c r="AC41" s="38">
        <f t="shared" si="3"/>
        <v>4160</v>
      </c>
      <c r="AD41" s="38">
        <f t="shared" si="3"/>
        <v>3993.6</v>
      </c>
      <c r="AE41" s="38">
        <f t="shared" si="3"/>
        <v>3660.8</v>
      </c>
      <c r="AF41" s="38">
        <f t="shared" si="3"/>
        <v>3328</v>
      </c>
      <c r="AG41" s="38">
        <f t="shared" si="3"/>
        <v>3161.6</v>
      </c>
      <c r="AH41" s="38">
        <f t="shared" si="3"/>
        <v>2995.2</v>
      </c>
      <c r="AI41" s="38">
        <f t="shared" si="3"/>
        <v>2912</v>
      </c>
      <c r="AJ41" s="38">
        <f t="shared" si="3"/>
        <v>2912</v>
      </c>
      <c r="AK41" s="38">
        <f t="shared" si="3"/>
        <v>2912</v>
      </c>
      <c r="AL41" s="14">
        <v>1</v>
      </c>
      <c r="AM41" s="15">
        <v>300</v>
      </c>
      <c r="AN41" s="41">
        <v>1.4999999999999999E-2</v>
      </c>
      <c r="AO41" s="26">
        <v>10</v>
      </c>
      <c r="AP41" s="26">
        <v>50</v>
      </c>
      <c r="AQ41" s="29">
        <f>AM41*AN41+AO41+AP41</f>
        <v>64.5</v>
      </c>
      <c r="AR41" s="24">
        <f>(AM41-AQ41)*1</f>
        <v>235.5</v>
      </c>
      <c r="AS41" s="24">
        <f>J41*AR41/J41</f>
        <v>235.5</v>
      </c>
      <c r="AT41" s="24">
        <f t="shared" ref="AT41:BD41" si="4">($J41+SUM($AA41:AA41))*$AR41/$J41</f>
        <v>409.77</v>
      </c>
      <c r="AU41" s="24">
        <f t="shared" si="4"/>
        <v>565.20000000000005</v>
      </c>
      <c r="AV41" s="24">
        <f t="shared" si="4"/>
        <v>682.95</v>
      </c>
      <c r="AW41" s="24">
        <f t="shared" si="4"/>
        <v>795.99</v>
      </c>
      <c r="AX41" s="24">
        <f t="shared" si="4"/>
        <v>899.6099999999999</v>
      </c>
      <c r="AY41" s="24">
        <f t="shared" si="4"/>
        <v>993.80999999999983</v>
      </c>
      <c r="AZ41" s="24">
        <f t="shared" si="4"/>
        <v>1083.3</v>
      </c>
      <c r="BA41" s="24">
        <f t="shared" si="4"/>
        <v>1168.08</v>
      </c>
      <c r="BB41" s="24">
        <f t="shared" si="4"/>
        <v>1250.5049999999999</v>
      </c>
      <c r="BC41" s="24">
        <f t="shared" si="4"/>
        <v>1332.93</v>
      </c>
      <c r="BD41" s="24">
        <f t="shared" si="4"/>
        <v>1415.355</v>
      </c>
      <c r="BE41" s="23">
        <f>O41</f>
        <v>1301.9230769230769</v>
      </c>
      <c r="BF41" s="33">
        <f>(BD41-BE41)/BE41</f>
        <v>8.7126440177252615E-2</v>
      </c>
      <c r="BG41" s="23">
        <f>J41*AL41*AM41</f>
        <v>2496000</v>
      </c>
      <c r="BH41" s="23">
        <f>SUM(AA41:AK41)*AL41*AM41</f>
        <v>12504960</v>
      </c>
      <c r="BI41" s="23">
        <f>SUM(BG41:BH41)</f>
        <v>15000960</v>
      </c>
      <c r="BJ41" s="23">
        <f>J41*O41</f>
        <v>10832000</v>
      </c>
      <c r="BK41" s="42">
        <f>(J41+SUM(AA41:AK41))*AL41*AQ41</f>
        <v>3225206.4</v>
      </c>
      <c r="BL41" s="42">
        <f>BI41-BJ41-BK41</f>
        <v>943753.60000000009</v>
      </c>
      <c r="BN41" s="23"/>
      <c r="BO41" s="23"/>
    </row>
  </sheetData>
  <mergeCells count="28">
    <mergeCell ref="BG39:BL39"/>
    <mergeCell ref="B32:J32"/>
    <mergeCell ref="K32:O32"/>
    <mergeCell ref="P32:AK32"/>
    <mergeCell ref="AL32:AM32"/>
    <mergeCell ref="AN32:AQ32"/>
    <mergeCell ref="AR32:AW32"/>
    <mergeCell ref="B39:J39"/>
    <mergeCell ref="K39:O39"/>
    <mergeCell ref="P39:AK39"/>
    <mergeCell ref="AL39:AM39"/>
    <mergeCell ref="AN39:AQ39"/>
    <mergeCell ref="AR39:BF39"/>
    <mergeCell ref="AL25:AM25"/>
    <mergeCell ref="AN25:AR25"/>
    <mergeCell ref="B4:J4"/>
    <mergeCell ref="N5:O5"/>
    <mergeCell ref="P5:Q5"/>
    <mergeCell ref="R5:S5"/>
    <mergeCell ref="B11:J11"/>
    <mergeCell ref="K11:L11"/>
    <mergeCell ref="B18:J18"/>
    <mergeCell ref="K18:AF18"/>
    <mergeCell ref="AG18:AH18"/>
    <mergeCell ref="AI18:AK18"/>
    <mergeCell ref="B25:J25"/>
    <mergeCell ref="K25:O25"/>
    <mergeCell ref="P25:AK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R13"/>
  <sheetViews>
    <sheetView workbookViewId="0"/>
  </sheetViews>
  <sheetFormatPr defaultColWidth="12.5703125" defaultRowHeight="15.75" customHeight="1" x14ac:dyDescent="0.2"/>
  <cols>
    <col min="1" max="1" width="15.85546875" customWidth="1"/>
    <col min="2" max="2" width="11.42578125" customWidth="1"/>
    <col min="3" max="3" width="11.140625" customWidth="1"/>
    <col min="4" max="4" width="10.7109375" customWidth="1"/>
    <col min="5" max="5" width="10.85546875" customWidth="1"/>
    <col min="6" max="6" width="11.42578125" customWidth="1"/>
    <col min="7" max="7" width="10.28515625" customWidth="1"/>
    <col min="11" max="11" width="14.42578125" customWidth="1"/>
    <col min="13" max="13" width="15.28515625" customWidth="1"/>
    <col min="14" max="14" width="11" customWidth="1"/>
    <col min="16" max="16" width="19.42578125" customWidth="1"/>
    <col min="19" max="19" width="14.42578125" customWidth="1"/>
    <col min="24" max="24" width="14.42578125" customWidth="1"/>
    <col min="30" max="30" width="14.7109375" customWidth="1"/>
  </cols>
  <sheetData>
    <row r="2" spans="1:44" x14ac:dyDescent="0.2">
      <c r="B2" s="1" t="s">
        <v>104</v>
      </c>
    </row>
    <row r="4" spans="1:44" x14ac:dyDescent="0.2">
      <c r="A4" s="2"/>
      <c r="B4" s="56" t="s">
        <v>1</v>
      </c>
      <c r="C4" s="52"/>
      <c r="D4" s="52"/>
      <c r="E4" s="52"/>
      <c r="F4" s="52"/>
      <c r="G4" s="52"/>
      <c r="H4" s="54"/>
      <c r="I4" s="60" t="s">
        <v>30</v>
      </c>
      <c r="J4" s="52"/>
      <c r="K4" s="52"/>
      <c r="L4" s="52"/>
      <c r="M4" s="52"/>
      <c r="N4" s="52"/>
      <c r="O4" s="52"/>
      <c r="P4" s="52"/>
      <c r="Q4" s="54"/>
      <c r="R4" s="51" t="s">
        <v>20</v>
      </c>
      <c r="S4" s="52"/>
      <c r="T4" s="52"/>
      <c r="U4" s="52"/>
      <c r="V4" s="52"/>
      <c r="W4" s="52"/>
      <c r="X4" s="53" t="s">
        <v>14</v>
      </c>
      <c r="Y4" s="54"/>
      <c r="Z4" s="17" t="s">
        <v>41</v>
      </c>
      <c r="AA4" s="17"/>
      <c r="AB4" s="17"/>
      <c r="AC4" s="17"/>
      <c r="AD4" s="17"/>
      <c r="AE4" s="17"/>
      <c r="AF4" s="25" t="s">
        <v>49</v>
      </c>
      <c r="AG4" s="30"/>
      <c r="AH4" s="30"/>
      <c r="AI4" s="30"/>
      <c r="AJ4" s="30"/>
      <c r="AK4" s="30"/>
      <c r="AL4" s="31"/>
      <c r="AM4" s="55" t="s">
        <v>15</v>
      </c>
      <c r="AN4" s="52"/>
      <c r="AO4" s="52"/>
      <c r="AP4" s="52"/>
      <c r="AQ4" s="52"/>
      <c r="AR4" s="52"/>
    </row>
    <row r="5" spans="1:44" x14ac:dyDescent="0.2">
      <c r="A5" s="3"/>
      <c r="B5" s="11" t="s">
        <v>105</v>
      </c>
      <c r="C5" s="11" t="s">
        <v>3</v>
      </c>
      <c r="D5" s="11" t="s">
        <v>4</v>
      </c>
      <c r="E5" s="11" t="s">
        <v>106</v>
      </c>
      <c r="F5" s="11" t="s">
        <v>6</v>
      </c>
      <c r="G5" s="11" t="s">
        <v>107</v>
      </c>
      <c r="H5" s="18" t="s">
        <v>8</v>
      </c>
      <c r="I5" s="11" t="s">
        <v>108</v>
      </c>
      <c r="J5" s="11" t="s">
        <v>32</v>
      </c>
      <c r="K5" s="11" t="s">
        <v>33</v>
      </c>
      <c r="L5" s="11" t="s">
        <v>42</v>
      </c>
      <c r="M5" s="11" t="s">
        <v>35</v>
      </c>
      <c r="N5" s="11" t="s">
        <v>36</v>
      </c>
      <c r="O5" s="4" t="s">
        <v>109</v>
      </c>
      <c r="P5" s="4" t="s">
        <v>110</v>
      </c>
      <c r="Q5" s="18" t="s">
        <v>37</v>
      </c>
      <c r="R5" s="11" t="s">
        <v>111</v>
      </c>
      <c r="S5" s="11" t="s">
        <v>21</v>
      </c>
      <c r="T5" s="11" t="s">
        <v>22</v>
      </c>
      <c r="U5" s="11" t="s">
        <v>112</v>
      </c>
      <c r="V5" s="11" t="s">
        <v>24</v>
      </c>
      <c r="W5" s="11" t="s">
        <v>25</v>
      </c>
      <c r="X5" s="19" t="s">
        <v>16</v>
      </c>
      <c r="Y5" s="18" t="s">
        <v>17</v>
      </c>
      <c r="Z5" s="11" t="s">
        <v>43</v>
      </c>
      <c r="AA5" s="11" t="s">
        <v>44</v>
      </c>
      <c r="AB5" s="11" t="s">
        <v>45</v>
      </c>
      <c r="AC5" s="4" t="s">
        <v>113</v>
      </c>
      <c r="AD5" s="4" t="s">
        <v>114</v>
      </c>
      <c r="AE5" s="18" t="s">
        <v>46</v>
      </c>
      <c r="AF5" s="40" t="s">
        <v>115</v>
      </c>
      <c r="AG5" s="40" t="s">
        <v>116</v>
      </c>
      <c r="AH5" s="40" t="s">
        <v>117</v>
      </c>
      <c r="AI5" s="40" t="s">
        <v>52</v>
      </c>
      <c r="AJ5" s="40" t="s">
        <v>53</v>
      </c>
      <c r="AK5" s="40" t="s">
        <v>37</v>
      </c>
      <c r="AL5" s="44" t="s">
        <v>55</v>
      </c>
      <c r="AM5" s="11" t="s">
        <v>18</v>
      </c>
      <c r="AN5" s="11" t="s">
        <v>27</v>
      </c>
      <c r="AO5" s="11" t="s">
        <v>28</v>
      </c>
      <c r="AP5" s="11" t="s">
        <v>38</v>
      </c>
      <c r="AQ5" s="11" t="s">
        <v>47</v>
      </c>
      <c r="AR5" s="11" t="s">
        <v>39</v>
      </c>
    </row>
    <row r="6" spans="1:44" x14ac:dyDescent="0.2">
      <c r="A6" s="5" t="s">
        <v>12</v>
      </c>
      <c r="B6" s="6">
        <v>10000</v>
      </c>
      <c r="C6" s="7">
        <v>0.8</v>
      </c>
      <c r="D6" s="8">
        <f>B6*C6</f>
        <v>8000</v>
      </c>
      <c r="E6" s="7">
        <v>0.6</v>
      </c>
      <c r="F6" s="8">
        <f>D6*E6</f>
        <v>4800</v>
      </c>
      <c r="G6" s="7">
        <v>0.65</v>
      </c>
      <c r="H6" s="20">
        <f>F6*G6</f>
        <v>3120</v>
      </c>
      <c r="I6" s="26">
        <v>1200</v>
      </c>
      <c r="J6" s="26">
        <v>300</v>
      </c>
      <c r="K6" s="26">
        <v>700</v>
      </c>
      <c r="L6" s="26">
        <v>30</v>
      </c>
      <c r="M6" s="23">
        <f>I6/C6/E6/G6</f>
        <v>3846.1538461538462</v>
      </c>
      <c r="N6" s="23">
        <f>J6/E6/G6+K6/G6+L6</f>
        <v>1876.1538461538462</v>
      </c>
      <c r="O6" s="26">
        <v>0.2</v>
      </c>
      <c r="P6" s="24">
        <f>O13*O6</f>
        <v>3401</v>
      </c>
      <c r="Q6" s="27">
        <f>M6+N6+P6</f>
        <v>9123.3076923076915</v>
      </c>
      <c r="R6" s="21">
        <v>0.3</v>
      </c>
      <c r="S6" s="21">
        <v>0.2</v>
      </c>
      <c r="T6" s="21">
        <v>0.1</v>
      </c>
      <c r="U6" s="22">
        <f>H6*R6</f>
        <v>936</v>
      </c>
      <c r="V6" s="22">
        <f>H6*S6</f>
        <v>624</v>
      </c>
      <c r="W6" s="22">
        <f>H6*T6</f>
        <v>312</v>
      </c>
      <c r="X6" s="14">
        <v>2</v>
      </c>
      <c r="Y6" s="15">
        <v>3500</v>
      </c>
      <c r="Z6" s="21">
        <v>0.03</v>
      </c>
      <c r="AA6" s="26">
        <v>1300</v>
      </c>
      <c r="AB6" s="26">
        <v>10</v>
      </c>
      <c r="AC6" s="45">
        <v>600</v>
      </c>
      <c r="AD6" s="45">
        <v>250</v>
      </c>
      <c r="AE6" s="29">
        <f>Y6*Z6+AA6+AB6+AC6+AD6</f>
        <v>2265</v>
      </c>
      <c r="AF6" s="24">
        <f>X6*(Y6-AE6)</f>
        <v>2470</v>
      </c>
      <c r="AG6" s="24">
        <f>H6*AF6/H6</f>
        <v>2470</v>
      </c>
      <c r="AH6" s="24">
        <f>(H6+U6)*AF6/H6</f>
        <v>3211</v>
      </c>
      <c r="AI6" s="24">
        <f>(H6+U6+V6)*AF6/H6</f>
        <v>3705</v>
      </c>
      <c r="AJ6" s="24">
        <f>(H6+U6+V6+W6)*AF6/H6</f>
        <v>3952</v>
      </c>
      <c r="AK6" s="23">
        <f>Q6</f>
        <v>9123.3076923076915</v>
      </c>
      <c r="AL6" s="33">
        <f>(AJ6-AK6)/AK6</f>
        <v>-0.56682377342900259</v>
      </c>
      <c r="AM6" s="23">
        <f>H6*X6*Y6</f>
        <v>21840000</v>
      </c>
      <c r="AN6" s="23">
        <f>SUM(U6:W6)*X6*Y6</f>
        <v>13104000</v>
      </c>
      <c r="AO6" s="23">
        <f>SUM(AM6:AN6)</f>
        <v>34944000</v>
      </c>
      <c r="AP6" s="23">
        <f>Q6*H6</f>
        <v>28464719.999999996</v>
      </c>
      <c r="AQ6" s="23">
        <f>(H6+U6+V6+W6)*X6*AE6</f>
        <v>22613760</v>
      </c>
      <c r="AR6" s="23">
        <f>AO6-AP6-AQ6-P13</f>
        <v>-26745599.999999996</v>
      </c>
    </row>
    <row r="9" spans="1:44" x14ac:dyDescent="0.2">
      <c r="B9" s="1" t="s">
        <v>118</v>
      </c>
    </row>
    <row r="11" spans="1:44" x14ac:dyDescent="0.2">
      <c r="A11" s="2"/>
      <c r="B11" s="56" t="s">
        <v>1</v>
      </c>
      <c r="C11" s="52"/>
      <c r="D11" s="52"/>
      <c r="E11" s="52"/>
      <c r="F11" s="52"/>
      <c r="G11" s="52"/>
      <c r="H11" s="54"/>
      <c r="I11" s="60" t="s">
        <v>30</v>
      </c>
      <c r="J11" s="52"/>
      <c r="K11" s="52"/>
      <c r="L11" s="52"/>
      <c r="M11" s="52"/>
      <c r="N11" s="52"/>
      <c r="O11" s="52"/>
      <c r="P11" s="10" t="s">
        <v>15</v>
      </c>
      <c r="Q11" s="1"/>
      <c r="R11" s="1"/>
      <c r="S11" s="1"/>
      <c r="T11" s="1"/>
      <c r="U11" s="1"/>
      <c r="V11" s="61"/>
      <c r="W11" s="52"/>
      <c r="X11" s="1"/>
      <c r="Y11" s="1"/>
      <c r="Z11" s="1"/>
      <c r="AA11" s="1"/>
      <c r="AB11" s="1"/>
      <c r="AC11" s="1"/>
      <c r="AD11" s="1"/>
    </row>
    <row r="12" spans="1:44" x14ac:dyDescent="0.2">
      <c r="A12" s="3"/>
      <c r="B12" s="11" t="s">
        <v>105</v>
      </c>
      <c r="C12" s="11" t="s">
        <v>3</v>
      </c>
      <c r="D12" s="11" t="s">
        <v>4</v>
      </c>
      <c r="E12" s="11" t="s">
        <v>106</v>
      </c>
      <c r="F12" s="11" t="s">
        <v>6</v>
      </c>
      <c r="G12" s="11" t="s">
        <v>107</v>
      </c>
      <c r="H12" s="18" t="s">
        <v>8</v>
      </c>
      <c r="I12" s="11" t="s">
        <v>108</v>
      </c>
      <c r="J12" s="11" t="s">
        <v>32</v>
      </c>
      <c r="K12" s="11" t="s">
        <v>33</v>
      </c>
      <c r="L12" s="11" t="s">
        <v>42</v>
      </c>
      <c r="M12" s="11" t="s">
        <v>35</v>
      </c>
      <c r="N12" s="11" t="s">
        <v>36</v>
      </c>
      <c r="O12" s="18" t="s">
        <v>37</v>
      </c>
      <c r="P12" s="11" t="s">
        <v>119</v>
      </c>
      <c r="Q12" s="11"/>
      <c r="R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46"/>
    </row>
    <row r="13" spans="1:44" x14ac:dyDescent="0.2">
      <c r="A13" s="5" t="s">
        <v>12</v>
      </c>
      <c r="B13" s="35">
        <f>D13/C13</f>
        <v>41600</v>
      </c>
      <c r="C13" s="7">
        <v>0.5</v>
      </c>
      <c r="D13" s="36">
        <f>F13/E13</f>
        <v>20800</v>
      </c>
      <c r="E13" s="7">
        <v>0.2</v>
      </c>
      <c r="F13" s="36">
        <f>H13/G13</f>
        <v>4160</v>
      </c>
      <c r="G13" s="7">
        <v>0.15</v>
      </c>
      <c r="H13" s="20">
        <f>H6*O6</f>
        <v>624</v>
      </c>
      <c r="I13" s="26">
        <v>200</v>
      </c>
      <c r="J13" s="26">
        <v>100</v>
      </c>
      <c r="K13" s="26">
        <v>50</v>
      </c>
      <c r="L13" s="26">
        <v>5</v>
      </c>
      <c r="M13" s="23">
        <f>I13/C13/E13/G13</f>
        <v>13333.333333333334</v>
      </c>
      <c r="N13" s="23">
        <f>J13/E13/G13+K13/G13+L13</f>
        <v>3671.666666666667</v>
      </c>
      <c r="O13" s="27">
        <f>M13+N13</f>
        <v>17005</v>
      </c>
      <c r="P13" s="23">
        <f>O13*H13</f>
        <v>10611120</v>
      </c>
      <c r="Q13" s="23"/>
      <c r="R13" s="23"/>
      <c r="T13" s="23"/>
      <c r="U13" s="24"/>
      <c r="V13" s="45"/>
      <c r="W13" s="45"/>
      <c r="X13" s="47"/>
      <c r="Y13" s="45"/>
      <c r="Z13" s="45"/>
      <c r="AA13" s="24"/>
      <c r="AB13" s="24"/>
      <c r="AC13" s="24"/>
      <c r="AD13" s="24"/>
      <c r="AE13" s="24"/>
      <c r="AF13" s="24"/>
      <c r="AG13" s="24"/>
      <c r="AH13" s="24"/>
      <c r="AI13" s="24"/>
      <c r="AJ13" s="48"/>
      <c r="AQ13" s="23"/>
    </row>
  </sheetData>
  <mergeCells count="8">
    <mergeCell ref="B11:H11"/>
    <mergeCell ref="I11:O11"/>
    <mergeCell ref="V11:W11"/>
    <mergeCell ref="B4:H4"/>
    <mergeCell ref="I4:Q4"/>
    <mergeCell ref="R4:W4"/>
    <mergeCell ref="X4:Y4"/>
    <mergeCell ref="AM4:AR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96"/>
  <sheetViews>
    <sheetView workbookViewId="0"/>
  </sheetViews>
  <sheetFormatPr defaultColWidth="12.5703125" defaultRowHeight="15.75" customHeight="1" x14ac:dyDescent="0.2"/>
  <cols>
    <col min="1" max="1" width="18.85546875" customWidth="1"/>
    <col min="2" max="2" width="12.5703125" customWidth="1"/>
    <col min="3" max="13" width="9.42578125" customWidth="1"/>
  </cols>
  <sheetData>
    <row r="1" spans="1:24" x14ac:dyDescent="0.2">
      <c r="A1" s="24"/>
      <c r="B1" s="49" t="s">
        <v>120</v>
      </c>
      <c r="C1" s="62" t="s">
        <v>121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</row>
    <row r="2" spans="1:24" x14ac:dyDescent="0.2">
      <c r="A2" s="46" t="s">
        <v>122</v>
      </c>
      <c r="B2" s="46">
        <v>1</v>
      </c>
      <c r="C2" s="46">
        <v>2</v>
      </c>
      <c r="D2" s="46">
        <v>3</v>
      </c>
      <c r="E2" s="46">
        <v>4</v>
      </c>
      <c r="F2" s="46">
        <v>5</v>
      </c>
      <c r="G2" s="46">
        <v>6</v>
      </c>
      <c r="H2" s="46">
        <v>7</v>
      </c>
      <c r="I2" s="46">
        <v>8</v>
      </c>
      <c r="J2" s="46">
        <v>9</v>
      </c>
      <c r="K2" s="46">
        <v>10</v>
      </c>
      <c r="L2" s="46">
        <v>11</v>
      </c>
      <c r="M2" s="46">
        <v>12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</row>
    <row r="3" spans="1:24" x14ac:dyDescent="0.2">
      <c r="A3" s="11" t="s">
        <v>123</v>
      </c>
      <c r="B3" s="47">
        <v>1</v>
      </c>
      <c r="C3" s="47">
        <v>0.74</v>
      </c>
      <c r="D3" s="47">
        <v>0.66</v>
      </c>
      <c r="E3" s="47">
        <v>0.5</v>
      </c>
      <c r="F3" s="47">
        <v>0.48</v>
      </c>
      <c r="G3" s="47">
        <v>0.44</v>
      </c>
      <c r="H3" s="47">
        <v>0.4</v>
      </c>
      <c r="I3" s="47">
        <v>0.38</v>
      </c>
      <c r="J3" s="47">
        <v>0.36</v>
      </c>
      <c r="K3" s="47">
        <v>0.35</v>
      </c>
      <c r="L3" s="47">
        <v>0.35</v>
      </c>
      <c r="M3" s="47">
        <v>0.35</v>
      </c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</row>
    <row r="4" spans="1:24" x14ac:dyDescent="0.2">
      <c r="A4" s="11" t="s">
        <v>124</v>
      </c>
      <c r="B4" s="50">
        <f>'Модели экономики Melody'!J6</f>
        <v>8320</v>
      </c>
      <c r="C4" s="50">
        <f t="shared" ref="C4:M4" si="0">$B4*C3</f>
        <v>6156.8</v>
      </c>
      <c r="D4" s="50">
        <f t="shared" si="0"/>
        <v>5491.2</v>
      </c>
      <c r="E4" s="50">
        <f t="shared" si="0"/>
        <v>4160</v>
      </c>
      <c r="F4" s="50">
        <f t="shared" si="0"/>
        <v>3993.6</v>
      </c>
      <c r="G4" s="50">
        <f t="shared" si="0"/>
        <v>3660.8</v>
      </c>
      <c r="H4" s="50">
        <f t="shared" si="0"/>
        <v>3328</v>
      </c>
      <c r="I4" s="50">
        <f t="shared" si="0"/>
        <v>3161.6</v>
      </c>
      <c r="J4" s="50">
        <f t="shared" si="0"/>
        <v>2995.2</v>
      </c>
      <c r="K4" s="50">
        <f t="shared" si="0"/>
        <v>2912</v>
      </c>
      <c r="L4" s="50">
        <f t="shared" si="0"/>
        <v>2912</v>
      </c>
      <c r="M4" s="50">
        <f t="shared" si="0"/>
        <v>2912</v>
      </c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2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</row>
    <row r="6" spans="1:24" x14ac:dyDescent="0.2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2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1:24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</row>
    <row r="9" spans="1:24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</row>
    <row r="10" spans="1:24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</row>
    <row r="11" spans="1:24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</row>
    <row r="12" spans="1:24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</row>
    <row r="13" spans="1:24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pans="1:24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x14ac:dyDescent="0.2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</row>
    <row r="17" spans="1:24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</row>
    <row r="19" spans="1:24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x14ac:dyDescent="0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</row>
    <row r="22" spans="1:24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</row>
    <row r="23" spans="1:24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</row>
    <row r="24" spans="1:24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</row>
    <row r="25" spans="1:24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</row>
    <row r="26" spans="1:24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</row>
    <row r="27" spans="1:24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</row>
    <row r="28" spans="1:24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</row>
    <row r="29" spans="1:24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</row>
    <row r="30" spans="1:24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</row>
    <row r="31" spans="1:24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</row>
    <row r="32" spans="1:24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</row>
    <row r="33" spans="1:24" x14ac:dyDescent="0.2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1:24" x14ac:dyDescent="0.2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1:24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1:24" x14ac:dyDescent="0.2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</row>
    <row r="37" spans="1:24" x14ac:dyDescent="0.2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</row>
    <row r="38" spans="1:24" x14ac:dyDescent="0.2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</row>
    <row r="39" spans="1:24" x14ac:dyDescent="0.2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</row>
    <row r="40" spans="1:24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</row>
    <row r="41" spans="1:24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</row>
    <row r="42" spans="1:24" x14ac:dyDescent="0.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</row>
    <row r="43" spans="1:24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</row>
    <row r="44" spans="1:24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</row>
    <row r="45" spans="1:24" x14ac:dyDescent="0.2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</row>
    <row r="46" spans="1:24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</row>
    <row r="47" spans="1:24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</row>
    <row r="48" spans="1:24" x14ac:dyDescent="0.2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</row>
    <row r="49" spans="1:24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</row>
    <row r="50" spans="1:24" x14ac:dyDescent="0.2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</row>
    <row r="51" spans="1:24" x14ac:dyDescent="0.2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</row>
    <row r="52" spans="1:24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</row>
    <row r="53" spans="1:24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</row>
    <row r="54" spans="1:24" x14ac:dyDescent="0.2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</row>
    <row r="55" spans="1:24" x14ac:dyDescent="0.2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</row>
    <row r="56" spans="1:24" x14ac:dyDescent="0.2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</row>
    <row r="57" spans="1:24" x14ac:dyDescent="0.2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</row>
    <row r="58" spans="1:24" x14ac:dyDescent="0.2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</row>
    <row r="59" spans="1:24" x14ac:dyDescent="0.2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</row>
    <row r="60" spans="1:24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</row>
    <row r="61" spans="1:24" x14ac:dyDescent="0.2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</row>
    <row r="62" spans="1:24" x14ac:dyDescent="0.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2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</row>
    <row r="64" spans="1:24" x14ac:dyDescent="0.2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</row>
    <row r="65" spans="1:24" x14ac:dyDescent="0.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</row>
    <row r="66" spans="1:24" x14ac:dyDescent="0.2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</row>
    <row r="67" spans="1:24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</row>
    <row r="68" spans="1:24" x14ac:dyDescent="0.2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</row>
    <row r="69" spans="1:24" x14ac:dyDescent="0.2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</row>
    <row r="70" spans="1:24" x14ac:dyDescent="0.2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</row>
    <row r="71" spans="1:24" x14ac:dyDescent="0.2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</row>
    <row r="72" spans="1:24" x14ac:dyDescent="0.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</row>
    <row r="73" spans="1:24" x14ac:dyDescent="0.2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</row>
    <row r="74" spans="1:24" x14ac:dyDescent="0.2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</row>
    <row r="75" spans="1:24" x14ac:dyDescent="0.2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</row>
    <row r="76" spans="1:24" x14ac:dyDescent="0.2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</row>
    <row r="77" spans="1:24" x14ac:dyDescent="0.2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</row>
    <row r="78" spans="1:24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</row>
    <row r="79" spans="1:24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</row>
    <row r="80" spans="1:24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</row>
    <row r="81" spans="1:24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</row>
    <row r="82" spans="1:24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</row>
    <row r="83" spans="1:24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</row>
    <row r="84" spans="1:24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</row>
    <row r="85" spans="1:24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</row>
    <row r="86" spans="1:24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</row>
    <row r="87" spans="1:24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</row>
    <row r="88" spans="1:24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</row>
    <row r="89" spans="1:24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</row>
    <row r="90" spans="1:24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</row>
    <row r="91" spans="1:24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</row>
    <row r="92" spans="1:24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1:24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 spans="1:24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 spans="1:24" x14ac:dyDescent="0.2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</row>
    <row r="96" spans="1:24" x14ac:dyDescent="0.2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</row>
    <row r="97" spans="1:24" x14ac:dyDescent="0.2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</row>
    <row r="98" spans="1:24" x14ac:dyDescent="0.2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</row>
    <row r="99" spans="1:24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</row>
    <row r="100" spans="1:24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</row>
    <row r="101" spans="1:24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spans="1:24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spans="1:24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 spans="1:24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spans="1:24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spans="1:24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  <row r="107" spans="1:24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</row>
    <row r="108" spans="1:24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</row>
    <row r="109" spans="1:24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</row>
    <row r="110" spans="1:24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</row>
    <row r="111" spans="1:24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</row>
    <row r="112" spans="1:24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</row>
    <row r="113" spans="1:24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</row>
    <row r="114" spans="1:24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</row>
    <row r="115" spans="1:24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</row>
    <row r="116" spans="1:24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</row>
    <row r="117" spans="1:24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</row>
    <row r="118" spans="1:24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</row>
    <row r="119" spans="1:24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</row>
    <row r="120" spans="1:24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</row>
    <row r="121" spans="1:24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</row>
    <row r="122" spans="1:24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</row>
    <row r="123" spans="1:24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</row>
    <row r="124" spans="1:24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</row>
    <row r="125" spans="1:24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</row>
    <row r="126" spans="1:24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</row>
    <row r="127" spans="1:24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 spans="1:24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 spans="1:24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 spans="1:24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 spans="1:24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 spans="1:24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 spans="1:24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 spans="1:24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 spans="1:24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 spans="1:24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 spans="1:24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 spans="1:24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 spans="1:24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 spans="1:24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 spans="1:24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 spans="1:24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 spans="1:24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 spans="1:24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 spans="1:24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 spans="1:24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 spans="1:24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 spans="1:24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 spans="1:24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 spans="1:24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 spans="1:24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 spans="1:24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 spans="1:24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 spans="1:24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 spans="1:24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 spans="1:24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 spans="1:24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 spans="1:24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 spans="1:24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 spans="1:24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 spans="1:24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 spans="1:24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 spans="1:24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 spans="1:24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 spans="1:24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 spans="1:24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 spans="1:24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 spans="1:24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 spans="1:24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 spans="1:24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 spans="1:24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 spans="1:24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 spans="1:24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 spans="1:24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 spans="1:24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 spans="1:24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 spans="1:24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 spans="1:24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 spans="1:24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 spans="1:24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 spans="1:24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 spans="1:24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 spans="1:24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 spans="1:24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 spans="1:24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 spans="1:24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 spans="1:24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 spans="1:24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 spans="1:24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 spans="1:24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 spans="1:24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 spans="1:24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 spans="1:24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 spans="1:24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 spans="1:24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 spans="1:24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 spans="1:24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 spans="1:24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 spans="1:24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 spans="1:24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 spans="1:24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 spans="1:24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 spans="1:24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 spans="1:24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 spans="1:24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 spans="1:24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  <row r="207" spans="1:24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</row>
    <row r="208" spans="1:24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</row>
    <row r="209" spans="1:24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</row>
    <row r="210" spans="1:24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</row>
    <row r="211" spans="1:24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</row>
    <row r="212" spans="1:24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</row>
    <row r="213" spans="1:24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</row>
    <row r="214" spans="1:24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</row>
    <row r="215" spans="1:24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</row>
    <row r="216" spans="1:24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</row>
    <row r="217" spans="1:24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</row>
    <row r="218" spans="1:24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</row>
    <row r="219" spans="1:24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</row>
    <row r="220" spans="1:24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 spans="1:24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</row>
    <row r="222" spans="1:24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</row>
    <row r="223" spans="1:24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</row>
    <row r="224" spans="1:24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</row>
    <row r="225" spans="1:24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</row>
    <row r="226" spans="1:24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</row>
    <row r="227" spans="1:24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spans="1:24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</row>
    <row r="229" spans="1:24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</row>
    <row r="230" spans="1:24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</row>
    <row r="231" spans="1:24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</row>
    <row r="232" spans="1:24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</row>
    <row r="233" spans="1:24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</row>
    <row r="234" spans="1:24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</row>
    <row r="235" spans="1:24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</row>
    <row r="236" spans="1:24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</row>
    <row r="237" spans="1:24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</row>
    <row r="238" spans="1:24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</row>
    <row r="239" spans="1:24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</row>
    <row r="240" spans="1:24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</row>
    <row r="241" spans="1:24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</row>
    <row r="242" spans="1:24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</row>
    <row r="243" spans="1:24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</row>
    <row r="244" spans="1:24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</row>
    <row r="245" spans="1:24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</row>
    <row r="246" spans="1:24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 spans="1:24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 spans="1:24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 spans="1:24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 spans="1:24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 spans="1:24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 spans="1:24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 spans="1:24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 spans="1:24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 spans="1:24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 spans="1:24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 spans="1:24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 spans="1:24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 spans="1:24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 spans="1:24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spans="1:24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spans="1:24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spans="1:24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spans="1:24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spans="1:24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spans="1:24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 spans="1:24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spans="1:24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spans="1:24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spans="1:24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spans="1:24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spans="1:24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spans="1:24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spans="1:24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spans="1:24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spans="1:24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spans="1:24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spans="1:24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spans="1:24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spans="1:24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spans="1:24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spans="1:24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spans="1:24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spans="1:24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spans="1:24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 spans="1:24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 spans="1:24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spans="1:24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spans="1:24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spans="1:24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spans="1:24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spans="1:24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spans="1:24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spans="1:24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spans="1:24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spans="1:24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spans="1:24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 spans="1:24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 spans="1:24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 spans="1:24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 spans="1:24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 spans="1:24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 spans="1:24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</row>
    <row r="304" spans="1:24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</row>
    <row r="305" spans="1:24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</row>
    <row r="306" spans="1:24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</row>
    <row r="307" spans="1:24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</row>
    <row r="308" spans="1:24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</row>
    <row r="309" spans="1:24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</row>
    <row r="310" spans="1:24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</row>
    <row r="311" spans="1:24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</row>
    <row r="312" spans="1:24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</row>
    <row r="313" spans="1:24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</row>
    <row r="314" spans="1:24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</row>
    <row r="315" spans="1:24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</row>
    <row r="316" spans="1:24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</row>
    <row r="317" spans="1:24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</row>
    <row r="318" spans="1:24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</row>
    <row r="319" spans="1:24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</row>
    <row r="320" spans="1:24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</row>
    <row r="321" spans="1:24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</row>
    <row r="322" spans="1:24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</row>
    <row r="323" spans="1:24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</row>
    <row r="324" spans="1:24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</row>
    <row r="325" spans="1:24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</row>
    <row r="326" spans="1:24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</row>
    <row r="327" spans="1:24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</row>
    <row r="328" spans="1:24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</row>
    <row r="329" spans="1:24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</row>
    <row r="330" spans="1:24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</row>
    <row r="331" spans="1:24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</row>
    <row r="332" spans="1:24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</row>
    <row r="333" spans="1:24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</row>
    <row r="334" spans="1:24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</row>
    <row r="335" spans="1:24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</row>
    <row r="336" spans="1:24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</row>
    <row r="337" spans="1:24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</row>
    <row r="338" spans="1:24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</row>
    <row r="339" spans="1:24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</row>
    <row r="340" spans="1:24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</row>
    <row r="341" spans="1:24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</row>
    <row r="342" spans="1:24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</row>
    <row r="343" spans="1:24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</row>
    <row r="344" spans="1:24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</row>
    <row r="345" spans="1:24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 spans="1:24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 spans="1:24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 spans="1:24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 spans="1:24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 spans="1:24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 spans="1:24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 spans="1:24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 spans="1:24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 spans="1:24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 spans="1:24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 spans="1:24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 spans="1:24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 spans="1:24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 spans="1:24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 spans="1:24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</row>
    <row r="361" spans="1:24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 spans="1:24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 spans="1:24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 spans="1:24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 spans="1:24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 spans="1:24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 spans="1:24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</row>
    <row r="368" spans="1:24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</row>
    <row r="369" spans="1:24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</row>
    <row r="370" spans="1:24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</row>
    <row r="371" spans="1:24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</row>
    <row r="372" spans="1:24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</row>
    <row r="373" spans="1:24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 spans="1:24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 spans="1:24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spans="1:24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spans="1:24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spans="1:24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spans="1:24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spans="1:24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spans="1:24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spans="1:24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spans="1:24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spans="1:24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spans="1:24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spans="1:24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spans="1:24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 spans="1:24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 spans="1:24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 spans="1:24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spans="1:24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</row>
    <row r="392" spans="1:24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</row>
    <row r="393" spans="1:24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</row>
    <row r="394" spans="1:24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</row>
    <row r="395" spans="1:24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</row>
    <row r="396" spans="1:24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</row>
    <row r="397" spans="1:24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</row>
    <row r="398" spans="1:24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</row>
    <row r="399" spans="1:24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</row>
    <row r="400" spans="1:24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</row>
    <row r="401" spans="1:24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</row>
    <row r="402" spans="1:24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 spans="1:24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</row>
    <row r="404" spans="1:24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</row>
    <row r="405" spans="1:24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</row>
    <row r="406" spans="1:24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</row>
    <row r="407" spans="1:24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</row>
    <row r="408" spans="1:24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</row>
    <row r="409" spans="1:24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</row>
    <row r="410" spans="1:24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</row>
    <row r="411" spans="1:24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</row>
    <row r="412" spans="1:24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</row>
    <row r="413" spans="1:24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</row>
    <row r="414" spans="1:24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</row>
    <row r="415" spans="1:24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</row>
    <row r="416" spans="1:24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</row>
    <row r="417" spans="1:24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</row>
    <row r="418" spans="1:24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</row>
    <row r="419" spans="1:24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</row>
    <row r="420" spans="1:24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</row>
    <row r="421" spans="1:24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</row>
    <row r="422" spans="1:24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</row>
    <row r="423" spans="1:24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</row>
    <row r="424" spans="1:24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</row>
    <row r="425" spans="1:24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</row>
    <row r="426" spans="1:24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</row>
    <row r="427" spans="1:24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</row>
    <row r="428" spans="1:24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</row>
    <row r="429" spans="1:24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</row>
    <row r="430" spans="1:24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</row>
    <row r="431" spans="1:24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</row>
    <row r="432" spans="1:24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</row>
    <row r="433" spans="1:24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</row>
    <row r="434" spans="1:24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</row>
    <row r="435" spans="1:24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</row>
    <row r="436" spans="1:24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</row>
    <row r="437" spans="1:24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</row>
    <row r="438" spans="1:24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</row>
    <row r="439" spans="1:24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</row>
    <row r="440" spans="1:24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</row>
    <row r="441" spans="1:24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</row>
    <row r="442" spans="1:24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</row>
    <row r="443" spans="1:24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</row>
    <row r="444" spans="1:24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</row>
    <row r="445" spans="1:24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</row>
    <row r="446" spans="1:24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</row>
    <row r="447" spans="1:24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</row>
    <row r="448" spans="1:24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</row>
    <row r="449" spans="1:24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</row>
    <row r="450" spans="1:24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</row>
    <row r="451" spans="1:24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</row>
    <row r="452" spans="1:24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</row>
    <row r="453" spans="1:24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</row>
    <row r="454" spans="1:24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</row>
    <row r="455" spans="1:24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</row>
    <row r="456" spans="1:24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</row>
    <row r="457" spans="1:24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</row>
    <row r="458" spans="1:24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</row>
    <row r="459" spans="1:24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</row>
    <row r="460" spans="1:24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</row>
    <row r="461" spans="1:24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</row>
    <row r="462" spans="1:24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</row>
    <row r="463" spans="1:24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</row>
    <row r="464" spans="1:24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</row>
    <row r="465" spans="1:24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</row>
    <row r="466" spans="1:24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</row>
    <row r="467" spans="1:24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</row>
    <row r="468" spans="1:24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</row>
    <row r="469" spans="1:24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</row>
    <row r="470" spans="1:24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</row>
    <row r="471" spans="1:24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</row>
    <row r="472" spans="1:24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</row>
    <row r="473" spans="1:24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</row>
    <row r="474" spans="1:24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</row>
    <row r="475" spans="1:24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</row>
    <row r="476" spans="1:24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</row>
    <row r="477" spans="1:24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</row>
    <row r="478" spans="1:24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</row>
    <row r="479" spans="1:24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</row>
    <row r="480" spans="1:24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</row>
    <row r="481" spans="1:24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</row>
    <row r="482" spans="1:24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</row>
    <row r="483" spans="1:24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</row>
    <row r="484" spans="1:24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</row>
    <row r="485" spans="1:24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</row>
    <row r="486" spans="1:24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</row>
    <row r="487" spans="1:24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</row>
    <row r="488" spans="1:24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</row>
    <row r="489" spans="1:24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</row>
    <row r="490" spans="1:24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</row>
    <row r="491" spans="1:24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</row>
    <row r="492" spans="1:24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</row>
    <row r="493" spans="1:24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</row>
    <row r="494" spans="1:24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</row>
    <row r="495" spans="1:24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</row>
    <row r="496" spans="1:24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</row>
    <row r="497" spans="1:24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</row>
    <row r="498" spans="1:24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</row>
    <row r="499" spans="1:24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</row>
    <row r="500" spans="1:24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</row>
    <row r="501" spans="1:24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</row>
    <row r="502" spans="1:24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</row>
    <row r="503" spans="1:24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</row>
    <row r="504" spans="1:24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</row>
    <row r="505" spans="1:24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</row>
    <row r="506" spans="1:24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</row>
    <row r="507" spans="1:24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</row>
    <row r="508" spans="1:24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</row>
    <row r="509" spans="1:24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</row>
    <row r="510" spans="1:24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</row>
    <row r="511" spans="1:24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</row>
    <row r="512" spans="1:24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</row>
    <row r="513" spans="1:24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</row>
    <row r="514" spans="1:24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</row>
    <row r="515" spans="1:24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</row>
    <row r="516" spans="1:24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</row>
    <row r="517" spans="1:24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</row>
    <row r="518" spans="1:24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 spans="1:24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 spans="1:24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 spans="1:24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 spans="1:24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 spans="1:24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 spans="1:24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 spans="1:24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</row>
    <row r="526" spans="1:24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 spans="1:24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</row>
    <row r="528" spans="1:24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 spans="1:24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 spans="1:24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 spans="1:24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 spans="1:24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 spans="1:24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 spans="1:24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 spans="1:24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 spans="1:24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 spans="1:24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 spans="1:24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 spans="1:24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</row>
    <row r="540" spans="1:24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</row>
    <row r="541" spans="1:24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 spans="1:24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spans="1:24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 spans="1:24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 spans="1:24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 spans="1:24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</row>
    <row r="547" spans="1:24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</row>
    <row r="548" spans="1:24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</row>
    <row r="549" spans="1:24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</row>
    <row r="550" spans="1:24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</row>
    <row r="551" spans="1:24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</row>
    <row r="552" spans="1:24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</row>
    <row r="553" spans="1:24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</row>
    <row r="554" spans="1:24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</row>
    <row r="555" spans="1:24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</row>
    <row r="556" spans="1:24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</row>
    <row r="557" spans="1:24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</row>
    <row r="558" spans="1:24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</row>
    <row r="559" spans="1:24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</row>
    <row r="560" spans="1:24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</row>
    <row r="561" spans="1:24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</row>
    <row r="562" spans="1:24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</row>
    <row r="563" spans="1:24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</row>
    <row r="564" spans="1:24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</row>
    <row r="565" spans="1:24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</row>
    <row r="566" spans="1:24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</row>
    <row r="567" spans="1:24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</row>
    <row r="568" spans="1:24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</row>
    <row r="569" spans="1:24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</row>
    <row r="570" spans="1:24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</row>
    <row r="571" spans="1:24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</row>
    <row r="572" spans="1:24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</row>
    <row r="573" spans="1:24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</row>
    <row r="574" spans="1:24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</row>
    <row r="575" spans="1:24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</row>
    <row r="576" spans="1:24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</row>
    <row r="577" spans="1:24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</row>
    <row r="578" spans="1:24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</row>
    <row r="579" spans="1:24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</row>
    <row r="580" spans="1:24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</row>
    <row r="581" spans="1:24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</row>
    <row r="582" spans="1:24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</row>
    <row r="583" spans="1:24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</row>
    <row r="584" spans="1:24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</row>
    <row r="585" spans="1:24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</row>
    <row r="586" spans="1:24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</row>
    <row r="587" spans="1:24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</row>
    <row r="588" spans="1:24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</row>
    <row r="589" spans="1:24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</row>
    <row r="590" spans="1:24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</row>
    <row r="591" spans="1:24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</row>
    <row r="592" spans="1:24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</row>
    <row r="593" spans="1:24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</row>
    <row r="594" spans="1:24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</row>
    <row r="595" spans="1:24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</row>
    <row r="596" spans="1:24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</row>
    <row r="597" spans="1:24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</row>
    <row r="598" spans="1:24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</row>
    <row r="599" spans="1:24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</row>
    <row r="600" spans="1:24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</row>
    <row r="601" spans="1:24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</row>
    <row r="602" spans="1:24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</row>
    <row r="603" spans="1:24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</row>
    <row r="604" spans="1:24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</row>
    <row r="605" spans="1:24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</row>
    <row r="606" spans="1:24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</row>
    <row r="607" spans="1:24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</row>
    <row r="608" spans="1:24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</row>
    <row r="609" spans="1:24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</row>
    <row r="610" spans="1:24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</row>
    <row r="611" spans="1:24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</row>
    <row r="612" spans="1:24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</row>
    <row r="613" spans="1:24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</row>
    <row r="614" spans="1:24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</row>
    <row r="615" spans="1:24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</row>
    <row r="616" spans="1:24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</row>
    <row r="617" spans="1:24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</row>
    <row r="618" spans="1:24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</row>
    <row r="619" spans="1:24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</row>
    <row r="620" spans="1:24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</row>
    <row r="621" spans="1:24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</row>
    <row r="622" spans="1:24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</row>
    <row r="623" spans="1:24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</row>
    <row r="624" spans="1:24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</row>
    <row r="625" spans="1:24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</row>
    <row r="626" spans="1:24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</row>
    <row r="627" spans="1:24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</row>
    <row r="628" spans="1:24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</row>
    <row r="629" spans="1:24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</row>
    <row r="630" spans="1:24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</row>
    <row r="631" spans="1:24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</row>
    <row r="632" spans="1:24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</row>
    <row r="633" spans="1:24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</row>
    <row r="634" spans="1:24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</row>
    <row r="635" spans="1:24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</row>
    <row r="636" spans="1:24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</row>
    <row r="637" spans="1:24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</row>
    <row r="638" spans="1:24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</row>
    <row r="639" spans="1:24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</row>
    <row r="640" spans="1:24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</row>
    <row r="641" spans="1:24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</row>
    <row r="642" spans="1:24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</row>
    <row r="643" spans="1:24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</row>
    <row r="644" spans="1:24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</row>
    <row r="645" spans="1:24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</row>
    <row r="646" spans="1:24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</row>
    <row r="647" spans="1:24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</row>
    <row r="648" spans="1:24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</row>
    <row r="649" spans="1:24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</row>
    <row r="650" spans="1:24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</row>
    <row r="651" spans="1:24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</row>
    <row r="652" spans="1:24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</row>
    <row r="653" spans="1:24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</row>
    <row r="654" spans="1:24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</row>
    <row r="655" spans="1:24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</row>
    <row r="656" spans="1:24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</row>
    <row r="657" spans="1:24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</row>
    <row r="658" spans="1:24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</row>
    <row r="659" spans="1:24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</row>
    <row r="660" spans="1:24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</row>
    <row r="661" spans="1:24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</row>
    <row r="662" spans="1:24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</row>
    <row r="663" spans="1:24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</row>
    <row r="664" spans="1:24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</row>
    <row r="665" spans="1:24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</row>
    <row r="666" spans="1:24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</row>
    <row r="667" spans="1:24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</row>
    <row r="668" spans="1:24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</row>
    <row r="669" spans="1:24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</row>
    <row r="670" spans="1:24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</row>
    <row r="671" spans="1:24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</row>
    <row r="672" spans="1:24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</row>
    <row r="673" spans="1:24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</row>
    <row r="674" spans="1:24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</row>
    <row r="675" spans="1:24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</row>
    <row r="676" spans="1:24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</row>
    <row r="677" spans="1:24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</row>
    <row r="678" spans="1:24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</row>
    <row r="679" spans="1:24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</row>
    <row r="680" spans="1:24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</row>
    <row r="681" spans="1:24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</row>
    <row r="682" spans="1:24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</row>
    <row r="683" spans="1:24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</row>
    <row r="684" spans="1:24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</row>
    <row r="685" spans="1:24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</row>
    <row r="686" spans="1:24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</row>
    <row r="687" spans="1:24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</row>
    <row r="688" spans="1:24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</row>
    <row r="689" spans="1:24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</row>
    <row r="690" spans="1:24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</row>
    <row r="691" spans="1:24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</row>
    <row r="692" spans="1:24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</row>
    <row r="693" spans="1:24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</row>
    <row r="694" spans="1:24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</row>
    <row r="695" spans="1:24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</row>
    <row r="696" spans="1:24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</row>
    <row r="697" spans="1:24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</row>
    <row r="698" spans="1:24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</row>
    <row r="699" spans="1:24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</row>
    <row r="700" spans="1:24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</row>
    <row r="701" spans="1:24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</row>
    <row r="702" spans="1:24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</row>
    <row r="703" spans="1:24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</row>
    <row r="704" spans="1:24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</row>
    <row r="705" spans="1:24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</row>
    <row r="706" spans="1:24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</row>
    <row r="707" spans="1:24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</row>
    <row r="708" spans="1:24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</row>
    <row r="709" spans="1:24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</row>
    <row r="710" spans="1:24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</row>
    <row r="711" spans="1:24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</row>
    <row r="712" spans="1:24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</row>
    <row r="713" spans="1:24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</row>
    <row r="714" spans="1:24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</row>
    <row r="715" spans="1:24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</row>
    <row r="716" spans="1:24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</row>
    <row r="717" spans="1:24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</row>
    <row r="718" spans="1:24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</row>
    <row r="719" spans="1:24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</row>
    <row r="720" spans="1:24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</row>
    <row r="721" spans="1:24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</row>
    <row r="722" spans="1:24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</row>
    <row r="723" spans="1:24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</row>
    <row r="724" spans="1:24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</row>
    <row r="725" spans="1:24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</row>
    <row r="726" spans="1:24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</row>
    <row r="727" spans="1:24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</row>
    <row r="728" spans="1:24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</row>
    <row r="729" spans="1:24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</row>
    <row r="730" spans="1:24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</row>
    <row r="731" spans="1:24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</row>
    <row r="732" spans="1:24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</row>
    <row r="733" spans="1:24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</row>
    <row r="734" spans="1:24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</row>
    <row r="735" spans="1:24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</row>
    <row r="736" spans="1:24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</row>
    <row r="737" spans="1:24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</row>
    <row r="738" spans="1:24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</row>
    <row r="739" spans="1:24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</row>
    <row r="740" spans="1:24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</row>
    <row r="741" spans="1:24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</row>
    <row r="742" spans="1:24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</row>
    <row r="743" spans="1:24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</row>
    <row r="744" spans="1:24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</row>
    <row r="745" spans="1:24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</row>
    <row r="746" spans="1:24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</row>
    <row r="747" spans="1:24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</row>
    <row r="748" spans="1:24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</row>
    <row r="749" spans="1:24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</row>
    <row r="750" spans="1:24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</row>
    <row r="751" spans="1:24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</row>
    <row r="752" spans="1:24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</row>
    <row r="753" spans="1:24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</row>
    <row r="754" spans="1:24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</row>
    <row r="755" spans="1:24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</row>
    <row r="756" spans="1:24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</row>
    <row r="757" spans="1:24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</row>
    <row r="758" spans="1:24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</row>
    <row r="759" spans="1:24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</row>
    <row r="760" spans="1:24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</row>
    <row r="761" spans="1:24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</row>
    <row r="762" spans="1:24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</row>
    <row r="763" spans="1:24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</row>
    <row r="764" spans="1:24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</row>
    <row r="765" spans="1:24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</row>
    <row r="766" spans="1:24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</row>
    <row r="767" spans="1:24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</row>
    <row r="768" spans="1:24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</row>
    <row r="769" spans="1:24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</row>
    <row r="770" spans="1:24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</row>
    <row r="771" spans="1:24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</row>
    <row r="772" spans="1:24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</row>
    <row r="773" spans="1:24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</row>
    <row r="774" spans="1:24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</row>
    <row r="775" spans="1:24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</row>
    <row r="776" spans="1:24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</row>
    <row r="777" spans="1:24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</row>
    <row r="778" spans="1:24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</row>
    <row r="779" spans="1:24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</row>
    <row r="780" spans="1:24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</row>
    <row r="781" spans="1:24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</row>
    <row r="782" spans="1:24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</row>
    <row r="783" spans="1:24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</row>
    <row r="784" spans="1:24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</row>
    <row r="785" spans="1:24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</row>
    <row r="786" spans="1:24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</row>
    <row r="787" spans="1:24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</row>
    <row r="788" spans="1:24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</row>
    <row r="789" spans="1:24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</row>
    <row r="790" spans="1:24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</row>
    <row r="791" spans="1:24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</row>
    <row r="792" spans="1:24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</row>
    <row r="793" spans="1:24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</row>
    <row r="794" spans="1:24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</row>
    <row r="795" spans="1:24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</row>
    <row r="796" spans="1:24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</row>
    <row r="797" spans="1:24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</row>
    <row r="798" spans="1:24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</row>
    <row r="799" spans="1:24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</row>
    <row r="800" spans="1:24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</row>
    <row r="801" spans="1:24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</row>
    <row r="802" spans="1:24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</row>
    <row r="803" spans="1:24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</row>
    <row r="804" spans="1:24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</row>
    <row r="805" spans="1:24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</row>
    <row r="806" spans="1:24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</row>
    <row r="807" spans="1:24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</row>
    <row r="808" spans="1:24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</row>
    <row r="809" spans="1:24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</row>
    <row r="810" spans="1:24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</row>
    <row r="811" spans="1:24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</row>
    <row r="812" spans="1:24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</row>
    <row r="813" spans="1:24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</row>
    <row r="814" spans="1:24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</row>
    <row r="815" spans="1:24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</row>
    <row r="816" spans="1:24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</row>
    <row r="817" spans="1:24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</row>
    <row r="818" spans="1:24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</row>
    <row r="819" spans="1:24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</row>
    <row r="820" spans="1:24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</row>
    <row r="821" spans="1:24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</row>
    <row r="822" spans="1:24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</row>
    <row r="823" spans="1:24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</row>
    <row r="824" spans="1:24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</row>
    <row r="825" spans="1:24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</row>
    <row r="826" spans="1:24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</row>
    <row r="827" spans="1:24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</row>
    <row r="828" spans="1:24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</row>
    <row r="829" spans="1:24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</row>
    <row r="830" spans="1:24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</row>
    <row r="831" spans="1:24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</row>
    <row r="832" spans="1:24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</row>
    <row r="833" spans="1:24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</row>
    <row r="834" spans="1:24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</row>
    <row r="835" spans="1:24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</row>
    <row r="836" spans="1:24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</row>
    <row r="837" spans="1:24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</row>
    <row r="838" spans="1:24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</row>
    <row r="839" spans="1:24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</row>
    <row r="840" spans="1:24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</row>
    <row r="841" spans="1:24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</row>
    <row r="842" spans="1:24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</row>
    <row r="843" spans="1:24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</row>
    <row r="844" spans="1:24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</row>
    <row r="845" spans="1:24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</row>
    <row r="846" spans="1:24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</row>
    <row r="847" spans="1:24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</row>
    <row r="848" spans="1:24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</row>
    <row r="849" spans="1:24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</row>
    <row r="850" spans="1:24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</row>
    <row r="851" spans="1:24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</row>
    <row r="852" spans="1:24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</row>
    <row r="853" spans="1:24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</row>
    <row r="854" spans="1:24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</row>
    <row r="855" spans="1:24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</row>
    <row r="856" spans="1:24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</row>
    <row r="857" spans="1:24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</row>
    <row r="858" spans="1:24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</row>
    <row r="859" spans="1:24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</row>
    <row r="860" spans="1:24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</row>
    <row r="861" spans="1:24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</row>
    <row r="862" spans="1:24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</row>
    <row r="863" spans="1:24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</row>
    <row r="864" spans="1:24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</row>
    <row r="865" spans="1:24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</row>
    <row r="866" spans="1:24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</row>
    <row r="867" spans="1:24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</row>
    <row r="868" spans="1:24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</row>
    <row r="869" spans="1:24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</row>
    <row r="870" spans="1:24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</row>
    <row r="871" spans="1:24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</row>
    <row r="872" spans="1:24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</row>
    <row r="873" spans="1:24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</row>
    <row r="874" spans="1:24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</row>
    <row r="875" spans="1:24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</row>
    <row r="876" spans="1:24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</row>
    <row r="877" spans="1:24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</row>
    <row r="878" spans="1:24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</row>
    <row r="879" spans="1:24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</row>
    <row r="880" spans="1:24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</row>
    <row r="881" spans="1:24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</row>
    <row r="882" spans="1:24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</row>
    <row r="883" spans="1:24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</row>
    <row r="884" spans="1:24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</row>
    <row r="885" spans="1:24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</row>
    <row r="886" spans="1:24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</row>
    <row r="887" spans="1:24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</row>
    <row r="888" spans="1:24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</row>
    <row r="889" spans="1:24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</row>
    <row r="890" spans="1:24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</row>
    <row r="891" spans="1:24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</row>
    <row r="892" spans="1:24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</row>
    <row r="893" spans="1:24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</row>
    <row r="894" spans="1:24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</row>
    <row r="895" spans="1:24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</row>
    <row r="896" spans="1:24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</row>
    <row r="897" spans="1:24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</row>
    <row r="898" spans="1:24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</row>
    <row r="899" spans="1:24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</row>
    <row r="900" spans="1:24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</row>
    <row r="901" spans="1:24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</row>
    <row r="902" spans="1:24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</row>
    <row r="903" spans="1:24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</row>
    <row r="904" spans="1:24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</row>
    <row r="905" spans="1:24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</row>
    <row r="906" spans="1:24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</row>
    <row r="907" spans="1:24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</row>
    <row r="908" spans="1:24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</row>
    <row r="909" spans="1:24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</row>
    <row r="910" spans="1:24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</row>
    <row r="911" spans="1:24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</row>
    <row r="912" spans="1:24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</row>
    <row r="913" spans="1:24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</row>
    <row r="914" spans="1:24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</row>
    <row r="915" spans="1:24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</row>
    <row r="916" spans="1:24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</row>
    <row r="917" spans="1:24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</row>
    <row r="918" spans="1:24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</row>
    <row r="919" spans="1:24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</row>
    <row r="920" spans="1:24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</row>
    <row r="921" spans="1:24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</row>
    <row r="922" spans="1:24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</row>
    <row r="923" spans="1:24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</row>
    <row r="924" spans="1:24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</row>
    <row r="925" spans="1:24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</row>
    <row r="926" spans="1:24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</row>
    <row r="927" spans="1:24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</row>
    <row r="928" spans="1:24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</row>
    <row r="929" spans="1:24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</row>
    <row r="930" spans="1:24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</row>
    <row r="931" spans="1:24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</row>
    <row r="932" spans="1:24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</row>
    <row r="933" spans="1:24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</row>
    <row r="934" spans="1:24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</row>
    <row r="935" spans="1:24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</row>
    <row r="936" spans="1:24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</row>
    <row r="937" spans="1:24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</row>
    <row r="938" spans="1:24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</row>
    <row r="939" spans="1:24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</row>
    <row r="940" spans="1:24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</row>
    <row r="941" spans="1:24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</row>
    <row r="942" spans="1:24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</row>
    <row r="943" spans="1:24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</row>
    <row r="944" spans="1:24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</row>
    <row r="945" spans="1:24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</row>
    <row r="946" spans="1:24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</row>
    <row r="947" spans="1:24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</row>
    <row r="948" spans="1:24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</row>
    <row r="949" spans="1:24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</row>
    <row r="950" spans="1:24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</row>
    <row r="951" spans="1:24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</row>
    <row r="952" spans="1:24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</row>
    <row r="953" spans="1:24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</row>
    <row r="954" spans="1:24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</row>
    <row r="955" spans="1:24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</row>
    <row r="956" spans="1:24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</row>
    <row r="957" spans="1:24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</row>
    <row r="958" spans="1:24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</row>
    <row r="959" spans="1:24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</row>
    <row r="960" spans="1:24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</row>
    <row r="961" spans="1:24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</row>
    <row r="962" spans="1:24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</row>
    <row r="963" spans="1:24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</row>
    <row r="964" spans="1:24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</row>
    <row r="965" spans="1:24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</row>
    <row r="966" spans="1:24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</row>
    <row r="967" spans="1:24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</row>
    <row r="968" spans="1:24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</row>
    <row r="969" spans="1:24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</row>
    <row r="970" spans="1:24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</row>
    <row r="971" spans="1:24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</row>
    <row r="972" spans="1:24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</row>
    <row r="973" spans="1:24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</row>
    <row r="974" spans="1:24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</row>
    <row r="975" spans="1:24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</row>
    <row r="976" spans="1:24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</row>
    <row r="977" spans="1:24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</row>
    <row r="978" spans="1:24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</row>
    <row r="979" spans="1:24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</row>
    <row r="980" spans="1:24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</row>
    <row r="981" spans="1:24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</row>
    <row r="982" spans="1:24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</row>
    <row r="983" spans="1:24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</row>
    <row r="984" spans="1:24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</row>
    <row r="985" spans="1:24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</row>
    <row r="986" spans="1:24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</row>
    <row r="987" spans="1:24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</row>
    <row r="988" spans="1:24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</row>
    <row r="989" spans="1:24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</row>
    <row r="990" spans="1:24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</row>
    <row r="991" spans="1:24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</row>
    <row r="992" spans="1:24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</row>
    <row r="993" spans="1:24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</row>
    <row r="994" spans="1:24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</row>
    <row r="995" spans="1:24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</row>
    <row r="996" spans="1:24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</row>
  </sheetData>
  <mergeCells count="1">
    <mergeCell ref="C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Шаблон модели экономики</vt:lpstr>
      <vt:lpstr>Модели экономики Melody</vt:lpstr>
      <vt:lpstr>Шаблон для платформы</vt:lpstr>
      <vt:lpstr>Когортный анализ Melody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2025-03-10T09:18:13Z</dcterms:modified>
</cp:coreProperties>
</file>