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19425" windowHeight="10425" tabRatio="830" activeTab="12"/>
  </bookViews>
  <sheets>
    <sheet name="TOC0" sheetId="405" r:id="rId1"/>
    <sheet name="TOC" sheetId="1" r:id="rId2"/>
    <sheet name="ANOVA 1" sheetId="186" r:id="rId3"/>
    <sheet name="ANOVA 2" sheetId="187" r:id="rId4"/>
    <sheet name="ANOVA 3" sheetId="188" r:id="rId5"/>
    <sheet name="ANOVA 4" sheetId="759" r:id="rId6"/>
    <sheet name="ANOVA 5" sheetId="190" r:id="rId7"/>
    <sheet name="ANOVA 6" sheetId="451" r:id="rId8"/>
    <sheet name="Contrast 1" sheetId="196" r:id="rId9"/>
    <sheet name="Contrast 2" sheetId="197" r:id="rId10"/>
    <sheet name="Contrast 2a" sheetId="819" r:id="rId11"/>
    <sheet name="Contrast 3" sheetId="198" r:id="rId12"/>
    <sheet name="Tukey 1" sheetId="203" r:id="rId13"/>
    <sheet name="Tukey 2" sheetId="802" r:id="rId14"/>
    <sheet name="Tuk-Kra" sheetId="803" r:id="rId15"/>
    <sheet name="Gam-How" sheetId="820" r:id="rId16"/>
    <sheet name="REGWQ 1" sheetId="821" r:id="rId17"/>
    <sheet name="REGWQ 1a" sheetId="822" r:id="rId18"/>
    <sheet name="REGWQ 2" sheetId="823" r:id="rId19"/>
    <sheet name="REGWQ 2a" sheetId="824" r:id="rId20"/>
    <sheet name="Dunnett" sheetId="825" r:id="rId21"/>
    <sheet name="Hsu 1" sheetId="846" r:id="rId22"/>
    <sheet name="Hsu 2" sheetId="847" r:id="rId23"/>
    <sheet name="Scheffe 1" sheetId="826" r:id="rId24"/>
    <sheet name="Scheffe 1a" sheetId="827" r:id="rId25"/>
    <sheet name="Pairwise t" sheetId="828" r:id="rId26"/>
    <sheet name="Levene 1" sheetId="192" r:id="rId27"/>
    <sheet name="Levene 2" sheetId="193" r:id="rId28"/>
    <sheet name="Bartlett" sheetId="194" r:id="rId29"/>
    <sheet name="Fligner" sheetId="675" r:id="rId30"/>
    <sheet name="Log Transform" sheetId="214" r:id="rId31"/>
    <sheet name="Outliers" sheetId="195" r:id="rId32"/>
    <sheet name="KW" sheetId="837" r:id="rId33"/>
    <sheet name="KW-Post" sheetId="838" r:id="rId34"/>
    <sheet name="Nom-Ord" sheetId="840" r:id="rId35"/>
    <sheet name="NomOrd 2" sheetId="841" r:id="rId36"/>
    <sheet name="NomOrd 3" sheetId="842" r:id="rId37"/>
    <sheet name="JT" sheetId="816" r:id="rId38"/>
    <sheet name="Brown F 1" sheetId="210" r:id="rId39"/>
    <sheet name="Brown F 2" sheetId="211" r:id="rId40"/>
    <sheet name="Welch 1" sheetId="584" r:id="rId41"/>
    <sheet name="Welch 1a" sheetId="586" r:id="rId42"/>
    <sheet name="Welch 2" sheetId="585" r:id="rId43"/>
    <sheet name="Power Anova" sheetId="550" r:id="rId44"/>
    <sheet name="Power Tukey 1" sheetId="835" r:id="rId45"/>
    <sheet name="Power Tukey 2" sheetId="836" r:id="rId46"/>
    <sheet name="Anova Resamp" sheetId="758" r:id="rId47"/>
    <sheet name="Anova Resamp 1" sheetId="633" r:id="rId48"/>
    <sheet name="COV" sheetId="771" r:id="rId49"/>
    <sheet name="Moods 2" sheetId="576" r:id="rId50"/>
    <sheet name="ANOVA 2.1" sheetId="215" r:id="rId51"/>
    <sheet name="ANOVA 2.1a" sheetId="832" r:id="rId52"/>
    <sheet name="ANOVA 2.1b" sheetId="834" r:id="rId53"/>
    <sheet name="ANOVA 2.2" sheetId="216" r:id="rId54"/>
    <sheet name="ANOVA 2.2A" sheetId="449" r:id="rId55"/>
    <sheet name="ANOVA 2.3" sheetId="217" r:id="rId56"/>
    <sheet name="ANOVA 2.4" sheetId="450" r:id="rId57"/>
    <sheet name="ANOVA 2.5" sheetId="694" r:id="rId58"/>
    <sheet name="ANOVA 2.6" sheetId="695" r:id="rId59"/>
    <sheet name="Simple Effect" sheetId="691" r:id="rId60"/>
    <sheet name="Contrasts 2.1" sheetId="220" r:id="rId61"/>
    <sheet name="Contrasts 2.2" sheetId="689" r:id="rId62"/>
    <sheet name="Tukey 2.1" sheetId="690" r:id="rId63"/>
    <sheet name="ANOVA 3.1" sheetId="218" r:id="rId64"/>
    <sheet name="ANOVA 3.2" sheetId="805" r:id="rId65"/>
    <sheet name="ANOVA 3.2a" sheetId="807" r:id="rId66"/>
    <sheet name="ANOVA 3.3" sheetId="806" r:id="rId67"/>
    <sheet name="ANOVA 3.4" sheetId="778" r:id="rId68"/>
    <sheet name="ANOVA 3.5" sheetId="801" r:id="rId69"/>
    <sheet name="Gage" sheetId="848" r:id="rId70"/>
    <sheet name="Gage 1" sheetId="849" r:id="rId71"/>
    <sheet name="Scheirer" sheetId="729" r:id="rId72"/>
    <sheet name="ART 2" sheetId="843" r:id="rId73"/>
    <sheet name="ART 2a" sheetId="845" r:id="rId74"/>
    <sheet name="ART 3" sheetId="844" r:id="rId75"/>
    <sheet name="Reg Anova 1" sheetId="208" r:id="rId76"/>
    <sheet name="Reg Anova 2" sheetId="209" r:id="rId77"/>
    <sheet name="Reg Anova 3" sheetId="219" r:id="rId78"/>
    <sheet name="Reg Anova 4" sheetId="221" r:id="rId79"/>
    <sheet name="Reg Anova 5" sheetId="448" r:id="rId80"/>
    <sheet name="Reg An3.1" sheetId="458" r:id="rId81"/>
    <sheet name="Reg An3.2" sheetId="459" r:id="rId82"/>
    <sheet name="Stud. Q Table" sheetId="817" r:id="rId83"/>
    <sheet name="Stud. Q Table 2" sheetId="818" r:id="rId84"/>
    <sheet name=" Dunnett Table" sheetId="831" r:id="rId85"/>
  </sheets>
  <externalReferences>
    <externalReference r:id="rId86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37" l="1"/>
  <c r="M13" i="837"/>
  <c r="N12" i="837"/>
  <c r="X9" i="849"/>
  <c r="W9" i="849"/>
  <c r="U11" i="848"/>
  <c r="K28" i="849"/>
  <c r="J28" i="849"/>
  <c r="I28" i="849"/>
  <c r="H28" i="849"/>
  <c r="K27" i="849"/>
  <c r="J27" i="849"/>
  <c r="I27" i="849"/>
  <c r="H27" i="849"/>
  <c r="G27" i="849"/>
  <c r="K26" i="849"/>
  <c r="J26" i="849"/>
  <c r="I26" i="849"/>
  <c r="H26" i="849"/>
  <c r="G26" i="849"/>
  <c r="K25" i="849"/>
  <c r="J25" i="849"/>
  <c r="N8" i="849" s="1"/>
  <c r="P8" i="849" s="1"/>
  <c r="N14" i="849" s="1"/>
  <c r="I25" i="849"/>
  <c r="H25" i="849"/>
  <c r="G25" i="849"/>
  <c r="K24" i="849"/>
  <c r="J24" i="849"/>
  <c r="I24" i="849"/>
  <c r="H24" i="849"/>
  <c r="G24" i="849"/>
  <c r="K23" i="849"/>
  <c r="J23" i="849"/>
  <c r="I23" i="849"/>
  <c r="H23" i="849"/>
  <c r="G23" i="849"/>
  <c r="J22" i="849"/>
  <c r="I22" i="849"/>
  <c r="H22" i="849"/>
  <c r="K19" i="849"/>
  <c r="J19" i="849"/>
  <c r="I19" i="849"/>
  <c r="H19" i="849"/>
  <c r="K18" i="849"/>
  <c r="J18" i="849"/>
  <c r="I18" i="849"/>
  <c r="H18" i="849"/>
  <c r="G18" i="849"/>
  <c r="K17" i="849"/>
  <c r="J17" i="849"/>
  <c r="I17" i="849"/>
  <c r="H17" i="849"/>
  <c r="G17" i="849"/>
  <c r="K16" i="849"/>
  <c r="J16" i="849"/>
  <c r="I16" i="849"/>
  <c r="H16" i="849"/>
  <c r="G16" i="849"/>
  <c r="K15" i="849"/>
  <c r="J15" i="849"/>
  <c r="I15" i="849"/>
  <c r="H15" i="849"/>
  <c r="G15" i="849"/>
  <c r="K14" i="849"/>
  <c r="J14" i="849"/>
  <c r="I14" i="849"/>
  <c r="H14" i="849"/>
  <c r="G14" i="849"/>
  <c r="J13" i="849"/>
  <c r="I13" i="849"/>
  <c r="H13" i="849"/>
  <c r="K10" i="849"/>
  <c r="J10" i="849"/>
  <c r="I10" i="849"/>
  <c r="H10" i="849"/>
  <c r="P9" i="849"/>
  <c r="N9" i="849" s="1"/>
  <c r="O9" i="849"/>
  <c r="O8" i="849" s="1"/>
  <c r="K9" i="849"/>
  <c r="J9" i="849"/>
  <c r="I9" i="849"/>
  <c r="H9" i="849"/>
  <c r="H3" i="849" s="1"/>
  <c r="G9" i="849"/>
  <c r="K8" i="849"/>
  <c r="J8" i="849"/>
  <c r="I8" i="849"/>
  <c r="H8" i="849"/>
  <c r="G8" i="849"/>
  <c r="K7" i="849"/>
  <c r="J7" i="849"/>
  <c r="I7" i="849"/>
  <c r="H7" i="849"/>
  <c r="G7" i="849"/>
  <c r="O6" i="849"/>
  <c r="O7" i="849" s="1"/>
  <c r="N6" i="849"/>
  <c r="V6" i="849" s="1"/>
  <c r="K6" i="849"/>
  <c r="J6" i="849"/>
  <c r="I6" i="849"/>
  <c r="H6" i="849"/>
  <c r="G6" i="849"/>
  <c r="O5" i="849"/>
  <c r="W5" i="849" s="1"/>
  <c r="N5" i="849"/>
  <c r="V5" i="849" s="1"/>
  <c r="X5" i="849" s="1"/>
  <c r="K5" i="849"/>
  <c r="J5" i="849"/>
  <c r="I5" i="849"/>
  <c r="H5" i="849"/>
  <c r="G5" i="849"/>
  <c r="J4" i="849"/>
  <c r="I4" i="849"/>
  <c r="H4" i="849"/>
  <c r="H27" i="848"/>
  <c r="M11" i="848"/>
  <c r="B11" i="848"/>
  <c r="B9" i="848"/>
  <c r="B7" i="848"/>
  <c r="B5" i="848"/>
  <c r="P14" i="849" l="1"/>
  <c r="W8" i="849"/>
  <c r="N7" i="849"/>
  <c r="X6" i="849"/>
  <c r="P5" i="849"/>
  <c r="W6" i="849"/>
  <c r="V18" i="849" s="1"/>
  <c r="P6" i="849"/>
  <c r="X18" i="849" l="1"/>
  <c r="V8" i="849"/>
  <c r="X8" i="849" s="1"/>
  <c r="P7" i="849"/>
  <c r="G8" i="848" a="1"/>
  <c r="F8" i="848" a="1"/>
  <c r="G7" i="848" a="1"/>
  <c r="F7" i="848" a="1"/>
  <c r="F10" i="848" a="1"/>
  <c r="G10" i="848" a="1"/>
  <c r="F17" i="848" a="1"/>
  <c r="G17" i="848" a="1"/>
  <c r="Q5" i="849"/>
  <c r="R5" i="849" s="1"/>
  <c r="N18" i="849"/>
  <c r="V9" i="849"/>
  <c r="F16" i="848" a="1"/>
  <c r="G16" i="848" a="1"/>
  <c r="Y6" i="849"/>
  <c r="Z6" i="849" s="1"/>
  <c r="V16" i="849"/>
  <c r="G9" i="848" a="1"/>
  <c r="F9" i="848" a="1"/>
  <c r="N16" i="849"/>
  <c r="Q6" i="849"/>
  <c r="R6" i="849" s="1"/>
  <c r="G15" i="848" a="1"/>
  <c r="F15" i="848" a="1"/>
  <c r="G18" i="848" a="1"/>
  <c r="F18" i="848" a="1"/>
  <c r="Q6" i="844" a="1"/>
  <c r="C60" i="843" a="1"/>
  <c r="J16" i="729"/>
  <c r="J6" i="729"/>
  <c r="BC22" i="694"/>
  <c r="C75" i="843" a="1"/>
  <c r="Q29" i="843" a="1"/>
  <c r="I12" i="729"/>
  <c r="BF22" i="694"/>
  <c r="C74" i="843" a="1"/>
  <c r="E7" i="843" a="1"/>
  <c r="H11" i="729"/>
  <c r="AB11" i="690"/>
  <c r="E94" i="843" a="1"/>
  <c r="C52" i="843" a="1"/>
  <c r="K16" i="729"/>
  <c r="K6" i="729"/>
  <c r="AP7" i="694"/>
  <c r="O26" i="834" a="1"/>
  <c r="AA23" i="550"/>
  <c r="O7" i="816"/>
  <c r="AE19" i="838"/>
  <c r="M10" i="837"/>
  <c r="BB22" i="694"/>
  <c r="O23" i="834"/>
  <c r="Q22" i="550"/>
  <c r="K16" i="448" a="1"/>
  <c r="C69" i="843" a="1"/>
  <c r="J19" i="729"/>
  <c r="J9" i="729"/>
  <c r="AO5" i="690"/>
  <c r="C85" i="843" a="1"/>
  <c r="Q38" i="843" a="1"/>
  <c r="AS14" i="729"/>
  <c r="AO15" i="690"/>
  <c r="S86" i="843" a="1"/>
  <c r="Q25" i="843" a="1"/>
  <c r="H14" i="729"/>
  <c r="U3" i="807" a="1"/>
  <c r="E3" i="845" a="1"/>
  <c r="C58" i="843" a="1"/>
  <c r="K19" i="729"/>
  <c r="K9" i="729"/>
  <c r="BF23" i="694"/>
  <c r="S41" i="834"/>
  <c r="L6" i="771"/>
  <c r="F5" i="584" a="1"/>
  <c r="Q24" i="838"/>
  <c r="H13" i="837"/>
  <c r="N5" i="675"/>
  <c r="O41" i="834" a="1"/>
  <c r="C93" i="843" a="1"/>
  <c r="C47" i="843" a="1"/>
  <c r="AX14" i="729"/>
  <c r="F4" i="806" a="1"/>
  <c r="M8" i="845"/>
  <c r="C61" i="843" a="1"/>
  <c r="I16" i="729"/>
  <c r="I6" i="729"/>
  <c r="F3" i="844" a="1"/>
  <c r="E54" i="843" a="1"/>
  <c r="AZ15" i="729"/>
  <c r="H5" i="729"/>
  <c r="AC5" i="459" a="1"/>
  <c r="F79" i="843" a="1"/>
  <c r="Q36" i="843" a="1"/>
  <c r="AY14" i="729"/>
  <c r="G6" i="806" a="1"/>
  <c r="Q34" i="216"/>
  <c r="S19" i="215"/>
  <c r="AC5" i="550"/>
  <c r="T11" i="841"/>
  <c r="AN8" i="838"/>
  <c r="M4" i="837"/>
  <c r="S33" i="216"/>
  <c r="R19" i="215"/>
  <c r="X8" i="459" a="1"/>
  <c r="L75" i="843" a="1"/>
  <c r="L18" i="843" a="1"/>
  <c r="J11" i="729"/>
  <c r="AM18" i="690"/>
  <c r="C89" i="843" a="1"/>
  <c r="C48" i="843" a="1"/>
  <c r="BA14" i="729"/>
  <c r="F4" i="807" a="1"/>
  <c r="C92" i="843" a="1"/>
  <c r="Q31" i="843" a="1"/>
  <c r="AV14" i="729"/>
  <c r="H8" i="806" a="1"/>
  <c r="M9" i="845"/>
  <c r="S66" i="843" a="1"/>
  <c r="E13" i="843" a="1"/>
  <c r="K11" i="729"/>
  <c r="AB10" i="690"/>
  <c r="O45" i="834" a="1"/>
  <c r="I9" i="771"/>
  <c r="J35" i="584"/>
  <c r="Y26" i="838"/>
  <c r="E50" i="837" a="1"/>
  <c r="F99" i="843" a="1"/>
  <c r="C51" i="843" a="1"/>
  <c r="J15" i="729"/>
  <c r="X25" i="801"/>
  <c r="J11" i="448" a="1"/>
  <c r="E68" i="843" a="1"/>
  <c r="I18" i="729"/>
  <c r="I8" i="729"/>
  <c r="K10" i="448" a="1"/>
  <c r="C59" i="843" a="1"/>
  <c r="H17" i="729"/>
  <c r="H7" i="729"/>
  <c r="BE22" i="694"/>
  <c r="C86" i="843" a="1"/>
  <c r="Q42" i="843" a="1"/>
  <c r="K15" i="729"/>
  <c r="G6" i="801" a="1"/>
  <c r="F16" i="450" a="1"/>
  <c r="O7" i="834"/>
  <c r="AA14" i="550"/>
  <c r="AG7" i="842"/>
  <c r="K12" i="838"/>
  <c r="G6" i="837"/>
  <c r="E11" i="450" a="1"/>
  <c r="N7" i="834"/>
  <c r="AC13" i="550"/>
  <c r="L9" i="845"/>
  <c r="C57" i="843" a="1"/>
  <c r="BB15" i="729"/>
  <c r="J5" i="729"/>
  <c r="V4" i="459" a="1"/>
  <c r="E74" i="843" a="1"/>
  <c r="F18" i="843" a="1"/>
  <c r="I11" i="729"/>
  <c r="W6" i="459" a="1"/>
  <c r="C70" i="843" a="1"/>
  <c r="S5" i="843" a="1"/>
  <c r="H10" i="729"/>
  <c r="AM8" i="690"/>
  <c r="F93" i="843" a="1"/>
  <c r="C49" i="843" a="1"/>
  <c r="BC15" i="729"/>
  <c r="K5" i="729"/>
  <c r="AL7" i="694"/>
  <c r="AA15" i="834"/>
  <c r="AC20" i="550"/>
  <c r="W5" i="816"/>
  <c r="W18" i="838"/>
  <c r="L9" i="837"/>
  <c r="AO7" i="694"/>
  <c r="P5" i="196"/>
  <c r="C79" i="843" a="1"/>
  <c r="Q26" i="843" a="1"/>
  <c r="J12" i="729"/>
  <c r="AB23" i="690"/>
  <c r="C94" i="843" a="1"/>
  <c r="C50" i="843" a="1"/>
  <c r="I15" i="729"/>
  <c r="H8" i="778" a="1"/>
  <c r="C95" i="843" a="1"/>
  <c r="Q34" i="843" a="1"/>
  <c r="AZ14" i="729"/>
  <c r="G6" i="778" a="1"/>
  <c r="R8" i="844" a="1"/>
  <c r="F67" i="843" a="1"/>
  <c r="L16" i="843" a="1"/>
  <c r="K12" i="729"/>
  <c r="AQ18" i="690"/>
  <c r="S30" i="216"/>
  <c r="J8" i="576"/>
  <c r="J37" i="584"/>
  <c r="G33" i="838"/>
  <c r="AE5" i="838"/>
  <c r="N8" i="675"/>
  <c r="R30" i="216"/>
  <c r="J7" i="576"/>
  <c r="S11" i="844" a="1"/>
  <c r="C62" i="843" a="1"/>
  <c r="J17" i="729"/>
  <c r="J7" i="729"/>
  <c r="BA23" i="694"/>
  <c r="C78" i="843" a="1"/>
  <c r="Q32" i="843" a="1"/>
  <c r="I13" i="729"/>
  <c r="BD23" i="694"/>
  <c r="C77" i="843" a="1"/>
  <c r="L14" i="843" a="1"/>
  <c r="H12" i="729"/>
  <c r="X19" i="690"/>
  <c r="C98" i="843" a="1"/>
  <c r="C54" i="843" a="1"/>
  <c r="K17" i="729"/>
  <c r="K7" i="729"/>
  <c r="BD22" i="694"/>
  <c r="O28" i="834" a="1"/>
  <c r="AA25" i="550"/>
  <c r="O21" i="210"/>
  <c r="AE20" i="838"/>
  <c r="N11" i="837"/>
  <c r="K6" i="194"/>
  <c r="S27" i="834"/>
  <c r="AC24" i="550"/>
  <c r="Q6" i="816" a="1"/>
  <c r="O18" i="838"/>
  <c r="N8" i="837"/>
  <c r="AN7" i="694"/>
  <c r="AA13" i="834"/>
  <c r="AC21" i="550"/>
  <c r="J31" i="584"/>
  <c r="AG12" i="838"/>
  <c r="M10" i="675"/>
  <c r="N37" i="834"/>
  <c r="Q17" i="550"/>
  <c r="X12" i="842"/>
  <c r="K11" i="838"/>
  <c r="G5" i="837"/>
  <c r="I4" i="771"/>
  <c r="K4" i="194"/>
  <c r="L16" i="820"/>
  <c r="I23" i="186"/>
  <c r="AM7" i="694"/>
  <c r="AE18" i="838"/>
  <c r="G12" i="824" a="1"/>
  <c r="P9" i="196"/>
  <c r="L37" i="584"/>
  <c r="M12" i="186"/>
  <c r="R12" i="841"/>
  <c r="F87" i="843" a="1"/>
  <c r="Q41" i="843" a="1"/>
  <c r="J14" i="729"/>
  <c r="N5" i="807" a="1"/>
  <c r="C101" i="843" a="1"/>
  <c r="O56" i="843" a="1"/>
  <c r="AW15" i="729"/>
  <c r="E7" i="848" a="1"/>
  <c r="E100" i="843" a="1"/>
  <c r="C45" i="843" a="1"/>
  <c r="AR15" i="729"/>
  <c r="F6" i="848" a="1"/>
  <c r="AC5" i="458" a="1"/>
  <c r="Y74" i="843" a="1"/>
  <c r="Q27" i="843" a="1"/>
  <c r="K14" i="729"/>
  <c r="R6" i="805" a="1"/>
  <c r="Q32" i="216"/>
  <c r="P18" i="215"/>
  <c r="D5" i="586" a="1"/>
  <c r="AD9" i="840"/>
  <c r="G7" i="838"/>
  <c r="N10" i="675"/>
  <c r="U31" i="216"/>
  <c r="J13" i="576"/>
  <c r="L36" i="584"/>
  <c r="C97" i="843" a="1"/>
  <c r="E48" i="843" a="1"/>
  <c r="BB14" i="729"/>
  <c r="F4" i="801" a="1"/>
  <c r="J5" i="448" a="1"/>
  <c r="C66" i="843" a="1"/>
  <c r="I17" i="729"/>
  <c r="I7" i="729"/>
  <c r="K4" i="448" a="1"/>
  <c r="C56" i="843" a="1"/>
  <c r="H16" i="729"/>
  <c r="H6" i="729"/>
  <c r="BA22" i="694"/>
  <c r="C82" i="843" a="1"/>
  <c r="Q39" i="843" a="1"/>
  <c r="BC14" i="729"/>
  <c r="F4" i="778" a="1"/>
  <c r="E5" i="450" a="1"/>
  <c r="R20" i="215"/>
  <c r="AC9" i="550"/>
  <c r="AB5" i="842" a="1"/>
  <c r="Y11" i="838"/>
  <c r="I5" i="837"/>
  <c r="S3" i="450" a="1"/>
  <c r="Q5" i="448" a="1"/>
  <c r="C67" i="843" a="1"/>
  <c r="J18" i="729"/>
  <c r="J8" i="729"/>
  <c r="BE23" i="694"/>
  <c r="E80" i="843" a="1"/>
  <c r="Q35" i="843" a="1"/>
  <c r="I14" i="729"/>
  <c r="AQ8" i="690"/>
  <c r="C80" i="843" a="1"/>
  <c r="L17" i="843" a="1"/>
  <c r="H13" i="729"/>
  <c r="Q4" i="805" a="1"/>
  <c r="C100" i="843" a="1"/>
  <c r="C55" i="843" a="1"/>
  <c r="K18" i="729"/>
  <c r="K8" i="729"/>
  <c r="BB23" i="694"/>
  <c r="O40" i="834" a="1"/>
  <c r="I3" i="771"/>
  <c r="Q21" i="211" a="1"/>
  <c r="J23" i="838"/>
  <c r="L12" i="837"/>
  <c r="N4" i="675"/>
  <c r="O37" i="834"/>
  <c r="G2" i="836" a="1"/>
  <c r="C102" i="843" a="1"/>
  <c r="F53" i="843" a="1"/>
  <c r="AT15" i="729"/>
  <c r="F14" i="848" a="1"/>
  <c r="V4" i="458" a="1"/>
  <c r="C71" i="843" a="1"/>
  <c r="I19" i="729"/>
  <c r="I9" i="729"/>
  <c r="J17" i="448" a="1"/>
  <c r="E60" i="843" a="1"/>
  <c r="H18" i="729"/>
  <c r="H8" i="729"/>
  <c r="BC23" i="694"/>
  <c r="C88" i="843" a="1"/>
  <c r="S46" i="843" a="1"/>
  <c r="AU15" i="729"/>
  <c r="O47" i="801"/>
  <c r="AK6" i="694"/>
  <c r="Y8" i="834"/>
  <c r="AC15" i="550"/>
  <c r="X11" i="842"/>
  <c r="K13" i="838"/>
  <c r="M6" i="837"/>
  <c r="AN6" i="694"/>
  <c r="X8" i="834"/>
  <c r="AA15" i="550"/>
  <c r="E6" i="842" a="1"/>
  <c r="Q11" i="838"/>
  <c r="H5" i="837"/>
  <c r="F4" i="450" a="1"/>
  <c r="P20" i="215"/>
  <c r="AC11" i="550"/>
  <c r="E13" i="842" a="1"/>
  <c r="AZ6" i="838"/>
  <c r="M4" i="675"/>
  <c r="W8" i="834"/>
  <c r="O5" i="585" a="1"/>
  <c r="X5" i="841" a="1"/>
  <c r="G6" i="838"/>
  <c r="L9" i="675"/>
  <c r="O5" i="816"/>
  <c r="H11" i="847"/>
  <c r="Q19" i="802"/>
  <c r="Q13" i="838"/>
  <c r="S28" i="834"/>
  <c r="Q3" i="458" a="1"/>
  <c r="AB9" i="690"/>
  <c r="AB22" i="690"/>
  <c r="H8" i="807" a="1"/>
  <c r="K10" i="729"/>
  <c r="J32" i="584"/>
  <c r="S42" i="834"/>
  <c r="Q33" i="843" a="1"/>
  <c r="L54" i="843" a="1"/>
  <c r="Q37" i="843" a="1"/>
  <c r="C73" i="843" a="1"/>
  <c r="R31" i="216"/>
  <c r="W6" i="838"/>
  <c r="O54" i="843" a="1"/>
  <c r="F73" i="843" a="1"/>
  <c r="C68" i="843" a="1"/>
  <c r="C91" i="843" a="1"/>
  <c r="AO6" i="694"/>
  <c r="AN13" i="838"/>
  <c r="AC17" i="550"/>
  <c r="U3" i="806" a="1"/>
  <c r="I5" i="729"/>
  <c r="F22" i="848" a="1"/>
  <c r="AU14" i="729"/>
  <c r="Y5" i="585" a="1"/>
  <c r="N7" i="675"/>
  <c r="I8" i="771"/>
  <c r="Q25" i="838"/>
  <c r="M5" i="675"/>
  <c r="I5" i="771"/>
  <c r="G22" i="838"/>
  <c r="S32" i="216"/>
  <c r="O23" i="210"/>
  <c r="M8" i="837"/>
  <c r="N10" i="837"/>
  <c r="X9" i="186"/>
  <c r="O22" i="210"/>
  <c r="U10" i="823"/>
  <c r="S5" i="186" a="1"/>
  <c r="O14" i="820"/>
  <c r="AN14" i="838"/>
  <c r="AB16" i="823"/>
  <c r="X16" i="203"/>
  <c r="G5" i="838"/>
  <c r="S26" i="834"/>
  <c r="F11" i="822" a="1"/>
  <c r="W16" i="823"/>
  <c r="V11" i="842"/>
  <c r="W5" i="838"/>
  <c r="K5" i="194"/>
  <c r="Q22" i="215"/>
  <c r="E43" i="584"/>
  <c r="J35" i="838"/>
  <c r="O5" i="838"/>
  <c r="L8" i="675"/>
  <c r="U3" i="840" a="1"/>
  <c r="H26" i="846"/>
  <c r="M14" i="802"/>
  <c r="N6" i="837"/>
  <c r="R10" i="834"/>
  <c r="L5" i="837"/>
  <c r="U16" i="821"/>
  <c r="X22" i="186"/>
  <c r="O11" i="675"/>
  <c r="AC25" i="550"/>
  <c r="X16" i="823"/>
  <c r="O7" i="675"/>
  <c r="F10" i="576"/>
  <c r="G32" i="838"/>
  <c r="L10" i="837"/>
  <c r="S34" i="216"/>
  <c r="N7" i="771"/>
  <c r="O22" i="211"/>
  <c r="O20" i="838"/>
  <c r="L11" i="837"/>
  <c r="BI7" i="694"/>
  <c r="G47" i="837" a="1"/>
  <c r="Z10" i="823"/>
  <c r="I23" i="759"/>
  <c r="O16" i="820"/>
  <c r="H9" i="586" a="1"/>
  <c r="S6" i="192"/>
  <c r="O13" i="820"/>
  <c r="G24" i="186"/>
  <c r="W10" i="823"/>
  <c r="AC16" i="550"/>
  <c r="O8" i="675"/>
  <c r="T16" i="821"/>
  <c r="P8" i="186"/>
  <c r="S16" i="821"/>
  <c r="V5" i="816"/>
  <c r="AE7" i="838"/>
  <c r="M6" i="675"/>
  <c r="R11" i="834"/>
  <c r="T13" i="585" a="1"/>
  <c r="AE7" i="841"/>
  <c r="AN6" i="838"/>
  <c r="L10" i="675"/>
  <c r="I13" i="837"/>
  <c r="X9" i="203"/>
  <c r="U9" i="803"/>
  <c r="H23" i="186"/>
  <c r="V10" i="821"/>
  <c r="J23" i="186"/>
  <c r="AH7" i="842"/>
  <c r="S31" i="216"/>
  <c r="R32" i="216"/>
  <c r="O5" i="675"/>
  <c r="G24" i="759"/>
  <c r="H13" i="847"/>
  <c r="L11" i="825"/>
  <c r="M12" i="837"/>
  <c r="O42" i="834" a="1"/>
  <c r="AW14" i="729"/>
  <c r="X8" i="458" a="1"/>
  <c r="AA11" i="834"/>
  <c r="Q30" i="843" a="1"/>
  <c r="S18" i="215"/>
  <c r="AC9" i="840"/>
  <c r="L13" i="837"/>
  <c r="AC18" i="550"/>
  <c r="K8" i="825"/>
  <c r="W16" i="803"/>
  <c r="T8" i="211" a="1"/>
  <c r="M8" i="675"/>
  <c r="AI7" i="842"/>
  <c r="J8" i="838"/>
  <c r="C72" i="843" a="1"/>
  <c r="C87" i="843" a="1"/>
  <c r="E88" i="843" a="1"/>
  <c r="N7" i="845"/>
  <c r="X6" i="690"/>
  <c r="Y25" i="838"/>
  <c r="I7" i="771"/>
  <c r="J13" i="729"/>
  <c r="AS15" i="729"/>
  <c r="H15" i="729"/>
  <c r="E19" i="843" a="1"/>
  <c r="F12" i="576"/>
  <c r="N9" i="675"/>
  <c r="AX15" i="729"/>
  <c r="F12" i="843" a="1"/>
  <c r="H19" i="729"/>
  <c r="F47" i="843" a="1"/>
  <c r="R12" i="834"/>
  <c r="N7" i="837"/>
  <c r="C90" i="843" a="1"/>
  <c r="L7" i="845"/>
  <c r="L8" i="845"/>
  <c r="W6" i="458" a="1"/>
  <c r="G6" i="807" a="1"/>
  <c r="AC7" i="841"/>
  <c r="T32" i="216"/>
  <c r="J40" i="584"/>
  <c r="O6" i="838"/>
  <c r="T31" i="216"/>
  <c r="AA14" i="834"/>
  <c r="I12" i="837"/>
  <c r="F13" i="576"/>
  <c r="AG24" i="838"/>
  <c r="L5" i="675"/>
  <c r="Z16" i="823"/>
  <c r="AA10" i="823"/>
  <c r="M9" i="837"/>
  <c r="O17" i="820"/>
  <c r="AA16" i="834"/>
  <c r="S43" i="834"/>
  <c r="L8" i="837"/>
  <c r="R6" i="823" a="1"/>
  <c r="G23" i="759"/>
  <c r="H14" i="846"/>
  <c r="AE9" i="840"/>
  <c r="W12" i="803"/>
  <c r="Q20" i="215"/>
  <c r="I38" i="838"/>
  <c r="M11" i="837"/>
  <c r="E17" i="450" a="1"/>
  <c r="J6" i="576"/>
  <c r="W7" i="584" a="1"/>
  <c r="Z21" i="838"/>
  <c r="H12" i="837"/>
  <c r="L4" i="675"/>
  <c r="O7" i="838"/>
  <c r="V16" i="823"/>
  <c r="I24" i="759"/>
  <c r="W16" i="821"/>
  <c r="AC6" i="550"/>
  <c r="P59" i="192"/>
  <c r="O15" i="820"/>
  <c r="H26" i="186"/>
  <c r="AA16" i="823"/>
  <c r="M5" i="584"/>
  <c r="L17" i="820"/>
  <c r="M15" i="802"/>
  <c r="J43" i="584"/>
  <c r="W19" i="838"/>
  <c r="L4" i="837"/>
  <c r="Q30" i="216"/>
  <c r="AA24" i="550"/>
  <c r="O6" i="816"/>
  <c r="Y12" i="838"/>
  <c r="I6" i="837"/>
  <c r="T19" i="215"/>
  <c r="O10" i="675"/>
  <c r="T10" i="821"/>
  <c r="D5" i="186" a="1"/>
  <c r="P7" i="186"/>
  <c r="Q3" i="840" a="1"/>
  <c r="H12" i="846"/>
  <c r="M13" i="802"/>
  <c r="M6" i="771"/>
  <c r="M12" i="802"/>
  <c r="O9" i="816"/>
  <c r="P5" i="192"/>
  <c r="L15" i="820"/>
  <c r="AL6" i="694"/>
  <c r="G26" i="759"/>
  <c r="R11" i="841"/>
  <c r="N28" i="837"/>
  <c r="BI6" i="694"/>
  <c r="R18" i="215"/>
  <c r="J36" i="584"/>
  <c r="I26" i="838"/>
  <c r="M28" i="837"/>
  <c r="R34" i="216"/>
  <c r="O6" i="675"/>
  <c r="K8" i="846"/>
  <c r="J33" i="584"/>
  <c r="U10" i="821"/>
  <c r="G26" i="186"/>
  <c r="L12" i="825"/>
  <c r="L13" i="820"/>
  <c r="S45" i="834"/>
  <c r="AQ23" i="838" a="1"/>
  <c r="P5" i="186"/>
  <c r="S17" i="820"/>
  <c r="J3" i="576"/>
  <c r="H12" i="847"/>
  <c r="J10" i="729"/>
  <c r="AR14" i="729"/>
  <c r="F6" i="843" a="1"/>
  <c r="L7" i="771"/>
  <c r="N6" i="675"/>
  <c r="C81" i="843" a="1"/>
  <c r="C96" i="843" a="1"/>
  <c r="F3" i="448" a="1"/>
  <c r="I39" i="838"/>
  <c r="M7" i="845"/>
  <c r="E15" i="848" a="1"/>
  <c r="AT14" i="729"/>
  <c r="AV15" i="729"/>
  <c r="T18" i="215"/>
  <c r="X5" i="840" a="1"/>
  <c r="AM6" i="694"/>
  <c r="Q12" i="838"/>
  <c r="H23" i="759"/>
  <c r="J42" i="584"/>
  <c r="H28" i="846"/>
  <c r="N18" i="186"/>
  <c r="AC23" i="550"/>
  <c r="BB11" i="838"/>
  <c r="V15" i="550"/>
  <c r="M19" i="675"/>
  <c r="Q21" i="550"/>
  <c r="L15" i="843" a="1"/>
  <c r="Q40" i="843" a="1"/>
  <c r="Q28" i="843" a="1"/>
  <c r="C65" i="843" a="1"/>
  <c r="O43" i="834" a="1"/>
  <c r="F47" i="837" a="1"/>
  <c r="O21" i="211"/>
  <c r="S8" i="805" a="1"/>
  <c r="AA22" i="801"/>
  <c r="H8" i="801" a="1"/>
  <c r="K13" i="729"/>
  <c r="J41" i="584"/>
  <c r="Q31" i="216"/>
  <c r="E23" i="848" a="1"/>
  <c r="I10" i="729"/>
  <c r="H9" i="729"/>
  <c r="AY15" i="729"/>
  <c r="V18" i="550"/>
  <c r="AK7" i="694"/>
  <c r="C46" i="843" a="1"/>
  <c r="F59" i="843" a="1"/>
  <c r="C53" i="843" a="1"/>
  <c r="C76" i="843" a="1"/>
  <c r="U32" i="216"/>
  <c r="AN7" i="838"/>
  <c r="S44" i="834"/>
  <c r="O23" i="211"/>
  <c r="G13" i="837"/>
  <c r="S40" i="834"/>
  <c r="Q20" i="550"/>
  <c r="L6" i="837"/>
  <c r="H8" i="835"/>
  <c r="AN15" i="838"/>
  <c r="T30" i="216"/>
  <c r="V16" i="821"/>
  <c r="X10" i="203"/>
  <c r="K3" i="194"/>
  <c r="W13" i="803"/>
  <c r="G12" i="837"/>
  <c r="M7" i="771"/>
  <c r="S8" i="193"/>
  <c r="R10" i="821"/>
  <c r="K23" i="186"/>
  <c r="O12" i="820"/>
  <c r="N4" i="837"/>
  <c r="X16" i="186"/>
  <c r="AC8" i="550"/>
  <c r="W20" i="838"/>
  <c r="N5" i="837"/>
  <c r="U30" i="216"/>
  <c r="F4" i="835" a="1"/>
  <c r="A13" i="816"/>
  <c r="Y13" i="838"/>
  <c r="L7" i="837"/>
  <c r="AA12" i="834"/>
  <c r="H6" i="837"/>
  <c r="R16" i="821"/>
  <c r="P6" i="186"/>
  <c r="K23" i="759"/>
  <c r="V12" i="842"/>
  <c r="H25" i="846"/>
  <c r="M17" i="802"/>
  <c r="P22" i="215"/>
  <c r="W15" i="803"/>
  <c r="AQ9" i="838" a="1"/>
  <c r="P8" i="196"/>
  <c r="N8" i="576"/>
  <c r="Q15" i="210"/>
  <c r="Z8" i="838"/>
  <c r="M7" i="675"/>
  <c r="N23" i="834"/>
  <c r="AC7" i="550"/>
  <c r="T12" i="841"/>
  <c r="W7" i="838"/>
  <c r="L11" i="675"/>
  <c r="AC10" i="550"/>
  <c r="S7" i="192"/>
  <c r="L12" i="820"/>
  <c r="J23" i="759"/>
  <c r="Q33" i="216"/>
  <c r="AE6" i="838"/>
  <c r="U16" i="823"/>
  <c r="D5" i="451" a="1"/>
  <c r="G21" i="838"/>
  <c r="AP6" i="694"/>
  <c r="G34" i="838"/>
  <c r="H11" i="846"/>
  <c r="M16" i="802"/>
  <c r="X5" i="816"/>
  <c r="I6" i="771"/>
  <c r="Q26" i="838"/>
  <c r="M7" i="837"/>
  <c r="R33" i="216"/>
  <c r="N6" i="771"/>
  <c r="Q15" i="211"/>
  <c r="O19" i="838"/>
  <c r="N9" i="837"/>
  <c r="L35" i="584"/>
  <c r="U7" i="828" a="1"/>
  <c r="V10" i="823"/>
  <c r="H14" i="847"/>
  <c r="T12" i="585" a="1"/>
  <c r="U17" i="820"/>
  <c r="X22" i="203"/>
  <c r="X10" i="186"/>
  <c r="L28" i="837"/>
  <c r="Q12" i="802" a="1"/>
  <c r="Q18" i="215"/>
  <c r="Y24" i="838"/>
  <c r="Y10" i="823"/>
  <c r="S10" i="821"/>
  <c r="C99" i="843" a="1"/>
  <c r="AB24" i="690"/>
  <c r="Q3" i="459" a="1"/>
  <c r="F5" i="695" a="1"/>
  <c r="O4" i="816"/>
  <c r="BA15" i="729"/>
  <c r="N11" i="675"/>
  <c r="M9" i="675"/>
  <c r="F9" i="576"/>
  <c r="J34" i="584"/>
  <c r="P6" i="196"/>
  <c r="K8" i="847"/>
  <c r="J12" i="576"/>
  <c r="K22" i="846"/>
  <c r="O27" i="834" a="1"/>
  <c r="L14" i="820"/>
  <c r="Y16" i="823"/>
  <c r="P32" i="192"/>
  <c r="G48" i="837" a="1"/>
  <c r="I27" i="838"/>
  <c r="H13" i="846"/>
  <c r="O9" i="675"/>
  <c r="P7" i="834"/>
  <c r="S7" i="193"/>
  <c r="O44" i="834" a="1"/>
  <c r="M5" i="837"/>
  <c r="W17" i="803"/>
  <c r="W14" i="803"/>
  <c r="AC14" i="550"/>
  <c r="AD7" i="841"/>
  <c r="Q19" i="215"/>
  <c r="P9" i="186"/>
  <c r="AG13" i="838"/>
  <c r="H24" i="186"/>
  <c r="H27" i="846"/>
  <c r="S6" i="193"/>
  <c r="I24" i="186"/>
  <c r="F5" i="842" a="1"/>
  <c r="J39" i="584"/>
  <c r="AG25" i="838"/>
  <c r="M11" i="675"/>
  <c r="K9" i="186"/>
  <c r="X10" i="823"/>
  <c r="N17" i="186"/>
  <c r="S5" i="451" a="1"/>
  <c r="G23" i="186"/>
  <c r="BI8" i="694"/>
  <c r="F48" i="837" a="1"/>
  <c r="K9" i="802"/>
  <c r="W10" i="821"/>
  <c r="AZ5" i="838"/>
  <c r="L34" i="584"/>
  <c r="AC19" i="550"/>
  <c r="G20" i="838"/>
  <c r="O4" i="675"/>
  <c r="H24" i="759"/>
  <c r="AZ7" i="838"/>
  <c r="F10" i="450" a="1"/>
  <c r="L13" i="825"/>
  <c r="L7" i="675"/>
  <c r="S8" i="192"/>
  <c r="AB10" i="823"/>
  <c r="U5" i="816"/>
  <c r="L6" i="675"/>
  <c r="AG26" i="838"/>
  <c r="AG11" i="838"/>
  <c r="P19" i="215"/>
  <c r="K11" i="194"/>
  <c r="H26" i="759"/>
  <c r="AX11" i="838" a="1"/>
  <c r="P7" i="196"/>
  <c r="AX11" i="838" l="1"/>
  <c r="H10" i="450"/>
  <c r="F10" i="450"/>
  <c r="G10" i="450"/>
  <c r="F48" i="837"/>
  <c r="T9" i="451"/>
  <c r="S15" i="451"/>
  <c r="T17" i="451"/>
  <c r="S21" i="451"/>
  <c r="S18" i="451"/>
  <c r="T34" i="451"/>
  <c r="S25" i="451"/>
  <c r="T33" i="451"/>
  <c r="T31" i="451"/>
  <c r="S22" i="451"/>
  <c r="T35" i="451"/>
  <c r="T5" i="451"/>
  <c r="S24" i="451"/>
  <c r="T11" i="451"/>
  <c r="S12" i="451"/>
  <c r="S33" i="451"/>
  <c r="T14" i="451"/>
  <c r="S9" i="451"/>
  <c r="S17" i="451"/>
  <c r="T21" i="451"/>
  <c r="T25" i="451"/>
  <c r="S5" i="451"/>
  <c r="S6" i="451"/>
  <c r="T10" i="451"/>
  <c r="S16" i="451"/>
  <c r="S35" i="451"/>
  <c r="S20" i="451"/>
  <c r="T7" i="451"/>
  <c r="T8" i="451"/>
  <c r="T12" i="451"/>
  <c r="S14" i="451"/>
  <c r="S27" i="451"/>
  <c r="T18" i="451"/>
  <c r="T32" i="451"/>
  <c r="S7" i="451"/>
  <c r="T16" i="451"/>
  <c r="S19" i="451"/>
  <c r="T30" i="451"/>
  <c r="S26" i="451"/>
  <c r="S34" i="451"/>
  <c r="S23" i="451"/>
  <c r="S30" i="451"/>
  <c r="S10" i="451"/>
  <c r="S13" i="451"/>
  <c r="T23" i="451"/>
  <c r="T27" i="451"/>
  <c r="S11" i="451"/>
  <c r="S31" i="451"/>
  <c r="T20" i="451"/>
  <c r="S28" i="451"/>
  <c r="T13" i="451"/>
  <c r="T22" i="451"/>
  <c r="T15" i="451"/>
  <c r="S8" i="451"/>
  <c r="S29" i="451"/>
  <c r="T26" i="451"/>
  <c r="S32" i="451"/>
  <c r="T24" i="451"/>
  <c r="T19" i="451"/>
  <c r="T28" i="451"/>
  <c r="T6" i="451"/>
  <c r="T29" i="451"/>
  <c r="I5" i="842"/>
  <c r="H5" i="842"/>
  <c r="F5" i="842"/>
  <c r="G5" i="842"/>
  <c r="J5" i="842"/>
  <c r="O44" i="834"/>
  <c r="G48" i="837"/>
  <c r="O27" i="834"/>
  <c r="G7" i="695"/>
  <c r="G10" i="695"/>
  <c r="F10" i="695"/>
  <c r="G5" i="695"/>
  <c r="G9" i="695"/>
  <c r="I10" i="695"/>
  <c r="I6" i="695"/>
  <c r="H9" i="695"/>
  <c r="I9" i="695"/>
  <c r="I7" i="695"/>
  <c r="I5" i="695"/>
  <c r="I8" i="695"/>
  <c r="F5" i="695"/>
  <c r="G8" i="695"/>
  <c r="H6" i="695"/>
  <c r="F6" i="695"/>
  <c r="H11" i="695"/>
  <c r="H8" i="695"/>
  <c r="H7" i="695"/>
  <c r="F9" i="695"/>
  <c r="I11" i="695"/>
  <c r="H10" i="695"/>
  <c r="F8" i="695"/>
  <c r="G6" i="695"/>
  <c r="H5" i="695"/>
  <c r="G11" i="695"/>
  <c r="F11" i="695"/>
  <c r="F7" i="695"/>
  <c r="S6" i="459"/>
  <c r="S86" i="459"/>
  <c r="S38" i="459"/>
  <c r="R71" i="459"/>
  <c r="R15" i="459"/>
  <c r="R90" i="459"/>
  <c r="R33" i="459"/>
  <c r="S74" i="459"/>
  <c r="S28" i="459"/>
  <c r="S30" i="459"/>
  <c r="R41" i="459"/>
  <c r="S82" i="459"/>
  <c r="S70" i="459"/>
  <c r="S22" i="459"/>
  <c r="S62" i="459"/>
  <c r="S24" i="459"/>
  <c r="R65" i="459"/>
  <c r="R51" i="459"/>
  <c r="R61" i="459"/>
  <c r="R73" i="459"/>
  <c r="R59" i="459"/>
  <c r="S68" i="459"/>
  <c r="S46" i="459"/>
  <c r="R17" i="459"/>
  <c r="S58" i="459"/>
  <c r="R67" i="459"/>
  <c r="R13" i="459"/>
  <c r="R43" i="459"/>
  <c r="S66" i="459"/>
  <c r="S48" i="459"/>
  <c r="R11" i="459"/>
  <c r="T30" i="459"/>
  <c r="T62" i="459"/>
  <c r="Q9" i="459"/>
  <c r="Q41" i="459"/>
  <c r="Q73" i="459"/>
  <c r="S13" i="459"/>
  <c r="S45" i="459"/>
  <c r="S77" i="459"/>
  <c r="T23" i="459"/>
  <c r="T55" i="459"/>
  <c r="T87" i="459"/>
  <c r="Q28" i="459"/>
  <c r="Q60" i="459"/>
  <c r="R8" i="459"/>
  <c r="R40" i="459"/>
  <c r="R72" i="459"/>
  <c r="R89" i="459"/>
  <c r="T32" i="459"/>
  <c r="T74" i="459"/>
  <c r="Q23" i="459"/>
  <c r="Q67" i="459"/>
  <c r="S17" i="459"/>
  <c r="S59" i="459"/>
  <c r="T9" i="459"/>
  <c r="T51" i="459"/>
  <c r="Q14" i="459"/>
  <c r="Q56" i="459"/>
  <c r="R6" i="459"/>
  <c r="R50" i="459"/>
  <c r="T3" i="459"/>
  <c r="T44" i="459"/>
  <c r="T88" i="459"/>
  <c r="Q37" i="459"/>
  <c r="Q79" i="459"/>
  <c r="S31" i="459"/>
  <c r="S73" i="459"/>
  <c r="T33" i="459"/>
  <c r="T75" i="459"/>
  <c r="Q26" i="459"/>
  <c r="Q70" i="459"/>
  <c r="R20" i="459"/>
  <c r="R62" i="459"/>
  <c r="T16" i="459"/>
  <c r="T58" i="459"/>
  <c r="Q7" i="459"/>
  <c r="Q51" i="459"/>
  <c r="S11" i="459"/>
  <c r="S55" i="459"/>
  <c r="T13" i="459"/>
  <c r="T57" i="459"/>
  <c r="Q8" i="459"/>
  <c r="Q50" i="459"/>
  <c r="R12" i="459"/>
  <c r="R54" i="459"/>
  <c r="T8" i="459"/>
  <c r="T50" i="459"/>
  <c r="Q11" i="459"/>
  <c r="Q53" i="459"/>
  <c r="S15" i="459"/>
  <c r="S57" i="459"/>
  <c r="T5" i="459"/>
  <c r="T81" i="459"/>
  <c r="Q74" i="459"/>
  <c r="R68" i="459"/>
  <c r="T69" i="459"/>
  <c r="Q64" i="459"/>
  <c r="R58" i="459"/>
  <c r="R31" i="459"/>
  <c r="R7" i="459"/>
  <c r="S78" i="459"/>
  <c r="R87" i="459"/>
  <c r="S10" i="459"/>
  <c r="R83" i="459"/>
  <c r="S32" i="459"/>
  <c r="S18" i="459"/>
  <c r="R91" i="459"/>
  <c r="R5" i="459"/>
  <c r="R23" i="459"/>
  <c r="R49" i="459"/>
  <c r="S90" i="459"/>
  <c r="S12" i="459"/>
  <c r="R45" i="459"/>
  <c r="S20" i="459"/>
  <c r="R75" i="459"/>
  <c r="R57" i="459"/>
  <c r="T6" i="459"/>
  <c r="T38" i="459"/>
  <c r="T70" i="459"/>
  <c r="Q17" i="459"/>
  <c r="Q49" i="459"/>
  <c r="Q81" i="459"/>
  <c r="S21" i="459"/>
  <c r="S53" i="459"/>
  <c r="S85" i="459"/>
  <c r="T31" i="459"/>
  <c r="T63" i="459"/>
  <c r="Q4" i="459"/>
  <c r="Q36" i="459"/>
  <c r="Q68" i="459"/>
  <c r="R16" i="459"/>
  <c r="R48" i="459"/>
  <c r="R80" i="459"/>
  <c r="R53" i="459"/>
  <c r="T42" i="459"/>
  <c r="T84" i="459"/>
  <c r="Q35" i="459"/>
  <c r="Q77" i="459"/>
  <c r="S27" i="459"/>
  <c r="S71" i="459"/>
  <c r="T19" i="459"/>
  <c r="T61" i="459"/>
  <c r="Q24" i="459"/>
  <c r="Q66" i="459"/>
  <c r="R18" i="459"/>
  <c r="R60" i="459"/>
  <c r="T12" i="459"/>
  <c r="T56" i="459"/>
  <c r="Q5" i="459"/>
  <c r="Q47" i="459"/>
  <c r="Q91" i="459"/>
  <c r="S41" i="459"/>
  <c r="S83" i="459"/>
  <c r="T43" i="459"/>
  <c r="T85" i="459"/>
  <c r="Q38" i="459"/>
  <c r="Q80" i="459"/>
  <c r="R30" i="459"/>
  <c r="R74" i="459"/>
  <c r="T26" i="459"/>
  <c r="T68" i="459"/>
  <c r="Q19" i="459"/>
  <c r="Q61" i="459"/>
  <c r="S23" i="459"/>
  <c r="S65" i="459"/>
  <c r="T25" i="459"/>
  <c r="T67" i="459"/>
  <c r="Q18" i="459"/>
  <c r="Q62" i="459"/>
  <c r="R22" i="459"/>
  <c r="R66" i="459"/>
  <c r="T18" i="459"/>
  <c r="T60" i="459"/>
  <c r="Q21" i="459"/>
  <c r="Q75" i="459"/>
  <c r="S25" i="459"/>
  <c r="S67" i="459"/>
  <c r="T27" i="459"/>
  <c r="Q10" i="459"/>
  <c r="R4" i="459"/>
  <c r="Q63" i="459"/>
  <c r="T91" i="459"/>
  <c r="Q86" i="459"/>
  <c r="R78" i="459"/>
  <c r="S54" i="459"/>
  <c r="R63" i="459"/>
  <c r="R39" i="459"/>
  <c r="R47" i="459"/>
  <c r="S56" i="459"/>
  <c r="S42" i="459"/>
  <c r="S60" i="459"/>
  <c r="S64" i="459"/>
  <c r="S50" i="459"/>
  <c r="S4" i="459"/>
  <c r="R37" i="459"/>
  <c r="S40" i="459"/>
  <c r="R81" i="459"/>
  <c r="R3" i="459"/>
  <c r="S44" i="459"/>
  <c r="R77" i="459"/>
  <c r="R85" i="459"/>
  <c r="S52" i="459"/>
  <c r="S84" i="459"/>
  <c r="T14" i="459"/>
  <c r="T46" i="459"/>
  <c r="T78" i="459"/>
  <c r="Q25" i="459"/>
  <c r="Q57" i="459"/>
  <c r="Q89" i="459"/>
  <c r="S29" i="459"/>
  <c r="S61" i="459"/>
  <c r="T7" i="459"/>
  <c r="T39" i="459"/>
  <c r="T71" i="459"/>
  <c r="Q12" i="459"/>
  <c r="Q44" i="459"/>
  <c r="Q76" i="459"/>
  <c r="R24" i="459"/>
  <c r="R56" i="459"/>
  <c r="R88" i="459"/>
  <c r="T10" i="459"/>
  <c r="T52" i="459"/>
  <c r="Q3" i="459"/>
  <c r="Q45" i="459"/>
  <c r="Q87" i="459"/>
  <c r="S39" i="459"/>
  <c r="S81" i="459"/>
  <c r="T29" i="459"/>
  <c r="T73" i="459"/>
  <c r="Q34" i="459"/>
  <c r="Q78" i="459"/>
  <c r="R28" i="459"/>
  <c r="R70" i="459"/>
  <c r="T24" i="459"/>
  <c r="T66" i="459"/>
  <c r="Q15" i="459"/>
  <c r="Q59" i="459"/>
  <c r="S9" i="459"/>
  <c r="S51" i="459"/>
  <c r="T11" i="459"/>
  <c r="T53" i="459"/>
  <c r="Q6" i="459"/>
  <c r="Q48" i="459"/>
  <c r="Q90" i="459"/>
  <c r="R42" i="459"/>
  <c r="R84" i="459"/>
  <c r="T36" i="459"/>
  <c r="T80" i="459"/>
  <c r="Q29" i="459"/>
  <c r="Q71" i="459"/>
  <c r="S33" i="459"/>
  <c r="S75" i="459"/>
  <c r="T35" i="459"/>
  <c r="T77" i="459"/>
  <c r="Q30" i="459"/>
  <c r="Q72" i="459"/>
  <c r="R34" i="459"/>
  <c r="R76" i="459"/>
  <c r="T28" i="459"/>
  <c r="T72" i="459"/>
  <c r="Q31" i="459"/>
  <c r="Q85" i="459"/>
  <c r="S35" i="459"/>
  <c r="S79" i="459"/>
  <c r="T37" i="459"/>
  <c r="Q32" i="459"/>
  <c r="R26" i="459"/>
  <c r="T17" i="459"/>
  <c r="Q22" i="459"/>
  <c r="R14" i="459"/>
  <c r="S14" i="459"/>
  <c r="S88" i="459"/>
  <c r="R27" i="459"/>
  <c r="S26" i="459"/>
  <c r="R25" i="459"/>
  <c r="T54" i="459"/>
  <c r="S5" i="459"/>
  <c r="T47" i="459"/>
  <c r="Q84" i="459"/>
  <c r="T20" i="459"/>
  <c r="S7" i="459"/>
  <c r="T83" i="459"/>
  <c r="R82" i="459"/>
  <c r="Q69" i="459"/>
  <c r="T65" i="459"/>
  <c r="R52" i="459"/>
  <c r="Q39" i="459"/>
  <c r="T45" i="459"/>
  <c r="R44" i="459"/>
  <c r="Q43" i="459"/>
  <c r="T59" i="459"/>
  <c r="Q42" i="459"/>
  <c r="S8" i="459"/>
  <c r="R19" i="459"/>
  <c r="S36" i="459"/>
  <c r="R35" i="459"/>
  <c r="R55" i="459"/>
  <c r="T86" i="459"/>
  <c r="S37" i="459"/>
  <c r="T79" i="459"/>
  <c r="R32" i="459"/>
  <c r="T64" i="459"/>
  <c r="S49" i="459"/>
  <c r="Q46" i="459"/>
  <c r="T34" i="459"/>
  <c r="S19" i="459"/>
  <c r="Q16" i="459"/>
  <c r="T4" i="459"/>
  <c r="Q83" i="459"/>
  <c r="T89" i="459"/>
  <c r="R86" i="459"/>
  <c r="S3" i="459"/>
  <c r="Q54" i="459"/>
  <c r="R36" i="459"/>
  <c r="S89" i="459"/>
  <c r="S16" i="459"/>
  <c r="R29" i="459"/>
  <c r="R69" i="459"/>
  <c r="S76" i="459"/>
  <c r="R21" i="459"/>
  <c r="Q33" i="459"/>
  <c r="S69" i="459"/>
  <c r="Q20" i="459"/>
  <c r="R64" i="459"/>
  <c r="Q13" i="459"/>
  <c r="S91" i="459"/>
  <c r="Q88" i="459"/>
  <c r="T76" i="459"/>
  <c r="S63" i="459"/>
  <c r="Q58" i="459"/>
  <c r="T48" i="459"/>
  <c r="S43" i="459"/>
  <c r="Q40" i="459"/>
  <c r="T40" i="459"/>
  <c r="S47" i="459"/>
  <c r="R46" i="459"/>
  <c r="R79" i="459"/>
  <c r="R9" i="459"/>
  <c r="S72" i="459"/>
  <c r="S34" i="459"/>
  <c r="T22" i="459"/>
  <c r="Q65" i="459"/>
  <c r="T15" i="459"/>
  <c r="Q52" i="459"/>
  <c r="S80" i="459"/>
  <c r="Q55" i="459"/>
  <c r="T41" i="459"/>
  <c r="R38" i="459"/>
  <c r="Q27" i="459"/>
  <c r="T21" i="459"/>
  <c r="R10" i="459"/>
  <c r="T90" i="459"/>
  <c r="S87" i="459"/>
  <c r="Q82" i="459"/>
  <c r="T82" i="459"/>
  <c r="T49" i="459"/>
  <c r="C99" i="843"/>
  <c r="R13" i="802"/>
  <c r="Q16" i="802"/>
  <c r="R12" i="802"/>
  <c r="S15" i="802"/>
  <c r="S14" i="802"/>
  <c r="R16" i="802"/>
  <c r="R17" i="802"/>
  <c r="S17" i="802"/>
  <c r="S13" i="802"/>
  <c r="Q17" i="802"/>
  <c r="R14" i="802"/>
  <c r="Q14" i="802"/>
  <c r="S16" i="802"/>
  <c r="Q15" i="802"/>
  <c r="R15" i="802"/>
  <c r="Q13" i="802"/>
  <c r="Q12" i="802"/>
  <c r="S12" i="802"/>
  <c r="U12" i="585"/>
  <c r="W12" i="585"/>
  <c r="V12" i="585"/>
  <c r="T12" i="585"/>
  <c r="U11" i="828"/>
  <c r="W8" i="828"/>
  <c r="U12" i="828"/>
  <c r="V10" i="828"/>
  <c r="W10" i="828"/>
  <c r="U9" i="828"/>
  <c r="V8" i="828"/>
  <c r="U7" i="828"/>
  <c r="V7" i="828"/>
  <c r="W12" i="828"/>
  <c r="V9" i="828"/>
  <c r="V12" i="828"/>
  <c r="U8" i="828"/>
  <c r="W7" i="828"/>
  <c r="W9" i="828"/>
  <c r="W11" i="828"/>
  <c r="U10" i="828"/>
  <c r="V11" i="828"/>
  <c r="F6" i="451"/>
  <c r="F8" i="451"/>
  <c r="G11" i="451"/>
  <c r="F5" i="451"/>
  <c r="G13" i="451"/>
  <c r="D11" i="451"/>
  <c r="G7" i="451"/>
  <c r="G9" i="451"/>
  <c r="D9" i="451"/>
  <c r="F12" i="451"/>
  <c r="E5" i="451"/>
  <c r="D7" i="451"/>
  <c r="F13" i="451"/>
  <c r="G6" i="451"/>
  <c r="D5" i="451"/>
  <c r="D6" i="451"/>
  <c r="E9" i="451"/>
  <c r="D8" i="451"/>
  <c r="F10" i="451"/>
  <c r="F11" i="451"/>
  <c r="D10" i="451"/>
  <c r="D13" i="451"/>
  <c r="D12" i="451"/>
  <c r="E13" i="451"/>
  <c r="E6" i="451"/>
  <c r="G10" i="451"/>
  <c r="E8" i="451"/>
  <c r="E11" i="451"/>
  <c r="E10" i="451"/>
  <c r="G5" i="451"/>
  <c r="G12" i="451"/>
  <c r="E7" i="451"/>
  <c r="E12" i="451"/>
  <c r="F9" i="451"/>
  <c r="F7" i="451"/>
  <c r="G8" i="451"/>
  <c r="AS9" i="838"/>
  <c r="AQ11" i="838"/>
  <c r="AQ9" i="838"/>
  <c r="AQ10" i="838"/>
  <c r="AS10" i="838"/>
  <c r="AR9" i="838"/>
  <c r="AR11" i="838"/>
  <c r="AR10" i="838"/>
  <c r="AS11" i="838"/>
  <c r="F6" i="835"/>
  <c r="H4" i="835"/>
  <c r="G4" i="835"/>
  <c r="H6" i="835"/>
  <c r="G6" i="835"/>
  <c r="F4" i="835"/>
  <c r="G5" i="835"/>
  <c r="F5" i="835"/>
  <c r="H5" i="835"/>
  <c r="C76" i="843"/>
  <c r="C53" i="843"/>
  <c r="H59" i="843"/>
  <c r="F59" i="843"/>
  <c r="G59" i="843"/>
  <c r="C46" i="843"/>
  <c r="E24" i="848"/>
  <c r="E26" i="848"/>
  <c r="E25" i="848"/>
  <c r="F25" i="848" s="1" a="1"/>
  <c r="F25" i="848" s="1"/>
  <c r="E23" i="848"/>
  <c r="H8" i="801"/>
  <c r="H10" i="801"/>
  <c r="H9" i="801"/>
  <c r="S8" i="805"/>
  <c r="S9" i="805"/>
  <c r="F47" i="837"/>
  <c r="O43" i="834"/>
  <c r="C65" i="843"/>
  <c r="Q28" i="843"/>
  <c r="Q40" i="843"/>
  <c r="L15" i="843"/>
  <c r="X45" i="840"/>
  <c r="X19" i="840"/>
  <c r="Y32" i="840"/>
  <c r="Y33" i="840"/>
  <c r="X12" i="840"/>
  <c r="Z39" i="840"/>
  <c r="Z5" i="840"/>
  <c r="Y40" i="840"/>
  <c r="X36" i="840"/>
  <c r="Y48" i="840"/>
  <c r="Y15" i="840"/>
  <c r="Y11" i="840"/>
  <c r="Z17" i="840"/>
  <c r="Z12" i="840"/>
  <c r="Y7" i="840"/>
  <c r="X49" i="840"/>
  <c r="X33" i="840"/>
  <c r="Y51" i="840"/>
  <c r="Z8" i="840"/>
  <c r="X15" i="840"/>
  <c r="X9" i="840"/>
  <c r="X53" i="840"/>
  <c r="Y45" i="840"/>
  <c r="X40" i="840"/>
  <c r="X38" i="840"/>
  <c r="Y44" i="840"/>
  <c r="X48" i="840"/>
  <c r="Y30" i="840"/>
  <c r="Y17" i="840"/>
  <c r="X8" i="840"/>
  <c r="Z19" i="840"/>
  <c r="Z6" i="840"/>
  <c r="Z41" i="840"/>
  <c r="Z10" i="840"/>
  <c r="X26" i="840"/>
  <c r="X31" i="840"/>
  <c r="X21" i="840"/>
  <c r="Z50" i="840"/>
  <c r="Y18" i="840"/>
  <c r="X11" i="840"/>
  <c r="X37" i="840"/>
  <c r="Z47" i="840"/>
  <c r="Y26" i="840"/>
  <c r="Y34" i="840"/>
  <c r="X13" i="840"/>
  <c r="Y22" i="840"/>
  <c r="Z14" i="840"/>
  <c r="Y43" i="840"/>
  <c r="Z49" i="840"/>
  <c r="X7" i="840"/>
  <c r="X50" i="840"/>
  <c r="Y42" i="840"/>
  <c r="Z34" i="840"/>
  <c r="Z29" i="840"/>
  <c r="Z40" i="840"/>
  <c r="X47" i="840"/>
  <c r="Z51" i="840"/>
  <c r="Y46" i="840"/>
  <c r="Z38" i="840"/>
  <c r="Y31" i="840"/>
  <c r="Z21" i="840"/>
  <c r="Y27" i="840"/>
  <c r="Z33" i="840"/>
  <c r="Z46" i="840"/>
  <c r="Y53" i="840"/>
  <c r="Y38" i="840"/>
  <c r="X46" i="840"/>
  <c r="Z42" i="840"/>
  <c r="Z27" i="840"/>
  <c r="Z44" i="840"/>
  <c r="Z31" i="840"/>
  <c r="Z24" i="840"/>
  <c r="Y49" i="840"/>
  <c r="Y5" i="840"/>
  <c r="X5" i="840"/>
  <c r="Z22" i="840"/>
  <c r="X44" i="840"/>
  <c r="Z37" i="840"/>
  <c r="X51" i="840"/>
  <c r="Z15" i="840"/>
  <c r="X29" i="840"/>
  <c r="Y41" i="840"/>
  <c r="Y9" i="840"/>
  <c r="X43" i="840"/>
  <c r="Z32" i="840"/>
  <c r="X39" i="840"/>
  <c r="X41" i="840"/>
  <c r="Z35" i="840"/>
  <c r="X28" i="840"/>
  <c r="Z20" i="840"/>
  <c r="X27" i="840"/>
  <c r="X30" i="840"/>
  <c r="Y36" i="840"/>
  <c r="Y37" i="840"/>
  <c r="X32" i="840"/>
  <c r="Y24" i="840"/>
  <c r="X17" i="840"/>
  <c r="Z43" i="840"/>
  <c r="Z16" i="840"/>
  <c r="X23" i="840"/>
  <c r="X14" i="840"/>
  <c r="X25" i="840"/>
  <c r="X10" i="840"/>
  <c r="Y52" i="840"/>
  <c r="Y14" i="840"/>
  <c r="Z18" i="840"/>
  <c r="X16" i="840"/>
  <c r="Z52" i="840"/>
  <c r="Z28" i="840"/>
  <c r="Y47" i="840"/>
  <c r="X42" i="840"/>
  <c r="Y16" i="840"/>
  <c r="X52" i="840"/>
  <c r="X20" i="840"/>
  <c r="Z26" i="840"/>
  <c r="Z36" i="840"/>
  <c r="X18" i="840"/>
  <c r="X6" i="840"/>
  <c r="Y50" i="840"/>
  <c r="Y39" i="840"/>
  <c r="Z23" i="840"/>
  <c r="Y8" i="840"/>
  <c r="Y29" i="840"/>
  <c r="Y21" i="840"/>
  <c r="Y19" i="840"/>
  <c r="Y10" i="840"/>
  <c r="Y12" i="840"/>
  <c r="Z9" i="840"/>
  <c r="X24" i="840"/>
  <c r="Z30" i="840"/>
  <c r="Z53" i="840"/>
  <c r="X22" i="840"/>
  <c r="Z13" i="840"/>
  <c r="Z25" i="840"/>
  <c r="Z11" i="840"/>
  <c r="Y20" i="840"/>
  <c r="X35" i="840"/>
  <c r="Y13" i="840"/>
  <c r="Y28" i="840"/>
  <c r="Z45" i="840"/>
  <c r="Y6" i="840"/>
  <c r="Y35" i="840"/>
  <c r="Y25" i="840"/>
  <c r="Y23" i="840"/>
  <c r="X34" i="840"/>
  <c r="Z7" i="840"/>
  <c r="Z48" i="840"/>
  <c r="E17" i="848"/>
  <c r="E15" i="848"/>
  <c r="F15" i="848" s="1"/>
  <c r="E16" i="848"/>
  <c r="E18" i="848"/>
  <c r="F27" i="448"/>
  <c r="F13" i="448"/>
  <c r="G9" i="448"/>
  <c r="F17" i="448"/>
  <c r="F3" i="448"/>
  <c r="G15" i="448"/>
  <c r="F5" i="448"/>
  <c r="G25" i="448"/>
  <c r="H16" i="448"/>
  <c r="F11" i="448"/>
  <c r="G20" i="448"/>
  <c r="G21" i="448"/>
  <c r="G22" i="448"/>
  <c r="G11" i="448"/>
  <c r="G14" i="448"/>
  <c r="F4" i="448"/>
  <c r="H15" i="448"/>
  <c r="G13" i="448"/>
  <c r="H21" i="448"/>
  <c r="F8" i="448"/>
  <c r="F9" i="448"/>
  <c r="H28" i="448"/>
  <c r="F12" i="448"/>
  <c r="H13" i="448"/>
  <c r="H11" i="448"/>
  <c r="F23" i="448"/>
  <c r="G27" i="448"/>
  <c r="G18" i="448"/>
  <c r="H18" i="448"/>
  <c r="H8" i="448"/>
  <c r="F14" i="448"/>
  <c r="H12" i="448"/>
  <c r="H29" i="448"/>
  <c r="H22" i="448"/>
  <c r="H25" i="448"/>
  <c r="H19" i="448"/>
  <c r="G24" i="448"/>
  <c r="F28" i="448"/>
  <c r="H17" i="448"/>
  <c r="H14" i="448"/>
  <c r="G16" i="448"/>
  <c r="F18" i="448"/>
  <c r="H27" i="448"/>
  <c r="F21" i="448"/>
  <c r="F19" i="448"/>
  <c r="G12" i="448"/>
  <c r="G3" i="448"/>
  <c r="G23" i="448"/>
  <c r="F22" i="448"/>
  <c r="G8" i="448"/>
  <c r="G5" i="448"/>
  <c r="F15" i="448"/>
  <c r="G28" i="448"/>
  <c r="F24" i="448"/>
  <c r="G4" i="448"/>
  <c r="H10" i="448"/>
  <c r="F26" i="448"/>
  <c r="H3" i="448"/>
  <c r="H9" i="448"/>
  <c r="F29" i="448"/>
  <c r="H7" i="448"/>
  <c r="F16" i="448"/>
  <c r="H5" i="448"/>
  <c r="G7" i="448"/>
  <c r="G6" i="448"/>
  <c r="G10" i="448"/>
  <c r="G26" i="448"/>
  <c r="G29" i="448"/>
  <c r="F25" i="448"/>
  <c r="H4" i="448"/>
  <c r="F20" i="448"/>
  <c r="H20" i="448"/>
  <c r="H26" i="448"/>
  <c r="H6" i="448"/>
  <c r="F7" i="448"/>
  <c r="H24" i="448"/>
  <c r="F6" i="448"/>
  <c r="H23" i="448"/>
  <c r="F10" i="448"/>
  <c r="G17" i="448"/>
  <c r="G19" i="448"/>
  <c r="C96" i="843"/>
  <c r="C81" i="843"/>
  <c r="F6" i="843"/>
  <c r="G6" i="843"/>
  <c r="H6" i="843"/>
  <c r="AQ23" i="838"/>
  <c r="AR23" i="838"/>
  <c r="AS25" i="838"/>
  <c r="AS23" i="838"/>
  <c r="AQ25" i="838"/>
  <c r="AR24" i="838"/>
  <c r="AR25" i="838"/>
  <c r="AS24" i="838"/>
  <c r="AQ24" i="838"/>
  <c r="S6" i="840"/>
  <c r="R7" i="840"/>
  <c r="Q15" i="840"/>
  <c r="R12" i="840"/>
  <c r="Q12" i="840"/>
  <c r="Q13" i="840"/>
  <c r="R15" i="840"/>
  <c r="Q10" i="840"/>
  <c r="S3" i="840"/>
  <c r="R5" i="840"/>
  <c r="Q14" i="840"/>
  <c r="R13" i="840"/>
  <c r="R16" i="840"/>
  <c r="S15" i="840"/>
  <c r="Q7" i="840"/>
  <c r="Q17" i="840"/>
  <c r="Q5" i="840"/>
  <c r="R4" i="840"/>
  <c r="S16" i="840"/>
  <c r="R14" i="840"/>
  <c r="Q16" i="840"/>
  <c r="Q8" i="840"/>
  <c r="S5" i="840"/>
  <c r="S10" i="840"/>
  <c r="S12" i="840"/>
  <c r="R6" i="840"/>
  <c r="S7" i="840"/>
  <c r="R8" i="840"/>
  <c r="S13" i="840"/>
  <c r="R9" i="840"/>
  <c r="Q4" i="840"/>
  <c r="S4" i="840"/>
  <c r="R3" i="840"/>
  <c r="S8" i="840"/>
  <c r="S11" i="840"/>
  <c r="S17" i="840"/>
  <c r="Q9" i="840"/>
  <c r="Q11" i="840"/>
  <c r="R11" i="840"/>
  <c r="S14" i="840"/>
  <c r="R10" i="840"/>
  <c r="Q6" i="840"/>
  <c r="R17" i="840"/>
  <c r="Q3" i="840"/>
  <c r="S9" i="840"/>
  <c r="F13" i="186"/>
  <c r="E12" i="186"/>
  <c r="F8" i="186"/>
  <c r="G13" i="186"/>
  <c r="F10" i="186"/>
  <c r="F7" i="186"/>
  <c r="E11" i="186"/>
  <c r="G8" i="186"/>
  <c r="D13" i="186"/>
  <c r="G7" i="186"/>
  <c r="D12" i="186"/>
  <c r="E6" i="186"/>
  <c r="F6" i="186"/>
  <c r="G6" i="186"/>
  <c r="D6" i="186"/>
  <c r="F11" i="186"/>
  <c r="D11" i="186"/>
  <c r="E9" i="186"/>
  <c r="E8" i="186"/>
  <c r="E10" i="186"/>
  <c r="E7" i="186"/>
  <c r="E13" i="186"/>
  <c r="G10" i="186"/>
  <c r="G11" i="186"/>
  <c r="F12" i="186"/>
  <c r="G12" i="186"/>
  <c r="E5" i="186"/>
  <c r="D8" i="186"/>
  <c r="D9" i="186"/>
  <c r="F9" i="186"/>
  <c r="D10" i="186"/>
  <c r="D5" i="186"/>
  <c r="G5" i="186"/>
  <c r="D7" i="186"/>
  <c r="F5" i="186"/>
  <c r="G9" i="186"/>
  <c r="W8" i="584"/>
  <c r="X8" i="584"/>
  <c r="X9" i="584"/>
  <c r="W10" i="584"/>
  <c r="X7" i="584"/>
  <c r="W7" i="584"/>
  <c r="X10" i="584"/>
  <c r="W9" i="584"/>
  <c r="E17" i="450"/>
  <c r="E18" i="450"/>
  <c r="R8" i="823"/>
  <c r="R10" i="823"/>
  <c r="R6" i="823"/>
  <c r="R7" i="823"/>
  <c r="R9" i="823"/>
  <c r="G7" i="807"/>
  <c r="G6" i="807"/>
  <c r="W6" i="458"/>
  <c r="W7" i="458"/>
  <c r="C90" i="843"/>
  <c r="F47" i="843"/>
  <c r="H47" i="843"/>
  <c r="G47" i="843"/>
  <c r="H12" i="843"/>
  <c r="G12" i="843"/>
  <c r="F12" i="843"/>
  <c r="E20" i="843"/>
  <c r="E19" i="843"/>
  <c r="E89" i="843"/>
  <c r="E88" i="843"/>
  <c r="C87" i="843"/>
  <c r="C72" i="843"/>
  <c r="T10" i="211"/>
  <c r="U10" i="211"/>
  <c r="U11" i="211"/>
  <c r="T8" i="211"/>
  <c r="T11" i="211"/>
  <c r="T9" i="211"/>
  <c r="U8" i="211"/>
  <c r="U9" i="211"/>
  <c r="Q30" i="843"/>
  <c r="X9" i="458"/>
  <c r="X8" i="458"/>
  <c r="O42" i="834"/>
  <c r="T13" i="585"/>
  <c r="U13" i="585"/>
  <c r="V13" i="585"/>
  <c r="W13" i="585"/>
  <c r="I9" i="586"/>
  <c r="H12" i="586"/>
  <c r="I11" i="586"/>
  <c r="H9" i="586"/>
  <c r="I12" i="586"/>
  <c r="H11" i="586"/>
  <c r="I10" i="586"/>
  <c r="H10" i="586"/>
  <c r="G47" i="837"/>
  <c r="U87" i="840"/>
  <c r="U119" i="840"/>
  <c r="U6" i="840"/>
  <c r="V13" i="840"/>
  <c r="U66" i="840"/>
  <c r="U21" i="840"/>
  <c r="U23" i="840"/>
  <c r="U29" i="840"/>
  <c r="V76" i="840"/>
  <c r="U47" i="840"/>
  <c r="U98" i="840"/>
  <c r="V86" i="840"/>
  <c r="U129" i="840"/>
  <c r="V57" i="840"/>
  <c r="V102" i="840"/>
  <c r="U10" i="840"/>
  <c r="U3" i="840"/>
  <c r="V108" i="840"/>
  <c r="U31" i="840"/>
  <c r="V70" i="840"/>
  <c r="U103" i="840"/>
  <c r="U11" i="840"/>
  <c r="V118" i="840"/>
  <c r="V56" i="840"/>
  <c r="V78" i="840"/>
  <c r="U81" i="840"/>
  <c r="U37" i="840"/>
  <c r="U65" i="840"/>
  <c r="V87" i="840"/>
  <c r="U25" i="840"/>
  <c r="V92" i="840"/>
  <c r="U35" i="840"/>
  <c r="V21" i="840"/>
  <c r="U33" i="840"/>
  <c r="U18" i="840"/>
  <c r="V83" i="840"/>
  <c r="U13" i="840"/>
  <c r="U121" i="840"/>
  <c r="V33" i="840"/>
  <c r="U61" i="840"/>
  <c r="V94" i="840"/>
  <c r="V114" i="840"/>
  <c r="V9" i="840"/>
  <c r="V48" i="840"/>
  <c r="V15" i="840"/>
  <c r="U90" i="840"/>
  <c r="U36" i="840"/>
  <c r="U117" i="840"/>
  <c r="U70" i="840"/>
  <c r="U112" i="840"/>
  <c r="U48" i="840"/>
  <c r="V77" i="840"/>
  <c r="V52" i="840"/>
  <c r="U14" i="840"/>
  <c r="V3" i="840"/>
  <c r="U74" i="840"/>
  <c r="U24" i="840"/>
  <c r="U101" i="840"/>
  <c r="V36" i="840"/>
  <c r="U118" i="840"/>
  <c r="U76" i="840"/>
  <c r="V105" i="840"/>
  <c r="V22" i="840"/>
  <c r="U99" i="840"/>
  <c r="V27" i="840"/>
  <c r="V49" i="840"/>
  <c r="U86" i="840"/>
  <c r="V97" i="840"/>
  <c r="U110" i="840"/>
  <c r="U122" i="840"/>
  <c r="V24" i="840"/>
  <c r="U88" i="840"/>
  <c r="V10" i="840"/>
  <c r="V11" i="840"/>
  <c r="V28" i="840"/>
  <c r="V81" i="840"/>
  <c r="U85" i="840"/>
  <c r="U40" i="840"/>
  <c r="U32" i="840"/>
  <c r="V113" i="840"/>
  <c r="V100" i="840"/>
  <c r="V80" i="840"/>
  <c r="V104" i="840"/>
  <c r="U97" i="840"/>
  <c r="V128" i="840"/>
  <c r="V55" i="840"/>
  <c r="U30" i="840"/>
  <c r="V59" i="840"/>
  <c r="V42" i="840"/>
  <c r="U73" i="840"/>
  <c r="V98" i="840"/>
  <c r="U113" i="840"/>
  <c r="V51" i="840"/>
  <c r="V126" i="840"/>
  <c r="U109" i="840"/>
  <c r="U9" i="840"/>
  <c r="U71" i="840"/>
  <c r="V103" i="840"/>
  <c r="U5" i="840"/>
  <c r="U27" i="840"/>
  <c r="V62" i="840"/>
  <c r="U42" i="840"/>
  <c r="V31" i="840"/>
  <c r="U111" i="840"/>
  <c r="U54" i="840"/>
  <c r="V16" i="840"/>
  <c r="U91" i="840"/>
  <c r="U96" i="840"/>
  <c r="V125" i="840"/>
  <c r="V61" i="840"/>
  <c r="V72" i="840"/>
  <c r="U89" i="840"/>
  <c r="V19" i="840"/>
  <c r="U95" i="840"/>
  <c r="V40" i="840"/>
  <c r="V122" i="840"/>
  <c r="V54" i="840"/>
  <c r="U124" i="840"/>
  <c r="U60" i="840"/>
  <c r="V89" i="840"/>
  <c r="V38" i="840"/>
  <c r="V120" i="840"/>
  <c r="U63" i="840"/>
  <c r="V90" i="840"/>
  <c r="U100" i="840"/>
  <c r="V65" i="840"/>
  <c r="V7" i="840"/>
  <c r="U28" i="840"/>
  <c r="U59" i="840"/>
  <c r="U56" i="840"/>
  <c r="U43" i="840"/>
  <c r="V44" i="840"/>
  <c r="U107" i="840"/>
  <c r="V47" i="840"/>
  <c r="U41" i="840"/>
  <c r="V69" i="840"/>
  <c r="V111" i="840"/>
  <c r="V14" i="840"/>
  <c r="U45" i="840"/>
  <c r="U72" i="840"/>
  <c r="V5" i="840"/>
  <c r="V99" i="840"/>
  <c r="U125" i="840"/>
  <c r="V110" i="840"/>
  <c r="V43" i="840"/>
  <c r="U39" i="840"/>
  <c r="U26" i="840"/>
  <c r="V124" i="840"/>
  <c r="V66" i="840"/>
  <c r="V68" i="840"/>
  <c r="V95" i="840"/>
  <c r="U128" i="840"/>
  <c r="V93" i="840"/>
  <c r="U115" i="840"/>
  <c r="V53" i="840"/>
  <c r="V79" i="840"/>
  <c r="V96" i="840"/>
  <c r="V121" i="840"/>
  <c r="U78" i="840"/>
  <c r="U16" i="840"/>
  <c r="V129" i="840"/>
  <c r="U79" i="840"/>
  <c r="U120" i="840"/>
  <c r="U126" i="840"/>
  <c r="U52" i="840"/>
  <c r="U104" i="840"/>
  <c r="U84" i="840"/>
  <c r="V8" i="840"/>
  <c r="V29" i="840"/>
  <c r="V75" i="840"/>
  <c r="V17" i="840"/>
  <c r="V115" i="840"/>
  <c r="V25" i="840"/>
  <c r="V37" i="840"/>
  <c r="V41" i="840"/>
  <c r="U19" i="840"/>
  <c r="U15" i="840"/>
  <c r="U34" i="840"/>
  <c r="U4" i="840"/>
  <c r="V32" i="840"/>
  <c r="U80" i="840"/>
  <c r="V18" i="840"/>
  <c r="U17" i="840"/>
  <c r="V116" i="840"/>
  <c r="V4" i="840"/>
  <c r="U108" i="840"/>
  <c r="V73" i="840"/>
  <c r="V119" i="840"/>
  <c r="V12" i="840"/>
  <c r="V30" i="840"/>
  <c r="V63" i="840"/>
  <c r="V117" i="840"/>
  <c r="U127" i="840"/>
  <c r="U58" i="840"/>
  <c r="U62" i="840"/>
  <c r="V88" i="840"/>
  <c r="V101" i="840"/>
  <c r="V107" i="840"/>
  <c r="U46" i="840"/>
  <c r="U51" i="840"/>
  <c r="V46" i="840"/>
  <c r="V60" i="840"/>
  <c r="U22" i="840"/>
  <c r="V123" i="840"/>
  <c r="U53" i="840"/>
  <c r="V91" i="840"/>
  <c r="U105" i="840"/>
  <c r="U20" i="840"/>
  <c r="U50" i="840"/>
  <c r="U64" i="840"/>
  <c r="V34" i="840"/>
  <c r="V71" i="840"/>
  <c r="U8" i="840"/>
  <c r="V20" i="840"/>
  <c r="U92" i="840"/>
  <c r="V6" i="840"/>
  <c r="U82" i="840"/>
  <c r="V45" i="840"/>
  <c r="U67" i="840"/>
  <c r="V106" i="840"/>
  <c r="V85" i="840"/>
  <c r="U69" i="840"/>
  <c r="U12" i="840"/>
  <c r="V84" i="840"/>
  <c r="V23" i="840"/>
  <c r="V26" i="840"/>
  <c r="V82" i="840"/>
  <c r="U114" i="840"/>
  <c r="V74" i="840"/>
  <c r="V35" i="840"/>
  <c r="U57" i="840"/>
  <c r="U102" i="840"/>
  <c r="V64" i="840"/>
  <c r="V67" i="840"/>
  <c r="V50" i="840"/>
  <c r="V112" i="840"/>
  <c r="V58" i="840"/>
  <c r="U106" i="840"/>
  <c r="U83" i="840"/>
  <c r="V127" i="840"/>
  <c r="U55" i="840"/>
  <c r="U93" i="840"/>
  <c r="U38" i="840"/>
  <c r="V109" i="840"/>
  <c r="U75" i="840"/>
  <c r="U68" i="840"/>
  <c r="U116" i="840"/>
  <c r="U49" i="840"/>
  <c r="U123" i="840"/>
  <c r="U94" i="840"/>
  <c r="V39" i="840"/>
  <c r="U77" i="840"/>
  <c r="U44" i="840"/>
  <c r="U7" i="840"/>
  <c r="F17" i="822"/>
  <c r="I17" i="822"/>
  <c r="H12" i="822"/>
  <c r="H13" i="822"/>
  <c r="O14" i="822"/>
  <c r="G14" i="822"/>
  <c r="F12" i="822"/>
  <c r="L15" i="822"/>
  <c r="N13" i="822"/>
  <c r="K12" i="822"/>
  <c r="M16" i="822"/>
  <c r="I11" i="822"/>
  <c r="F15" i="822"/>
  <c r="H11" i="822"/>
  <c r="M14" i="822"/>
  <c r="H15" i="822"/>
  <c r="M17" i="822"/>
  <c r="K11" i="822"/>
  <c r="I15" i="822"/>
  <c r="L11" i="822"/>
  <c r="F14" i="822"/>
  <c r="G16" i="822"/>
  <c r="H16" i="822"/>
  <c r="F11" i="822"/>
  <c r="M15" i="822"/>
  <c r="N12" i="822"/>
  <c r="L17" i="822"/>
  <c r="J16" i="822"/>
  <c r="K14" i="822"/>
  <c r="N14" i="822"/>
  <c r="I13" i="822"/>
  <c r="O12" i="822"/>
  <c r="O15" i="822"/>
  <c r="M11" i="822"/>
  <c r="G12" i="822"/>
  <c r="J11" i="822"/>
  <c r="L12" i="822"/>
  <c r="H17" i="822"/>
  <c r="O11" i="822"/>
  <c r="N15" i="822"/>
  <c r="O17" i="822"/>
  <c r="N17" i="822"/>
  <c r="H14" i="822"/>
  <c r="G15" i="822"/>
  <c r="J13" i="822"/>
  <c r="O13" i="822"/>
  <c r="G11" i="822"/>
  <c r="O16" i="822"/>
  <c r="I12" i="822"/>
  <c r="N16" i="822"/>
  <c r="L16" i="822"/>
  <c r="K13" i="822"/>
  <c r="F13" i="822"/>
  <c r="K15" i="822"/>
  <c r="I16" i="822"/>
  <c r="L14" i="822"/>
  <c r="K16" i="822"/>
  <c r="M12" i="822"/>
  <c r="L13" i="822"/>
  <c r="J15" i="822"/>
  <c r="I14" i="822"/>
  <c r="J12" i="822"/>
  <c r="K17" i="822"/>
  <c r="N11" i="822"/>
  <c r="F16" i="822"/>
  <c r="G13" i="822"/>
  <c r="J14" i="822"/>
  <c r="J17" i="822"/>
  <c r="M13" i="822"/>
  <c r="G17" i="822"/>
  <c r="S12" i="186"/>
  <c r="S16" i="186"/>
  <c r="T32" i="186"/>
  <c r="S8" i="186"/>
  <c r="S6" i="186"/>
  <c r="T26" i="186"/>
  <c r="T11" i="186"/>
  <c r="T21" i="186"/>
  <c r="S19" i="186"/>
  <c r="T25" i="186"/>
  <c r="T34" i="186"/>
  <c r="T31" i="186"/>
  <c r="T18" i="186"/>
  <c r="T35" i="186"/>
  <c r="S35" i="186"/>
  <c r="S15" i="186"/>
  <c r="S33" i="186"/>
  <c r="S28" i="186"/>
  <c r="S17" i="186"/>
  <c r="S24" i="186"/>
  <c r="S22" i="186"/>
  <c r="S7" i="186"/>
  <c r="T27" i="186"/>
  <c r="S26" i="186"/>
  <c r="T17" i="186"/>
  <c r="S10" i="186"/>
  <c r="S27" i="186"/>
  <c r="T20" i="186"/>
  <c r="S11" i="186"/>
  <c r="T24" i="186"/>
  <c r="T8" i="186"/>
  <c r="T19" i="186"/>
  <c r="S32" i="186"/>
  <c r="S21" i="186"/>
  <c r="T10" i="186"/>
  <c r="T28" i="186"/>
  <c r="T16" i="186"/>
  <c r="T7" i="186"/>
  <c r="T15" i="186"/>
  <c r="T22" i="186"/>
  <c r="S29" i="186"/>
  <c r="S9" i="186"/>
  <c r="S23" i="186"/>
  <c r="T6" i="186"/>
  <c r="S30" i="186"/>
  <c r="S14" i="186"/>
  <c r="T13" i="186"/>
  <c r="S25" i="186"/>
  <c r="S5" i="186"/>
  <c r="T5" i="186"/>
  <c r="T30" i="186"/>
  <c r="T14" i="186"/>
  <c r="S34" i="186"/>
  <c r="S18" i="186"/>
  <c r="S20" i="186"/>
  <c r="T29" i="186"/>
  <c r="T9" i="186"/>
  <c r="S31" i="186"/>
  <c r="T12" i="186"/>
  <c r="T33" i="186"/>
  <c r="S13" i="186"/>
  <c r="T23" i="186"/>
  <c r="Z5" i="585"/>
  <c r="Z8" i="585"/>
  <c r="Z7" i="585"/>
  <c r="Y5" i="585"/>
  <c r="Y6" i="585"/>
  <c r="Y7" i="585"/>
  <c r="Y8" i="585"/>
  <c r="Z6" i="585"/>
  <c r="G22" i="848"/>
  <c r="G27" i="848" s="1" a="1"/>
  <c r="G27" i="848" s="1"/>
  <c r="F22" i="848"/>
  <c r="F27" i="848" s="1" a="1"/>
  <c r="F27" i="848" s="1"/>
  <c r="X6" i="806"/>
  <c r="W8" i="806"/>
  <c r="W3" i="806"/>
  <c r="V12" i="806"/>
  <c r="Z6" i="806"/>
  <c r="Y5" i="806"/>
  <c r="W9" i="806"/>
  <c r="V8" i="806"/>
  <c r="W11" i="806"/>
  <c r="X8" i="806"/>
  <c r="Z3" i="806"/>
  <c r="V9" i="806"/>
  <c r="Y4" i="806"/>
  <c r="W14" i="806"/>
  <c r="V5" i="806"/>
  <c r="Z8" i="806"/>
  <c r="X10" i="806"/>
  <c r="Y11" i="806"/>
  <c r="V13" i="806"/>
  <c r="Y9" i="806"/>
  <c r="U14" i="806"/>
  <c r="Z14" i="806"/>
  <c r="U3" i="806"/>
  <c r="Z12" i="806"/>
  <c r="U4" i="806"/>
  <c r="X7" i="806"/>
  <c r="W13" i="806"/>
  <c r="V3" i="806"/>
  <c r="W5" i="806"/>
  <c r="U6" i="806"/>
  <c r="U7" i="806"/>
  <c r="U11" i="806"/>
  <c r="U9" i="806"/>
  <c r="Z10" i="806"/>
  <c r="Y3" i="806"/>
  <c r="X3" i="806"/>
  <c r="Y13" i="806"/>
  <c r="V6" i="806"/>
  <c r="Y14" i="806"/>
  <c r="V4" i="806"/>
  <c r="Z4" i="806"/>
  <c r="X12" i="806"/>
  <c r="V11" i="806"/>
  <c r="W6" i="806"/>
  <c r="X5" i="806"/>
  <c r="Z7" i="806"/>
  <c r="V10" i="806"/>
  <c r="W10" i="806"/>
  <c r="Z9" i="806"/>
  <c r="U8" i="806"/>
  <c r="Z5" i="806"/>
  <c r="V14" i="806"/>
  <c r="U13" i="806"/>
  <c r="Y12" i="806"/>
  <c r="X11" i="806"/>
  <c r="Y8" i="806"/>
  <c r="Z11" i="806"/>
  <c r="X4" i="806"/>
  <c r="Z13" i="806"/>
  <c r="X13" i="806"/>
  <c r="W7" i="806"/>
  <c r="V7" i="806"/>
  <c r="Y6" i="806"/>
  <c r="W4" i="806"/>
  <c r="U12" i="806"/>
  <c r="X9" i="806"/>
  <c r="Y7" i="806"/>
  <c r="X14" i="806"/>
  <c r="Y10" i="806"/>
  <c r="U5" i="806"/>
  <c r="U10" i="806"/>
  <c r="W12" i="806"/>
  <c r="C91" i="843"/>
  <c r="C68" i="843"/>
  <c r="F73" i="843"/>
  <c r="G73" i="843"/>
  <c r="H73" i="843"/>
  <c r="O54" i="843"/>
  <c r="C73" i="843"/>
  <c r="Q37" i="843"/>
  <c r="L54" i="843"/>
  <c r="Q33" i="843"/>
  <c r="H9" i="807"/>
  <c r="H8" i="807"/>
  <c r="R4" i="458"/>
  <c r="T5" i="458"/>
  <c r="T21" i="458"/>
  <c r="Q71" i="458"/>
  <c r="Q39" i="458"/>
  <c r="T80" i="458"/>
  <c r="T48" i="458"/>
  <c r="S90" i="458"/>
  <c r="S58" i="458"/>
  <c r="S26" i="458"/>
  <c r="R68" i="458"/>
  <c r="R36" i="458"/>
  <c r="T75" i="458"/>
  <c r="T43" i="458"/>
  <c r="R27" i="458"/>
  <c r="Q74" i="458"/>
  <c r="Q14" i="458"/>
  <c r="R41" i="458"/>
  <c r="S93" i="458"/>
  <c r="R21" i="458"/>
  <c r="Q66" i="458"/>
  <c r="Q11" i="458"/>
  <c r="R71" i="458"/>
  <c r="R12" i="458"/>
  <c r="T3" i="458"/>
  <c r="Q93" i="458"/>
  <c r="Q61" i="458"/>
  <c r="Q29" i="458"/>
  <c r="T70" i="458"/>
  <c r="T38" i="458"/>
  <c r="S80" i="458"/>
  <c r="S48" i="458"/>
  <c r="R90" i="458"/>
  <c r="R58" i="458"/>
  <c r="T97" i="458"/>
  <c r="T65" i="458"/>
  <c r="R81" i="458"/>
  <c r="S16" i="458"/>
  <c r="S47" i="458"/>
  <c r="Q4" i="458"/>
  <c r="S23" i="458"/>
  <c r="R67" i="458"/>
  <c r="R11" i="458"/>
  <c r="T39" i="458"/>
  <c r="Q92" i="458"/>
  <c r="R18" i="458"/>
  <c r="S53" i="458"/>
  <c r="T25" i="458"/>
  <c r="Q81" i="458"/>
  <c r="T90" i="458"/>
  <c r="T26" i="458"/>
  <c r="S36" i="458"/>
  <c r="R46" i="458"/>
  <c r="T53" i="458"/>
  <c r="S4" i="458"/>
  <c r="S67" i="458"/>
  <c r="Q36" i="458"/>
  <c r="Q21" i="458"/>
  <c r="R55" i="458"/>
  <c r="R63" i="458"/>
  <c r="Q59" i="458"/>
  <c r="T68" i="458"/>
  <c r="S78" i="458"/>
  <c r="R88" i="458"/>
  <c r="T95" i="458"/>
  <c r="S75" i="458"/>
  <c r="Q42" i="458"/>
  <c r="S21" i="458"/>
  <c r="R9" i="458"/>
  <c r="R79" i="458"/>
  <c r="S39" i="458"/>
  <c r="R91" i="458"/>
  <c r="T50" i="458"/>
  <c r="R70" i="458"/>
  <c r="R31" i="458"/>
  <c r="S3" i="458"/>
  <c r="S85" i="458"/>
  <c r="T19" i="458"/>
  <c r="T44" i="458"/>
  <c r="R64" i="458"/>
  <c r="S22" i="458"/>
  <c r="R83" i="458"/>
  <c r="R43" i="458"/>
  <c r="Q89" i="458"/>
  <c r="T34" i="458"/>
  <c r="R54" i="458"/>
  <c r="S12" i="458"/>
  <c r="Q56" i="458"/>
  <c r="T7" i="458"/>
  <c r="Q83" i="458"/>
  <c r="T28" i="458"/>
  <c r="R48" i="458"/>
  <c r="S6" i="458"/>
  <c r="Q40" i="458"/>
  <c r="S69" i="458"/>
  <c r="T8" i="458"/>
  <c r="R20" i="458"/>
  <c r="T88" i="458"/>
  <c r="S66" i="458"/>
  <c r="R44" i="458"/>
  <c r="T51" i="458"/>
  <c r="Q22" i="458"/>
  <c r="Q32" i="458"/>
  <c r="T15" i="458"/>
  <c r="Q38" i="458"/>
  <c r="T78" i="458"/>
  <c r="S56" i="458"/>
  <c r="R34" i="458"/>
  <c r="S24" i="458"/>
  <c r="Q12" i="458"/>
  <c r="R19" i="458"/>
  <c r="S57" i="458"/>
  <c r="R14" i="458"/>
  <c r="S52" i="458"/>
  <c r="Q76" i="458"/>
  <c r="T14" i="458"/>
  <c r="S27" i="458"/>
  <c r="Q95" i="458"/>
  <c r="Q63" i="458"/>
  <c r="Q31" i="458"/>
  <c r="T72" i="458"/>
  <c r="T40" i="458"/>
  <c r="S82" i="458"/>
  <c r="S50" i="458"/>
  <c r="R92" i="458"/>
  <c r="R60" i="458"/>
  <c r="R28" i="458"/>
  <c r="T67" i="458"/>
  <c r="Q86" i="458"/>
  <c r="S18" i="458"/>
  <c r="R53" i="458"/>
  <c r="Q6" i="458"/>
  <c r="S25" i="458"/>
  <c r="Q72" i="458"/>
  <c r="R13" i="458"/>
  <c r="R45" i="458"/>
  <c r="Q3" i="458"/>
  <c r="T23" i="458"/>
  <c r="Q68" i="458"/>
  <c r="R75" i="458"/>
  <c r="Q85" i="458"/>
  <c r="Q53" i="458"/>
  <c r="T94" i="458"/>
  <c r="T62" i="458"/>
  <c r="T30" i="458"/>
  <c r="S72" i="458"/>
  <c r="S40" i="458"/>
  <c r="R82" i="458"/>
  <c r="R50" i="458"/>
  <c r="T89" i="458"/>
  <c r="T57" i="458"/>
  <c r="S59" i="458"/>
  <c r="S8" i="458"/>
  <c r="T29" i="458"/>
  <c r="Q78" i="458"/>
  <c r="S15" i="458"/>
  <c r="S45" i="458"/>
  <c r="R3" i="458"/>
  <c r="Q25" i="458"/>
  <c r="S37" i="458"/>
  <c r="Q84" i="458"/>
  <c r="T16" i="458"/>
  <c r="T9" i="458"/>
  <c r="Q65" i="458"/>
  <c r="T74" i="458"/>
  <c r="S84" i="458"/>
  <c r="R94" i="458"/>
  <c r="R30" i="458"/>
  <c r="S91" i="458"/>
  <c r="Q58" i="458"/>
  <c r="R29" i="458"/>
  <c r="R15" i="458"/>
  <c r="Q5" i="458"/>
  <c r="S81" i="458"/>
  <c r="S65" i="458"/>
  <c r="Q43" i="458"/>
  <c r="T52" i="458"/>
  <c r="S62" i="458"/>
  <c r="R72" i="458"/>
  <c r="T79" i="458"/>
  <c r="R35" i="458"/>
  <c r="Q18" i="458"/>
  <c r="S5" i="458"/>
  <c r="R77" i="458"/>
  <c r="T4" i="458"/>
  <c r="Q44" i="458"/>
  <c r="Q73" i="458"/>
  <c r="S92" i="458"/>
  <c r="R38" i="458"/>
  <c r="S79" i="458"/>
  <c r="R23" i="458"/>
  <c r="T17" i="458"/>
  <c r="Q67" i="458"/>
  <c r="S86" i="458"/>
  <c r="R32" i="458"/>
  <c r="S63" i="458"/>
  <c r="R17" i="458"/>
  <c r="Q96" i="458"/>
  <c r="Q57" i="458"/>
  <c r="S76" i="458"/>
  <c r="T93" i="458"/>
  <c r="T37" i="458"/>
  <c r="R7" i="458"/>
  <c r="S29" i="458"/>
  <c r="Q51" i="458"/>
  <c r="S70" i="458"/>
  <c r="T87" i="458"/>
  <c r="Q26" i="458"/>
  <c r="Q98" i="458"/>
  <c r="T11" i="458"/>
  <c r="R95" i="458"/>
  <c r="Q79" i="458"/>
  <c r="T56" i="458"/>
  <c r="S34" i="458"/>
  <c r="T83" i="458"/>
  <c r="S95" i="458"/>
  <c r="S9" i="458"/>
  <c r="Q19" i="458"/>
  <c r="T13" i="458"/>
  <c r="Q37" i="458"/>
  <c r="S88" i="458"/>
  <c r="R66" i="458"/>
  <c r="T41" i="458"/>
  <c r="Q88" i="458"/>
  <c r="Q9" i="458"/>
  <c r="Q97" i="458"/>
  <c r="T42" i="458"/>
  <c r="Q80" i="458"/>
  <c r="Q48" i="458"/>
  <c r="R16" i="458"/>
  <c r="Q87" i="458"/>
  <c r="Q55" i="458"/>
  <c r="T96" i="458"/>
  <c r="T64" i="458"/>
  <c r="T32" i="458"/>
  <c r="S74" i="458"/>
  <c r="S42" i="458"/>
  <c r="R84" i="458"/>
  <c r="R52" i="458"/>
  <c r="T91" i="458"/>
  <c r="T59" i="458"/>
  <c r="R65" i="458"/>
  <c r="S10" i="458"/>
  <c r="T33" i="458"/>
  <c r="S83" i="458"/>
  <c r="S17" i="458"/>
  <c r="R51" i="458"/>
  <c r="R5" i="458"/>
  <c r="T27" i="458"/>
  <c r="S49" i="458"/>
  <c r="S97" i="458"/>
  <c r="R22" i="458"/>
  <c r="S35" i="458"/>
  <c r="Q77" i="458"/>
  <c r="Q45" i="458"/>
  <c r="T86" i="458"/>
  <c r="T54" i="458"/>
  <c r="S96" i="458"/>
  <c r="S64" i="458"/>
  <c r="S32" i="458"/>
  <c r="R74" i="458"/>
  <c r="R42" i="458"/>
  <c r="T81" i="458"/>
  <c r="T49" i="458"/>
  <c r="R39" i="458"/>
  <c r="Q90" i="458"/>
  <c r="Q20" i="458"/>
  <c r="R57" i="458"/>
  <c r="S7" i="458"/>
  <c r="Q28" i="458"/>
  <c r="Q82" i="458"/>
  <c r="Q17" i="458"/>
  <c r="R10" i="458"/>
  <c r="Q30" i="458"/>
  <c r="R24" i="458"/>
  <c r="T10" i="458"/>
  <c r="Q49" i="458"/>
  <c r="T58" i="458"/>
  <c r="S68" i="458"/>
  <c r="R78" i="458"/>
  <c r="T85" i="458"/>
  <c r="R49" i="458"/>
  <c r="Q24" i="458"/>
  <c r="S11" i="458"/>
  <c r="R93" i="458"/>
  <c r="T20" i="458"/>
  <c r="R6" i="458"/>
  <c r="Q91" i="458"/>
  <c r="Q27" i="458"/>
  <c r="T36" i="458"/>
  <c r="S46" i="458"/>
  <c r="R56" i="458"/>
  <c r="T63" i="458"/>
  <c r="S14" i="458"/>
  <c r="Q94" i="458"/>
  <c r="S61" i="458"/>
  <c r="T35" i="458"/>
  <c r="T12" i="458"/>
  <c r="T18" i="458"/>
  <c r="Q41" i="458"/>
  <c r="S60" i="458"/>
  <c r="T77" i="458"/>
  <c r="Q16" i="458"/>
  <c r="S71" i="458"/>
  <c r="S73" i="458"/>
  <c r="Q35" i="458"/>
  <c r="S54" i="458"/>
  <c r="T71" i="458"/>
  <c r="Q10" i="458"/>
  <c r="S55" i="458"/>
  <c r="R87" i="458"/>
  <c r="T98" i="458"/>
  <c r="S44" i="458"/>
  <c r="T61" i="458"/>
  <c r="R89" i="458"/>
  <c r="T31" i="458"/>
  <c r="R8" i="458"/>
  <c r="T92" i="458"/>
  <c r="S38" i="458"/>
  <c r="T55" i="458"/>
  <c r="R73" i="458"/>
  <c r="Q23" i="458"/>
  <c r="T24" i="458"/>
  <c r="Q52" i="458"/>
  <c r="Q47" i="458"/>
  <c r="S98" i="458"/>
  <c r="R76" i="458"/>
  <c r="S43" i="458"/>
  <c r="Q62" i="458"/>
  <c r="S87" i="458"/>
  <c r="S41" i="458"/>
  <c r="Q69" i="458"/>
  <c r="T46" i="458"/>
  <c r="R98" i="458"/>
  <c r="T73" i="458"/>
  <c r="R69" i="458"/>
  <c r="R37" i="458"/>
  <c r="R61" i="458"/>
  <c r="T6" i="458"/>
  <c r="Q33" i="458"/>
  <c r="R62" i="458"/>
  <c r="S20" i="458"/>
  <c r="S31" i="458"/>
  <c r="S94" i="458"/>
  <c r="R85" i="458"/>
  <c r="T22" i="458"/>
  <c r="T45" i="458"/>
  <c r="T76" i="458"/>
  <c r="Q7" i="458"/>
  <c r="Q70" i="458"/>
  <c r="T60" i="458"/>
  <c r="R26" i="458"/>
  <c r="S77" i="458"/>
  <c r="R40" i="458"/>
  <c r="R25" i="458"/>
  <c r="Q13" i="458"/>
  <c r="T66" i="458"/>
  <c r="Q54" i="458"/>
  <c r="T69" i="458"/>
  <c r="Q50" i="458"/>
  <c r="T84" i="458"/>
  <c r="T47" i="458"/>
  <c r="Q15" i="458"/>
  <c r="S28" i="458"/>
  <c r="R59" i="458"/>
  <c r="R33" i="458"/>
  <c r="R86" i="458"/>
  <c r="S89" i="458"/>
  <c r="S13" i="458"/>
  <c r="Q8" i="458"/>
  <c r="R47" i="458"/>
  <c r="S30" i="458"/>
  <c r="S51" i="458"/>
  <c r="Q34" i="458"/>
  <c r="Q46" i="458"/>
  <c r="R96" i="458"/>
  <c r="Q60" i="458"/>
  <c r="S19" i="458"/>
  <c r="R80" i="458"/>
  <c r="S33" i="458"/>
  <c r="Q75" i="458"/>
  <c r="T82" i="458"/>
  <c r="R97" i="458"/>
  <c r="Q64" i="458"/>
  <c r="X12" i="841"/>
  <c r="Y37" i="841"/>
  <c r="X44" i="841"/>
  <c r="Y9" i="841"/>
  <c r="Y10" i="841"/>
  <c r="Y6" i="841"/>
  <c r="Y25" i="841"/>
  <c r="X8" i="841"/>
  <c r="Z13" i="841"/>
  <c r="Z34" i="841"/>
  <c r="Y30" i="841"/>
  <c r="Y26" i="841"/>
  <c r="Y18" i="841"/>
  <c r="X40" i="841"/>
  <c r="Z15" i="841"/>
  <c r="X9" i="841"/>
  <c r="Y33" i="841"/>
  <c r="Z23" i="841"/>
  <c r="Z42" i="841"/>
  <c r="Y21" i="841"/>
  <c r="X49" i="841"/>
  <c r="X29" i="841"/>
  <c r="Y29" i="841"/>
  <c r="X25" i="841"/>
  <c r="X47" i="841"/>
  <c r="Y17" i="841"/>
  <c r="Y34" i="841"/>
  <c r="Y8" i="841"/>
  <c r="X11" i="841"/>
  <c r="Z48" i="841"/>
  <c r="Z39" i="841"/>
  <c r="X17" i="841"/>
  <c r="X36" i="841"/>
  <c r="X24" i="841"/>
  <c r="Y5" i="841"/>
  <c r="Z27" i="841"/>
  <c r="Z22" i="841"/>
  <c r="X13" i="841"/>
  <c r="Z6" i="841"/>
  <c r="Z43" i="841"/>
  <c r="Z10" i="841"/>
  <c r="X28" i="841"/>
  <c r="Z35" i="841"/>
  <c r="X32" i="841"/>
  <c r="X20" i="841"/>
  <c r="X39" i="841"/>
  <c r="X26" i="841"/>
  <c r="Z29" i="841"/>
  <c r="X22" i="841"/>
  <c r="Y20" i="841"/>
  <c r="Y7" i="841"/>
  <c r="Z51" i="841"/>
  <c r="X14" i="841"/>
  <c r="X45" i="841"/>
  <c r="Y36" i="841"/>
  <c r="X27" i="841"/>
  <c r="X23" i="841"/>
  <c r="X42" i="841"/>
  <c r="Z49" i="841"/>
  <c r="X30" i="841"/>
  <c r="Y24" i="841"/>
  <c r="Z44" i="841"/>
  <c r="Y12" i="841"/>
  <c r="Y51" i="841"/>
  <c r="Y13" i="841"/>
  <c r="Y52" i="841"/>
  <c r="X21" i="841"/>
  <c r="Y22" i="841"/>
  <c r="Z30" i="841"/>
  <c r="X33" i="841"/>
  <c r="Z11" i="841"/>
  <c r="Y45" i="841"/>
  <c r="X7" i="841"/>
  <c r="Y47" i="841"/>
  <c r="Z36" i="841"/>
  <c r="Y40" i="841"/>
  <c r="Z32" i="841"/>
  <c r="X31" i="841"/>
  <c r="X18" i="841"/>
  <c r="Z21" i="841"/>
  <c r="Z24" i="841"/>
  <c r="Z5" i="841"/>
  <c r="X50" i="841"/>
  <c r="Y49" i="841"/>
  <c r="Y44" i="841"/>
  <c r="X35" i="841"/>
  <c r="X41" i="841"/>
  <c r="Z33" i="841"/>
  <c r="X38" i="841"/>
  <c r="Z37" i="841"/>
  <c r="X10" i="841"/>
  <c r="Z26" i="841"/>
  <c r="Z38" i="841"/>
  <c r="Y38" i="841"/>
  <c r="Y42" i="841"/>
  <c r="Y14" i="841"/>
  <c r="Z7" i="841"/>
  <c r="Z18" i="841"/>
  <c r="Z31" i="841"/>
  <c r="X37" i="841"/>
  <c r="Z17" i="841"/>
  <c r="Z45" i="841"/>
  <c r="X48" i="841"/>
  <c r="X53" i="841"/>
  <c r="Y43" i="841"/>
  <c r="Z41" i="841"/>
  <c r="Z28" i="841"/>
  <c r="Y32" i="841"/>
  <c r="Y35" i="841"/>
  <c r="Y41" i="841"/>
  <c r="Z12" i="841"/>
  <c r="Y19" i="841"/>
  <c r="X51" i="841"/>
  <c r="X6" i="841"/>
  <c r="Z25" i="841"/>
  <c r="Z52" i="841"/>
  <c r="Z47" i="841"/>
  <c r="Z8" i="841"/>
  <c r="X46" i="841"/>
  <c r="Z50" i="841"/>
  <c r="X16" i="841"/>
  <c r="X19" i="841"/>
  <c r="Y39" i="841"/>
  <c r="X34" i="841"/>
  <c r="Y23" i="841"/>
  <c r="Z16" i="841"/>
  <c r="X5" i="841"/>
  <c r="Y50" i="841"/>
  <c r="Z19" i="841"/>
  <c r="Y11" i="841"/>
  <c r="X43" i="841"/>
  <c r="Z40" i="841"/>
  <c r="Y31" i="841"/>
  <c r="X52" i="841"/>
  <c r="Y16" i="841"/>
  <c r="Y28" i="841"/>
  <c r="Z9" i="841"/>
  <c r="Y46" i="841"/>
  <c r="Z20" i="841"/>
  <c r="Y48" i="841"/>
  <c r="Y15" i="841"/>
  <c r="Y53" i="841"/>
  <c r="Z53" i="841"/>
  <c r="Z46" i="841"/>
  <c r="X15" i="841"/>
  <c r="Z14" i="841"/>
  <c r="Y27" i="841"/>
  <c r="P7" i="585"/>
  <c r="P5" i="585"/>
  <c r="O7" i="585"/>
  <c r="P6" i="585"/>
  <c r="O5" i="585"/>
  <c r="O8" i="585"/>
  <c r="P8" i="585"/>
  <c r="O6" i="585"/>
  <c r="E13" i="842"/>
  <c r="G4" i="450"/>
  <c r="F4" i="450"/>
  <c r="H4" i="450"/>
  <c r="E6" i="842"/>
  <c r="E7" i="842"/>
  <c r="E8" i="842"/>
  <c r="S50" i="843"/>
  <c r="T52" i="843"/>
  <c r="U48" i="843"/>
  <c r="T49" i="843"/>
  <c r="U49" i="843"/>
  <c r="S52" i="843"/>
  <c r="U47" i="843"/>
  <c r="T48" i="843"/>
  <c r="V52" i="843"/>
  <c r="U50" i="843"/>
  <c r="S48" i="843"/>
  <c r="V47" i="843"/>
  <c r="U51" i="843"/>
  <c r="V51" i="843"/>
  <c r="S46" i="843"/>
  <c r="U46" i="843"/>
  <c r="S51" i="843"/>
  <c r="U52" i="843"/>
  <c r="V46" i="843"/>
  <c r="V49" i="843"/>
  <c r="V50" i="843"/>
  <c r="S49" i="843"/>
  <c r="T46" i="843"/>
  <c r="T51" i="843"/>
  <c r="S47" i="843"/>
  <c r="V48" i="843"/>
  <c r="T50" i="843"/>
  <c r="T47" i="843"/>
  <c r="C88" i="843"/>
  <c r="E61" i="843"/>
  <c r="E60" i="843"/>
  <c r="J17" i="448"/>
  <c r="J18" i="448"/>
  <c r="C71" i="843"/>
  <c r="V4" i="458"/>
  <c r="V5" i="458"/>
  <c r="G14" i="848"/>
  <c r="F14" i="848"/>
  <c r="F18" i="848" s="1"/>
  <c r="H18" i="848" s="1" a="1"/>
  <c r="H18" i="848" s="1"/>
  <c r="G53" i="843"/>
  <c r="F53" i="843"/>
  <c r="H53" i="843"/>
  <c r="C102" i="843"/>
  <c r="G2" i="836"/>
  <c r="I3" i="836"/>
  <c r="I2" i="836"/>
  <c r="G4" i="836"/>
  <c r="H2" i="836"/>
  <c r="G5" i="836"/>
  <c r="H3" i="836"/>
  <c r="G3" i="836"/>
  <c r="I5" i="836"/>
  <c r="H4" i="836"/>
  <c r="I4" i="836"/>
  <c r="H5" i="836"/>
  <c r="R24" i="211"/>
  <c r="R22" i="211"/>
  <c r="Q23" i="211"/>
  <c r="R21" i="211"/>
  <c r="Q24" i="211"/>
  <c r="Q22" i="211"/>
  <c r="R23" i="211"/>
  <c r="Q21" i="211"/>
  <c r="O40" i="834"/>
  <c r="C55" i="843"/>
  <c r="C100" i="843"/>
  <c r="Q5" i="805"/>
  <c r="Q4" i="805"/>
  <c r="L17" i="843"/>
  <c r="C80" i="843"/>
  <c r="Q35" i="843"/>
  <c r="E80" i="843"/>
  <c r="E81" i="843"/>
  <c r="C67" i="843"/>
  <c r="Q5" i="448"/>
  <c r="Q7" i="448"/>
  <c r="Q8" i="448"/>
  <c r="Q6" i="448"/>
  <c r="U6" i="450"/>
  <c r="S11" i="450"/>
  <c r="T9" i="450"/>
  <c r="S8" i="450"/>
  <c r="T4" i="450"/>
  <c r="S6" i="450"/>
  <c r="T6" i="450"/>
  <c r="V9" i="450"/>
  <c r="T8" i="450"/>
  <c r="T3" i="450"/>
  <c r="T7" i="450"/>
  <c r="S3" i="450"/>
  <c r="T10" i="450"/>
  <c r="V6" i="450"/>
  <c r="V10" i="450"/>
  <c r="U5" i="450"/>
  <c r="S4" i="450"/>
  <c r="V5" i="450"/>
  <c r="T11" i="450"/>
  <c r="S9" i="450"/>
  <c r="U8" i="450"/>
  <c r="V4" i="450"/>
  <c r="U4" i="450"/>
  <c r="U3" i="450"/>
  <c r="V3" i="450"/>
  <c r="V8" i="450"/>
  <c r="V7" i="450"/>
  <c r="S7" i="450"/>
  <c r="U11" i="450"/>
  <c r="U10" i="450"/>
  <c r="S5" i="450"/>
  <c r="U7" i="450"/>
  <c r="V11" i="450"/>
  <c r="S10" i="450"/>
  <c r="U9" i="450"/>
  <c r="T5" i="450"/>
  <c r="AC27" i="842"/>
  <c r="AD25" i="842"/>
  <c r="AB38" i="842"/>
  <c r="AD18" i="842"/>
  <c r="AB31" i="842"/>
  <c r="AD9" i="842"/>
  <c r="AB10" i="842"/>
  <c r="AB35" i="842"/>
  <c r="AD43" i="842"/>
  <c r="AC17" i="842"/>
  <c r="AD23" i="842"/>
  <c r="AC23" i="842"/>
  <c r="AB16" i="842"/>
  <c r="AB11" i="842"/>
  <c r="AD11" i="842"/>
  <c r="AB22" i="842"/>
  <c r="AB36" i="842"/>
  <c r="AC42" i="842"/>
  <c r="AC48" i="842"/>
  <c r="AD40" i="842"/>
  <c r="AD35" i="842"/>
  <c r="AC28" i="842"/>
  <c r="AD27" i="842"/>
  <c r="AB20" i="842"/>
  <c r="AB27" i="842"/>
  <c r="AC14" i="842"/>
  <c r="AC29" i="842"/>
  <c r="AD39" i="842"/>
  <c r="AC37" i="842"/>
  <c r="AD24" i="842"/>
  <c r="AC9" i="842"/>
  <c r="AD49" i="842"/>
  <c r="AC50" i="842"/>
  <c r="AB39" i="842"/>
  <c r="AD41" i="842"/>
  <c r="AC38" i="842"/>
  <c r="AD52" i="842"/>
  <c r="AB6" i="842"/>
  <c r="AC31" i="842"/>
  <c r="AC45" i="842"/>
  <c r="AD45" i="842"/>
  <c r="AB15" i="842"/>
  <c r="AC49" i="842"/>
  <c r="AD6" i="842"/>
  <c r="AB13" i="842"/>
  <c r="AB9" i="842"/>
  <c r="AD53" i="842"/>
  <c r="AB46" i="842"/>
  <c r="AC40" i="842"/>
  <c r="AD50" i="842"/>
  <c r="AC25" i="842"/>
  <c r="AD31" i="842"/>
  <c r="AB34" i="842"/>
  <c r="AD26" i="842"/>
  <c r="AD21" i="842"/>
  <c r="AB14" i="842"/>
  <c r="AB8" i="842"/>
  <c r="AD47" i="842"/>
  <c r="AB48" i="842"/>
  <c r="AC35" i="842"/>
  <c r="AD29" i="842"/>
  <c r="AC18" i="842"/>
  <c r="AD8" i="842"/>
  <c r="AB26" i="842"/>
  <c r="AD15" i="842"/>
  <c r="AB33" i="842"/>
  <c r="AD7" i="842"/>
  <c r="AD36" i="842"/>
  <c r="AD33" i="842"/>
  <c r="AB29" i="842"/>
  <c r="AD10" i="842"/>
  <c r="AB51" i="842"/>
  <c r="AB40" i="842"/>
  <c r="AD16" i="842"/>
  <c r="AC52" i="842"/>
  <c r="AD32" i="842"/>
  <c r="AB47" i="842"/>
  <c r="AB24" i="842"/>
  <c r="AC43" i="842"/>
  <c r="AD38" i="842"/>
  <c r="AB45" i="842"/>
  <c r="AD51" i="842"/>
  <c r="AC44" i="842"/>
  <c r="AC39" i="842"/>
  <c r="AB32" i="842"/>
  <c r="AD13" i="842"/>
  <c r="AC22" i="842"/>
  <c r="AD14" i="842"/>
  <c r="AB21" i="842"/>
  <c r="AD19" i="842"/>
  <c r="AC12" i="842"/>
  <c r="AC7" i="842"/>
  <c r="AB19" i="842"/>
  <c r="AC8" i="842"/>
  <c r="AC26" i="842"/>
  <c r="AC19" i="842"/>
  <c r="AB7" i="842"/>
  <c r="AC33" i="842"/>
  <c r="AD44" i="842"/>
  <c r="AC32" i="842"/>
  <c r="AC36" i="842"/>
  <c r="AD12" i="842"/>
  <c r="AD20" i="842"/>
  <c r="AC51" i="842"/>
  <c r="AD30" i="842"/>
  <c r="AD28" i="842"/>
  <c r="AC30" i="842"/>
  <c r="AC13" i="842"/>
  <c r="AC20" i="842"/>
  <c r="AB28" i="842"/>
  <c r="AB25" i="842"/>
  <c r="AB53" i="842"/>
  <c r="AD42" i="842"/>
  <c r="AB43" i="842"/>
  <c r="AC53" i="842"/>
  <c r="AC46" i="842"/>
  <c r="AD22" i="842"/>
  <c r="AB44" i="842"/>
  <c r="AD48" i="842"/>
  <c r="AD34" i="842"/>
  <c r="AC34" i="842"/>
  <c r="AD17" i="842"/>
  <c r="AC10" i="842"/>
  <c r="AC47" i="842"/>
  <c r="AB49" i="842"/>
  <c r="AB52" i="842"/>
  <c r="AB37" i="842"/>
  <c r="AB23" i="842"/>
  <c r="AC15" i="842"/>
  <c r="AB50" i="842"/>
  <c r="AC16" i="842"/>
  <c r="AB17" i="842"/>
  <c r="AC6" i="842"/>
  <c r="AD37" i="842"/>
  <c r="AB42" i="842"/>
  <c r="AD5" i="842"/>
  <c r="AC41" i="842"/>
  <c r="AB12" i="842"/>
  <c r="AC5" i="842"/>
  <c r="AB41" i="842"/>
  <c r="AB18" i="842"/>
  <c r="AC24" i="842"/>
  <c r="AC11" i="842"/>
  <c r="AB30" i="842"/>
  <c r="AD46" i="842"/>
  <c r="AB5" i="842"/>
  <c r="AC21" i="842"/>
  <c r="E6" i="450"/>
  <c r="E5" i="450"/>
  <c r="F5" i="778"/>
  <c r="F4" i="778"/>
  <c r="Q39" i="843"/>
  <c r="C82" i="843"/>
  <c r="C56" i="843"/>
  <c r="L4" i="448"/>
  <c r="K4" i="448"/>
  <c r="M4" i="448"/>
  <c r="C66" i="843"/>
  <c r="J6" i="448"/>
  <c r="J5" i="448"/>
  <c r="F5" i="801"/>
  <c r="F4" i="801"/>
  <c r="E49" i="843"/>
  <c r="E48" i="843"/>
  <c r="C97" i="843"/>
  <c r="F13" i="586"/>
  <c r="F11" i="586"/>
  <c r="F7" i="586"/>
  <c r="F8" i="586"/>
  <c r="F9" i="586"/>
  <c r="D12" i="586"/>
  <c r="E8" i="586"/>
  <c r="E12" i="586"/>
  <c r="E6" i="586"/>
  <c r="F5" i="586"/>
  <c r="D10" i="586"/>
  <c r="D7" i="586"/>
  <c r="E15" i="586"/>
  <c r="E11" i="586"/>
  <c r="D11" i="586"/>
  <c r="F6" i="586"/>
  <c r="E13" i="586"/>
  <c r="D5" i="586"/>
  <c r="E9" i="586"/>
  <c r="F14" i="586"/>
  <c r="D9" i="586"/>
  <c r="D6" i="586"/>
  <c r="D13" i="586"/>
  <c r="E10" i="586"/>
  <c r="D8" i="586"/>
  <c r="F12" i="586"/>
  <c r="D14" i="586"/>
  <c r="E5" i="586"/>
  <c r="E14" i="586"/>
  <c r="E7" i="586"/>
  <c r="F10" i="586"/>
  <c r="F15" i="586"/>
  <c r="D15" i="586"/>
  <c r="R6" i="805"/>
  <c r="R7" i="805"/>
  <c r="Q27" i="843"/>
  <c r="Y74" i="843"/>
  <c r="AC10" i="458"/>
  <c r="AC6" i="458"/>
  <c r="AC9" i="458"/>
  <c r="AC5" i="458"/>
  <c r="AC12" i="458"/>
  <c r="AC11" i="458"/>
  <c r="AC8" i="458"/>
  <c r="AC7" i="458"/>
  <c r="F6" i="848"/>
  <c r="G6" i="848"/>
  <c r="C45" i="843"/>
  <c r="E101" i="843"/>
  <c r="E100" i="843"/>
  <c r="E9" i="848"/>
  <c r="E7" i="848"/>
  <c r="G7" i="848" s="1"/>
  <c r="E10" i="848"/>
  <c r="G10" i="848" s="1"/>
  <c r="E8" i="848"/>
  <c r="O56" i="843"/>
  <c r="C101" i="843"/>
  <c r="N9" i="807"/>
  <c r="N7" i="807"/>
  <c r="N6" i="807"/>
  <c r="N12" i="807"/>
  <c r="N10" i="807"/>
  <c r="N11" i="807"/>
  <c r="N5" i="807"/>
  <c r="N8" i="807"/>
  <c r="Q41" i="843"/>
  <c r="G87" i="843"/>
  <c r="F87" i="843"/>
  <c r="H87" i="843"/>
  <c r="K13" i="824"/>
  <c r="K18" i="824"/>
  <c r="P12" i="824"/>
  <c r="I14" i="824"/>
  <c r="I18" i="824"/>
  <c r="N17" i="824"/>
  <c r="I19" i="824"/>
  <c r="K17" i="824"/>
  <c r="N21" i="824"/>
  <c r="G15" i="824"/>
  <c r="O13" i="824"/>
  <c r="K21" i="824"/>
  <c r="L22" i="824"/>
  <c r="H14" i="824"/>
  <c r="K12" i="824"/>
  <c r="K14" i="824"/>
  <c r="G19" i="824"/>
  <c r="J13" i="824"/>
  <c r="N22" i="824"/>
  <c r="O15" i="824"/>
  <c r="H20" i="824"/>
  <c r="L12" i="824"/>
  <c r="P21" i="824"/>
  <c r="P16" i="824"/>
  <c r="O22" i="824"/>
  <c r="M19" i="824"/>
  <c r="N14" i="824"/>
  <c r="K15" i="824"/>
  <c r="N20" i="824"/>
  <c r="M22" i="824"/>
  <c r="J19" i="824"/>
  <c r="H19" i="824"/>
  <c r="L14" i="824"/>
  <c r="J14" i="824"/>
  <c r="K22" i="824"/>
  <c r="N12" i="824"/>
  <c r="G20" i="824"/>
  <c r="M14" i="824"/>
  <c r="M12" i="824"/>
  <c r="H15" i="824"/>
  <c r="G22" i="824"/>
  <c r="J20" i="824"/>
  <c r="K19" i="824"/>
  <c r="P22" i="824"/>
  <c r="I21" i="824"/>
  <c r="L19" i="824"/>
  <c r="O20" i="824"/>
  <c r="H22" i="824"/>
  <c r="K20" i="824"/>
  <c r="N18" i="824"/>
  <c r="I22" i="824"/>
  <c r="H21" i="824"/>
  <c r="P17" i="824"/>
  <c r="P14" i="824"/>
  <c r="G17" i="824"/>
  <c r="M16" i="824"/>
  <c r="O21" i="824"/>
  <c r="H12" i="824"/>
  <c r="L18" i="824"/>
  <c r="H16" i="824"/>
  <c r="J17" i="824"/>
  <c r="P13" i="824"/>
  <c r="L16" i="824"/>
  <c r="H13" i="824"/>
  <c r="N15" i="824"/>
  <c r="J12" i="824"/>
  <c r="J21" i="824"/>
  <c r="G13" i="824"/>
  <c r="J22" i="824"/>
  <c r="M20" i="824"/>
  <c r="I15" i="824"/>
  <c r="O17" i="824"/>
  <c r="M13" i="824"/>
  <c r="I16" i="824"/>
  <c r="M17" i="824"/>
  <c r="O18" i="824"/>
  <c r="O16" i="824"/>
  <c r="G18" i="824"/>
  <c r="G21" i="824"/>
  <c r="I17" i="824"/>
  <c r="L17" i="824"/>
  <c r="H18" i="824"/>
  <c r="G12" i="824"/>
  <c r="P20" i="824"/>
  <c r="O19" i="824"/>
  <c r="M21" i="824"/>
  <c r="M18" i="824"/>
  <c r="L21" i="824"/>
  <c r="P15" i="824"/>
  <c r="M15" i="824"/>
  <c r="G16" i="824"/>
  <c r="O14" i="824"/>
  <c r="I12" i="824"/>
  <c r="G14" i="824"/>
  <c r="N13" i="824"/>
  <c r="K16" i="824"/>
  <c r="J15" i="824"/>
  <c r="P19" i="824"/>
  <c r="J16" i="824"/>
  <c r="I13" i="824"/>
  <c r="N16" i="824"/>
  <c r="L20" i="824"/>
  <c r="P18" i="824"/>
  <c r="I20" i="824"/>
  <c r="H17" i="824"/>
  <c r="L15" i="824"/>
  <c r="N19" i="824"/>
  <c r="J18" i="824"/>
  <c r="O12" i="824"/>
  <c r="L13" i="824"/>
  <c r="R7" i="816"/>
  <c r="Q9" i="816"/>
  <c r="R8" i="816"/>
  <c r="R9" i="816"/>
  <c r="R6" i="816"/>
  <c r="Q8" i="816"/>
  <c r="Q7" i="816"/>
  <c r="Q6" i="816"/>
  <c r="O28" i="834"/>
  <c r="C54" i="843"/>
  <c r="C98" i="843"/>
  <c r="L14" i="843"/>
  <c r="C77" i="843"/>
  <c r="Q32" i="843"/>
  <c r="C78" i="843"/>
  <c r="C62" i="843"/>
  <c r="S11" i="844"/>
  <c r="S12" i="844"/>
  <c r="L16" i="843"/>
  <c r="F67" i="843"/>
  <c r="H67" i="843"/>
  <c r="G67" i="843"/>
  <c r="R10" i="844"/>
  <c r="R9" i="844"/>
  <c r="R8" i="844"/>
  <c r="G6" i="778"/>
  <c r="G7" i="778"/>
  <c r="Q34" i="843"/>
  <c r="C95" i="843"/>
  <c r="H10" i="778"/>
  <c r="H8" i="778"/>
  <c r="H9" i="778"/>
  <c r="C50" i="843"/>
  <c r="C94" i="843"/>
  <c r="Q26" i="843"/>
  <c r="C79" i="843"/>
  <c r="C49" i="843"/>
  <c r="H93" i="843"/>
  <c r="G93" i="843"/>
  <c r="F93" i="843"/>
  <c r="T8" i="843"/>
  <c r="V11" i="843"/>
  <c r="T6" i="843"/>
  <c r="V9" i="843"/>
  <c r="U6" i="843"/>
  <c r="T5" i="843"/>
  <c r="U7" i="843"/>
  <c r="U8" i="843"/>
  <c r="V8" i="843"/>
  <c r="V10" i="843"/>
  <c r="T9" i="843"/>
  <c r="S9" i="843"/>
  <c r="T7" i="843"/>
  <c r="S10" i="843"/>
  <c r="U11" i="843"/>
  <c r="U9" i="843"/>
  <c r="S6" i="843"/>
  <c r="S8" i="843"/>
  <c r="T10" i="843"/>
  <c r="V5" i="843"/>
  <c r="S11" i="843"/>
  <c r="S7" i="843"/>
  <c r="S5" i="843"/>
  <c r="V7" i="843"/>
  <c r="U5" i="843"/>
  <c r="V6" i="843"/>
  <c r="T11" i="843"/>
  <c r="U10" i="843"/>
  <c r="C70" i="843"/>
  <c r="W7" i="459"/>
  <c r="W6" i="459"/>
  <c r="F18" i="843"/>
  <c r="H18" i="843"/>
  <c r="G18" i="843"/>
  <c r="E75" i="843"/>
  <c r="E74" i="843"/>
  <c r="V4" i="459"/>
  <c r="V5" i="459"/>
  <c r="C57" i="843"/>
  <c r="E11" i="450"/>
  <c r="E12" i="450"/>
  <c r="H16" i="450"/>
  <c r="F16" i="450"/>
  <c r="G16" i="450"/>
  <c r="G7" i="801"/>
  <c r="G6" i="801"/>
  <c r="Q42" i="843"/>
  <c r="C86" i="843"/>
  <c r="C59" i="843"/>
  <c r="M10" i="448"/>
  <c r="L10" i="448"/>
  <c r="K10" i="448"/>
  <c r="E69" i="843"/>
  <c r="E68" i="843"/>
  <c r="J12" i="448"/>
  <c r="J11" i="448"/>
  <c r="C51" i="843"/>
  <c r="H99" i="843"/>
  <c r="G99" i="843"/>
  <c r="F99" i="843"/>
  <c r="E53" i="837"/>
  <c r="E52" i="837"/>
  <c r="F52" i="837"/>
  <c r="F51" i="837"/>
  <c r="F53" i="837"/>
  <c r="E51" i="837"/>
  <c r="F50" i="837"/>
  <c r="E50" i="837"/>
  <c r="O45" i="834"/>
  <c r="E14" i="843"/>
  <c r="E13" i="843"/>
  <c r="T70" i="843"/>
  <c r="V66" i="843"/>
  <c r="S72" i="843"/>
  <c r="U69" i="843"/>
  <c r="U67" i="843"/>
  <c r="U66" i="843"/>
  <c r="U70" i="843"/>
  <c r="T67" i="843"/>
  <c r="S70" i="843"/>
  <c r="T71" i="843"/>
  <c r="T68" i="843"/>
  <c r="U71" i="843"/>
  <c r="V69" i="843"/>
  <c r="V67" i="843"/>
  <c r="V72" i="843"/>
  <c r="V70" i="843"/>
  <c r="S71" i="843"/>
  <c r="S68" i="843"/>
  <c r="S69" i="843"/>
  <c r="S67" i="843"/>
  <c r="U72" i="843"/>
  <c r="T69" i="843"/>
  <c r="T72" i="843"/>
  <c r="V71" i="843"/>
  <c r="S66" i="843"/>
  <c r="V68" i="843"/>
  <c r="U68" i="843"/>
  <c r="T66" i="843"/>
  <c r="H8" i="806"/>
  <c r="H9" i="806"/>
  <c r="H10" i="806"/>
  <c r="Q31" i="843"/>
  <c r="C92" i="843"/>
  <c r="F5" i="807"/>
  <c r="F4" i="807"/>
  <c r="C48" i="843"/>
  <c r="C89" i="843"/>
  <c r="L18" i="843"/>
  <c r="L75" i="843"/>
  <c r="X9" i="459"/>
  <c r="X8" i="459"/>
  <c r="G7" i="806"/>
  <c r="G6" i="806"/>
  <c r="Q36" i="843"/>
  <c r="G79" i="843"/>
  <c r="F79" i="843"/>
  <c r="H79" i="843"/>
  <c r="AC8" i="459"/>
  <c r="AC7" i="459"/>
  <c r="AC6" i="459"/>
  <c r="AC9" i="459"/>
  <c r="AC5" i="459"/>
  <c r="AC12" i="459"/>
  <c r="AC11" i="459"/>
  <c r="AC10" i="459"/>
  <c r="E55" i="843"/>
  <c r="E54" i="843"/>
  <c r="G23" i="844"/>
  <c r="J15" i="844"/>
  <c r="N12" i="844"/>
  <c r="H5" i="844"/>
  <c r="N30" i="844"/>
  <c r="G4" i="844"/>
  <c r="F3" i="844"/>
  <c r="F35" i="844"/>
  <c r="F32" i="844"/>
  <c r="M39" i="844"/>
  <c r="H19" i="844"/>
  <c r="H9" i="844"/>
  <c r="L29" i="844"/>
  <c r="N15" i="844"/>
  <c r="F37" i="844"/>
  <c r="J5" i="844"/>
  <c r="N25" i="844"/>
  <c r="O11" i="844"/>
  <c r="J32" i="844"/>
  <c r="L6" i="844"/>
  <c r="G27" i="844"/>
  <c r="F8" i="844"/>
  <c r="L28" i="844"/>
  <c r="L33" i="844"/>
  <c r="O15" i="844"/>
  <c r="H37" i="844"/>
  <c r="O19" i="844"/>
  <c r="L3" i="844"/>
  <c r="O23" i="844"/>
  <c r="F10" i="844"/>
  <c r="J30" i="844"/>
  <c r="F14" i="844"/>
  <c r="N34" i="844"/>
  <c r="M24" i="844"/>
  <c r="I22" i="844"/>
  <c r="N5" i="844"/>
  <c r="I26" i="844"/>
  <c r="N9" i="844"/>
  <c r="I30" i="844"/>
  <c r="J16" i="844"/>
  <c r="N37" i="844"/>
  <c r="J20" i="844"/>
  <c r="G3" i="844"/>
  <c r="I3" i="844"/>
  <c r="L23" i="844"/>
  <c r="H12" i="844"/>
  <c r="M32" i="844"/>
  <c r="H16" i="844"/>
  <c r="L37" i="844"/>
  <c r="N22" i="844"/>
  <c r="I6" i="844"/>
  <c r="N26" i="844"/>
  <c r="J14" i="844"/>
  <c r="H7" i="844"/>
  <c r="M12" i="844"/>
  <c r="J4" i="844"/>
  <c r="J12" i="844"/>
  <c r="N17" i="844"/>
  <c r="F30" i="844"/>
  <c r="H39" i="844"/>
  <c r="L14" i="844"/>
  <c r="G35" i="844"/>
  <c r="G12" i="844"/>
  <c r="O24" i="844"/>
  <c r="M37" i="844"/>
  <c r="G13" i="844"/>
  <c r="O25" i="844"/>
  <c r="M38" i="844"/>
  <c r="O14" i="844"/>
  <c r="M27" i="844"/>
  <c r="F19" i="844"/>
  <c r="O4" i="844"/>
  <c r="K22" i="844"/>
  <c r="I39" i="844"/>
  <c r="M18" i="844"/>
  <c r="I36" i="844"/>
  <c r="K16" i="844"/>
  <c r="I33" i="844"/>
  <c r="K10" i="844"/>
  <c r="I27" i="844"/>
  <c r="K11" i="844"/>
  <c r="I28" i="844"/>
  <c r="I9" i="844"/>
  <c r="G26" i="844"/>
  <c r="K33" i="844"/>
  <c r="G16" i="844"/>
  <c r="O32" i="844"/>
  <c r="I12" i="844"/>
  <c r="O29" i="844"/>
  <c r="G10" i="844"/>
  <c r="O26" i="844"/>
  <c r="I34" i="844"/>
  <c r="O16" i="844"/>
  <c r="M33" i="844"/>
  <c r="O13" i="844"/>
  <c r="M30" i="844"/>
  <c r="O10" i="844"/>
  <c r="K28" i="844"/>
  <c r="L36" i="844"/>
  <c r="L25" i="844"/>
  <c r="L20" i="844"/>
  <c r="H35" i="844"/>
  <c r="F26" i="844"/>
  <c r="I10" i="844"/>
  <c r="F31" i="844"/>
  <c r="H22" i="844"/>
  <c r="M16" i="844"/>
  <c r="H32" i="844"/>
  <c r="I18" i="844"/>
  <c r="F13" i="844"/>
  <c r="F21" i="844"/>
  <c r="L9" i="844"/>
  <c r="N35" i="844"/>
  <c r="F29" i="844"/>
  <c r="H20" i="844"/>
  <c r="N8" i="844"/>
  <c r="J6" i="844"/>
  <c r="F12" i="844"/>
  <c r="N38" i="844"/>
  <c r="J31" i="844"/>
  <c r="F20" i="844"/>
  <c r="H11" i="844"/>
  <c r="F5" i="844"/>
  <c r="L30" i="844"/>
  <c r="N29" i="844"/>
  <c r="M28" i="844"/>
  <c r="J22" i="844"/>
  <c r="G11" i="844"/>
  <c r="J7" i="844"/>
  <c r="F33" i="844"/>
  <c r="L21" i="844"/>
  <c r="N19" i="844"/>
  <c r="N3" i="844"/>
  <c r="J35" i="844"/>
  <c r="N32" i="844"/>
  <c r="K29" i="844"/>
  <c r="K17" i="844"/>
  <c r="L7" i="844"/>
  <c r="M5" i="844"/>
  <c r="M21" i="844"/>
  <c r="K3" i="844"/>
  <c r="K19" i="844"/>
  <c r="K35" i="844"/>
  <c r="G18" i="844"/>
  <c r="G34" i="844"/>
  <c r="O39" i="844"/>
  <c r="K26" i="844"/>
  <c r="M10" i="844"/>
  <c r="K31" i="844"/>
  <c r="K20" i="844"/>
  <c r="M36" i="844"/>
  <c r="I23" i="844"/>
  <c r="K15" i="844"/>
  <c r="G37" i="844"/>
  <c r="G22" i="844"/>
  <c r="K37" i="844"/>
  <c r="G24" i="844"/>
  <c r="I8" i="844"/>
  <c r="O33" i="844"/>
  <c r="O18" i="844"/>
  <c r="L18" i="844"/>
  <c r="O20" i="844"/>
  <c r="G5" i="844"/>
  <c r="M26" i="844"/>
  <c r="M15" i="844"/>
  <c r="K36" i="844"/>
  <c r="J24" i="844"/>
  <c r="H14" i="844"/>
  <c r="N39" i="844"/>
  <c r="I14" i="844"/>
  <c r="K5" i="844"/>
  <c r="G31" i="844"/>
  <c r="J10" i="844"/>
  <c r="N36" i="844"/>
  <c r="H27" i="844"/>
  <c r="N11" i="844"/>
  <c r="J38" i="844"/>
  <c r="J23" i="844"/>
  <c r="L19" i="844"/>
  <c r="H26" i="844"/>
  <c r="N14" i="844"/>
  <c r="L8" i="844"/>
  <c r="J34" i="844"/>
  <c r="J25" i="844"/>
  <c r="G19" i="844"/>
  <c r="H18" i="844"/>
  <c r="H17" i="844"/>
  <c r="F11" i="844"/>
  <c r="J37" i="844"/>
  <c r="H25" i="844"/>
  <c r="K21" i="844"/>
  <c r="H10" i="844"/>
  <c r="J36" i="844"/>
  <c r="H8" i="844"/>
  <c r="F34" i="844"/>
  <c r="L27" i="844"/>
  <c r="J21" i="844"/>
  <c r="L12" i="844"/>
  <c r="J39" i="844"/>
  <c r="O31" i="844"/>
  <c r="J3" i="844"/>
  <c r="F24" i="844"/>
  <c r="N24" i="844"/>
  <c r="M8" i="844"/>
  <c r="K9" i="844"/>
  <c r="N13" i="844"/>
  <c r="L35" i="844"/>
  <c r="O8" i="844"/>
  <c r="G28" i="844"/>
  <c r="M6" i="844"/>
  <c r="M22" i="844"/>
  <c r="I5" i="844"/>
  <c r="I21" i="844"/>
  <c r="I37" i="844"/>
  <c r="M9" i="844"/>
  <c r="K30" i="844"/>
  <c r="M14" i="844"/>
  <c r="M3" i="844"/>
  <c r="I25" i="844"/>
  <c r="K6" i="844"/>
  <c r="G32" i="844"/>
  <c r="I20" i="844"/>
  <c r="K4" i="844"/>
  <c r="G30" i="844"/>
  <c r="I7" i="844"/>
  <c r="O28" i="844"/>
  <c r="G17" i="844"/>
  <c r="O37" i="844"/>
  <c r="O22" i="844"/>
  <c r="G39" i="844"/>
  <c r="M25" i="844"/>
  <c r="G9" i="844"/>
  <c r="M34" i="844"/>
  <c r="M19" i="844"/>
  <c r="F4" i="844"/>
  <c r="J33" i="844"/>
  <c r="H38" i="844"/>
  <c r="J19" i="844"/>
  <c r="L10" i="844"/>
  <c r="F9" i="844"/>
  <c r="L15" i="844"/>
  <c r="N6" i="844"/>
  <c r="L38" i="844"/>
  <c r="N16" i="844"/>
  <c r="H3" i="844"/>
  <c r="N33" i="844"/>
  <c r="L5" i="844"/>
  <c r="H31" i="844"/>
  <c r="F25" i="844"/>
  <c r="L13" i="844"/>
  <c r="N4" i="844"/>
  <c r="H36" i="844"/>
  <c r="H24" i="844"/>
  <c r="H4" i="844"/>
  <c r="J27" i="844"/>
  <c r="F16" i="844"/>
  <c r="M4" i="844"/>
  <c r="F36" i="844"/>
  <c r="L26" i="844"/>
  <c r="H15" i="844"/>
  <c r="H23" i="844"/>
  <c r="J13" i="844"/>
  <c r="G7" i="844"/>
  <c r="F39" i="844"/>
  <c r="J26" i="844"/>
  <c r="L17" i="844"/>
  <c r="J11" i="844"/>
  <c r="F38" i="844"/>
  <c r="N23" i="844"/>
  <c r="H33" i="844"/>
  <c r="J8" i="844"/>
  <c r="H29" i="844"/>
  <c r="K13" i="844"/>
  <c r="L34" i="844"/>
  <c r="F28" i="844"/>
  <c r="I15" i="844"/>
  <c r="I31" i="844"/>
  <c r="O9" i="844"/>
  <c r="G29" i="844"/>
  <c r="K8" i="844"/>
  <c r="K24" i="844"/>
  <c r="L22" i="844"/>
  <c r="M13" i="844"/>
  <c r="I35" i="844"/>
  <c r="K23" i="844"/>
  <c r="M7" i="844"/>
  <c r="I29" i="844"/>
  <c r="K14" i="844"/>
  <c r="G36" i="844"/>
  <c r="I24" i="844"/>
  <c r="I13" i="844"/>
  <c r="O34" i="844"/>
  <c r="I11" i="844"/>
  <c r="O36" i="844"/>
  <c r="G21" i="844"/>
  <c r="G6" i="844"/>
  <c r="M31" i="844"/>
  <c r="G8" i="844"/>
  <c r="M29" i="844"/>
  <c r="O17" i="844"/>
  <c r="K39" i="844"/>
  <c r="M23" i="844"/>
  <c r="L24" i="844"/>
  <c r="F17" i="844"/>
  <c r="F18" i="844"/>
  <c r="N18" i="844"/>
  <c r="F7" i="844"/>
  <c r="H6" i="844"/>
  <c r="J18" i="844"/>
  <c r="O27" i="844"/>
  <c r="J28" i="844"/>
  <c r="F23" i="844"/>
  <c r="I16" i="844"/>
  <c r="O35" i="844"/>
  <c r="K12" i="844"/>
  <c r="G33" i="844"/>
  <c r="I4" i="844"/>
  <c r="O12" i="844"/>
  <c r="K32" i="844"/>
  <c r="N21" i="844"/>
  <c r="N20" i="844"/>
  <c r="H28" i="844"/>
  <c r="N10" i="844"/>
  <c r="G15" i="844"/>
  <c r="L32" i="844"/>
  <c r="N31" i="844"/>
  <c r="J17" i="844"/>
  <c r="L16" i="844"/>
  <c r="N28" i="844"/>
  <c r="I38" i="844"/>
  <c r="I32" i="844"/>
  <c r="M17" i="844"/>
  <c r="G38" i="844"/>
  <c r="I17" i="844"/>
  <c r="G25" i="844"/>
  <c r="K38" i="844"/>
  <c r="L11" i="844"/>
  <c r="F27" i="844"/>
  <c r="F22" i="844"/>
  <c r="L4" i="844"/>
  <c r="O3" i="844"/>
  <c r="H21" i="844"/>
  <c r="K25" i="844"/>
  <c r="F6" i="844"/>
  <c r="O7" i="844"/>
  <c r="L39" i="844"/>
  <c r="K18" i="844"/>
  <c r="M11" i="844"/>
  <c r="O5" i="844"/>
  <c r="I19" i="844"/>
  <c r="O38" i="844"/>
  <c r="G14" i="844"/>
  <c r="O21" i="844"/>
  <c r="N7" i="844"/>
  <c r="M20" i="844"/>
  <c r="H13" i="844"/>
  <c r="H30" i="844"/>
  <c r="J29" i="844"/>
  <c r="F15" i="844"/>
  <c r="J9" i="844"/>
  <c r="L31" i="844"/>
  <c r="N27" i="844"/>
  <c r="H34" i="844"/>
  <c r="K34" i="844"/>
  <c r="O30" i="844"/>
  <c r="K27" i="844"/>
  <c r="K7" i="844"/>
  <c r="G20" i="844"/>
  <c r="M35" i="844"/>
  <c r="O6" i="844"/>
  <c r="C61" i="843"/>
  <c r="F4" i="806"/>
  <c r="F5" i="806"/>
  <c r="C47" i="843"/>
  <c r="C93" i="843"/>
  <c r="O41" i="834"/>
  <c r="F7" i="584"/>
  <c r="F5" i="584"/>
  <c r="G7" i="584"/>
  <c r="F8" i="584"/>
  <c r="G6" i="584"/>
  <c r="G5" i="584"/>
  <c r="F6" i="584"/>
  <c r="G8" i="584"/>
  <c r="C58" i="843"/>
  <c r="E21" i="845"/>
  <c r="I7" i="845"/>
  <c r="I12" i="845"/>
  <c r="E8" i="845"/>
  <c r="E16" i="845"/>
  <c r="I4" i="845"/>
  <c r="H9" i="845"/>
  <c r="F8" i="845"/>
  <c r="G13" i="845"/>
  <c r="E15" i="845"/>
  <c r="E11" i="845"/>
  <c r="I11" i="845"/>
  <c r="H4" i="845"/>
  <c r="F6" i="845"/>
  <c r="G17" i="845"/>
  <c r="G6" i="845"/>
  <c r="G21" i="845"/>
  <c r="H16" i="845"/>
  <c r="F11" i="845"/>
  <c r="H21" i="845"/>
  <c r="E6" i="845"/>
  <c r="H11" i="845"/>
  <c r="H13" i="845"/>
  <c r="H7" i="845"/>
  <c r="F7" i="845"/>
  <c r="F9" i="845"/>
  <c r="G10" i="845"/>
  <c r="I10" i="845"/>
  <c r="E4" i="845"/>
  <c r="F20" i="845"/>
  <c r="I14" i="845"/>
  <c r="H20" i="845"/>
  <c r="E5" i="845"/>
  <c r="I20" i="845"/>
  <c r="H14" i="845"/>
  <c r="G3" i="845"/>
  <c r="G9" i="845"/>
  <c r="F16" i="845"/>
  <c r="F15" i="845"/>
  <c r="G12" i="845"/>
  <c r="I15" i="845"/>
  <c r="I21" i="845"/>
  <c r="I16" i="845"/>
  <c r="E10" i="845"/>
  <c r="H18" i="845"/>
  <c r="E12" i="845"/>
  <c r="E14" i="845"/>
  <c r="I17" i="845"/>
  <c r="G11" i="845"/>
  <c r="E17" i="845"/>
  <c r="E9" i="845"/>
  <c r="G19" i="845"/>
  <c r="F10" i="845"/>
  <c r="E7" i="845"/>
  <c r="H17" i="845"/>
  <c r="E3" i="845"/>
  <c r="F14" i="845"/>
  <c r="F18" i="845"/>
  <c r="F4" i="845"/>
  <c r="I18" i="845"/>
  <c r="H5" i="845"/>
  <c r="H15" i="845"/>
  <c r="G7" i="845"/>
  <c r="H19" i="845"/>
  <c r="G20" i="845"/>
  <c r="E20" i="845"/>
  <c r="I6" i="845"/>
  <c r="G14" i="845"/>
  <c r="H8" i="845"/>
  <c r="I3" i="845"/>
  <c r="I8" i="845"/>
  <c r="I13" i="845"/>
  <c r="F17" i="845"/>
  <c r="G4" i="845"/>
  <c r="H12" i="845"/>
  <c r="H6" i="845"/>
  <c r="E13" i="845"/>
  <c r="I9" i="845"/>
  <c r="I19" i="845"/>
  <c r="G5" i="845"/>
  <c r="F3" i="845"/>
  <c r="F19" i="845"/>
  <c r="H10" i="845"/>
  <c r="F5" i="845"/>
  <c r="I5" i="845"/>
  <c r="G8" i="845"/>
  <c r="G15" i="845"/>
  <c r="G18" i="845"/>
  <c r="H3" i="845"/>
  <c r="F12" i="845"/>
  <c r="F21" i="845"/>
  <c r="E19" i="845"/>
  <c r="E18" i="845"/>
  <c r="G16" i="845"/>
  <c r="F13" i="845"/>
  <c r="AC9" i="807"/>
  <c r="AF6" i="807"/>
  <c r="AE5" i="807"/>
  <c r="U10" i="807"/>
  <c r="AG9" i="807"/>
  <c r="AD7" i="807"/>
  <c r="V6" i="807"/>
  <c r="AA4" i="807"/>
  <c r="AD10" i="807"/>
  <c r="AB7" i="807"/>
  <c r="V8" i="807"/>
  <c r="AF9" i="807"/>
  <c r="U8" i="807"/>
  <c r="U6" i="807"/>
  <c r="Z4" i="807"/>
  <c r="V5" i="807"/>
  <c r="AC10" i="807"/>
  <c r="Y8" i="807"/>
  <c r="AI4" i="807"/>
  <c r="AD4" i="807"/>
  <c r="AH6" i="807"/>
  <c r="AH8" i="807"/>
  <c r="AD8" i="807"/>
  <c r="X5" i="807"/>
  <c r="Z9" i="807"/>
  <c r="AH4" i="807"/>
  <c r="AB9" i="807"/>
  <c r="AA6" i="807"/>
  <c r="AH10" i="807"/>
  <c r="AH3" i="807"/>
  <c r="V7" i="807"/>
  <c r="X6" i="807"/>
  <c r="AD3" i="807"/>
  <c r="Y3" i="807"/>
  <c r="AB3" i="807"/>
  <c r="AE3" i="807"/>
  <c r="AI7" i="807"/>
  <c r="Y4" i="807"/>
  <c r="X7" i="807"/>
  <c r="U9" i="807"/>
  <c r="AA7" i="807"/>
  <c r="AB4" i="807"/>
  <c r="V4" i="807"/>
  <c r="AG10" i="807"/>
  <c r="AI10" i="807"/>
  <c r="AA10" i="807"/>
  <c r="X3" i="807"/>
  <c r="AE8" i="807"/>
  <c r="Y5" i="807"/>
  <c r="Z8" i="807"/>
  <c r="AA9" i="807"/>
  <c r="AF5" i="807"/>
  <c r="U3" i="807"/>
  <c r="AC4" i="807"/>
  <c r="W8" i="807"/>
  <c r="AG8" i="807"/>
  <c r="U7" i="807"/>
  <c r="V3" i="807"/>
  <c r="AD6" i="807"/>
  <c r="AF7" i="807"/>
  <c r="Z7" i="807"/>
  <c r="X4" i="807"/>
  <c r="AC5" i="807"/>
  <c r="Y9" i="807"/>
  <c r="AG4" i="807"/>
  <c r="Y6" i="807"/>
  <c r="AE6" i="807"/>
  <c r="AH5" i="807"/>
  <c r="AI8" i="807"/>
  <c r="Z6" i="807"/>
  <c r="Z3" i="807"/>
  <c r="W9" i="807"/>
  <c r="AA5" i="807"/>
  <c r="Y7" i="807"/>
  <c r="AA8" i="807"/>
  <c r="AE10" i="807"/>
  <c r="AG6" i="807"/>
  <c r="AC8" i="807"/>
  <c r="X8" i="807"/>
  <c r="AI3" i="807"/>
  <c r="V9" i="807"/>
  <c r="AH9" i="807"/>
  <c r="AG7" i="807"/>
  <c r="U5" i="807"/>
  <c r="AC7" i="807"/>
  <c r="U4" i="807"/>
  <c r="AD5" i="807"/>
  <c r="AC3" i="807"/>
  <c r="AH7" i="807"/>
  <c r="AF4" i="807"/>
  <c r="AF8" i="807"/>
  <c r="AI9" i="807"/>
  <c r="Z5" i="807"/>
  <c r="X10" i="807"/>
  <c r="AI6" i="807"/>
  <c r="AA3" i="807"/>
  <c r="AC6" i="807"/>
  <c r="Z10" i="807"/>
  <c r="AB10" i="807"/>
  <c r="V10" i="807"/>
  <c r="Y10" i="807"/>
  <c r="AE9" i="807"/>
  <c r="W10" i="807"/>
  <c r="AI5" i="807"/>
  <c r="W3" i="807"/>
  <c r="AF3" i="807"/>
  <c r="AB5" i="807"/>
  <c r="AE7" i="807"/>
  <c r="AB8" i="807"/>
  <c r="AG5" i="807"/>
  <c r="AB6" i="807"/>
  <c r="AD9" i="807"/>
  <c r="AF10" i="807"/>
  <c r="W7" i="807"/>
  <c r="AE4" i="807"/>
  <c r="W6" i="807"/>
  <c r="W5" i="807"/>
  <c r="X9" i="807"/>
  <c r="AG3" i="807"/>
  <c r="W4" i="807"/>
  <c r="Q25" i="843"/>
  <c r="U91" i="843"/>
  <c r="T88" i="843"/>
  <c r="U87" i="843"/>
  <c r="U89" i="843"/>
  <c r="U86" i="843"/>
  <c r="T87" i="843"/>
  <c r="V89" i="843"/>
  <c r="U88" i="843"/>
  <c r="S87" i="843"/>
  <c r="T89" i="843"/>
  <c r="T90" i="843"/>
  <c r="U92" i="843"/>
  <c r="T92" i="843"/>
  <c r="V92" i="843"/>
  <c r="V91" i="843"/>
  <c r="V87" i="843"/>
  <c r="S90" i="843"/>
  <c r="V90" i="843"/>
  <c r="S89" i="843"/>
  <c r="S91" i="843"/>
  <c r="T91" i="843"/>
  <c r="T86" i="843"/>
  <c r="V86" i="843"/>
  <c r="S86" i="843"/>
  <c r="S88" i="843"/>
  <c r="S92" i="843"/>
  <c r="V88" i="843"/>
  <c r="U90" i="843"/>
  <c r="Q38" i="843"/>
  <c r="C85" i="843"/>
  <c r="C69" i="843"/>
  <c r="K16" i="448"/>
  <c r="L16" i="448"/>
  <c r="M16" i="448"/>
  <c r="O26" i="834"/>
  <c r="C52" i="843"/>
  <c r="E94" i="843"/>
  <c r="E95" i="843"/>
  <c r="E7" i="843"/>
  <c r="E8" i="843"/>
  <c r="C74" i="843"/>
  <c r="Q29" i="843"/>
  <c r="C75" i="843"/>
  <c r="C60" i="843"/>
  <c r="Q7" i="844"/>
  <c r="Q6" i="844"/>
  <c r="G18" i="848"/>
  <c r="G17" i="848"/>
  <c r="G24" i="848" a="1"/>
  <c r="G24" i="848" s="1"/>
  <c r="F9" i="848"/>
  <c r="G16" i="848"/>
  <c r="F26" i="848" a="1"/>
  <c r="F26" i="848" s="1"/>
  <c r="G9" i="848"/>
  <c r="H24" i="848" a="1"/>
  <c r="H24" i="848" s="1"/>
  <c r="F7" i="848"/>
  <c r="F17" i="848"/>
  <c r="H17" i="848" s="1" a="1"/>
  <c r="G8" i="848"/>
  <c r="F8" i="848"/>
  <c r="H17" i="848"/>
  <c r="H9" i="848" a="1"/>
  <c r="H8" i="848" a="1"/>
  <c r="P16" i="849"/>
  <c r="P18" i="849"/>
  <c r="V15" i="849"/>
  <c r="X16" i="849"/>
  <c r="Q7" i="849"/>
  <c r="R7" i="849" s="1"/>
  <c r="S7" i="849" s="1"/>
  <c r="N17" i="849"/>
  <c r="H15" i="848" a="1"/>
  <c r="F19" i="848" a="1"/>
  <c r="F11" i="848" a="1"/>
  <c r="H7" i="848" a="1"/>
  <c r="V14" i="849"/>
  <c r="V17" i="849"/>
  <c r="Y5" i="849"/>
  <c r="Z5" i="849" s="1"/>
  <c r="G19" i="848" a="1"/>
  <c r="G11" i="848" a="1"/>
  <c r="F10" i="848" l="1"/>
  <c r="F16" i="848"/>
  <c r="G15" i="848"/>
  <c r="G19" i="848" s="1"/>
  <c r="F24" i="848" a="1"/>
  <c r="F24" i="848" s="1"/>
  <c r="F23" i="848" a="1"/>
  <c r="F23" i="848" s="1"/>
  <c r="K10" i="848" s="1"/>
  <c r="G23" i="848" a="1"/>
  <c r="G23" i="848" s="1"/>
  <c r="H25" i="848" a="1"/>
  <c r="H25" i="848" s="1"/>
  <c r="G25" i="848" a="1"/>
  <c r="G25" i="848" s="1"/>
  <c r="F19" i="848"/>
  <c r="H23" i="848" a="1"/>
  <c r="H23" i="848" s="1"/>
  <c r="H26" i="848" a="1"/>
  <c r="H26" i="848" s="1"/>
  <c r="G26" i="848" a="1"/>
  <c r="G26" i="848" s="1"/>
  <c r="H15" i="848"/>
  <c r="H7" i="848"/>
  <c r="K7" i="848" s="1"/>
  <c r="H8" i="848"/>
  <c r="H9" i="848"/>
  <c r="F11" i="848"/>
  <c r="G11" i="848"/>
  <c r="X15" i="849"/>
  <c r="V13" i="849"/>
  <c r="X14" i="849"/>
  <c r="H19" i="848" a="1"/>
  <c r="H19" i="848" s="1"/>
  <c r="H11" i="848" a="1"/>
  <c r="X17" i="849"/>
  <c r="P17" i="849"/>
  <c r="N15" i="849"/>
  <c r="H16" i="848" l="1" a="1"/>
  <c r="H16" i="848"/>
  <c r="L7" i="848" s="1"/>
  <c r="L8" i="848"/>
  <c r="T8" i="848" s="1"/>
  <c r="H10" i="848" a="1"/>
  <c r="H10" i="848"/>
  <c r="F5" i="848"/>
  <c r="K8" i="848"/>
  <c r="M8" i="848" s="1"/>
  <c r="H11" i="848"/>
  <c r="L11" i="848" s="1"/>
  <c r="T11" i="848" s="1"/>
  <c r="S7" i="848"/>
  <c r="K11" i="848"/>
  <c r="K9" i="848" s="1"/>
  <c r="P15" i="849"/>
  <c r="N13" i="849"/>
  <c r="X13" i="849"/>
  <c r="V19" i="849"/>
  <c r="S8" i="848"/>
  <c r="T7" i="848" l="1"/>
  <c r="M7" i="848"/>
  <c r="L9" i="848"/>
  <c r="L10" i="848" s="1"/>
  <c r="M10" i="848" s="1"/>
  <c r="K16" i="848" s="1"/>
  <c r="M16" i="848" s="1"/>
  <c r="U8" i="848"/>
  <c r="S18" i="848" s="1"/>
  <c r="U7" i="848"/>
  <c r="S20" i="848" s="1"/>
  <c r="X19" i="849"/>
  <c r="W19" i="849"/>
  <c r="W18" i="849"/>
  <c r="W16" i="849"/>
  <c r="W17" i="849"/>
  <c r="W14" i="849"/>
  <c r="W15" i="849"/>
  <c r="W13" i="849"/>
  <c r="N19" i="849"/>
  <c r="P13" i="849"/>
  <c r="S10" i="848"/>
  <c r="Y13" i="849"/>
  <c r="V21" i="849"/>
  <c r="S11" i="848"/>
  <c r="AB18" i="691"/>
  <c r="AB17" i="691"/>
  <c r="AB16" i="691"/>
  <c r="AB15" i="691"/>
  <c r="AB7" i="691"/>
  <c r="AB6" i="691"/>
  <c r="AB5" i="691"/>
  <c r="M9" i="848" l="1"/>
  <c r="T10" i="848"/>
  <c r="U10" i="848"/>
  <c r="S19" i="848" s="1"/>
  <c r="S17" i="848" s="1"/>
  <c r="O19" i="849"/>
  <c r="P19" i="849"/>
  <c r="O14" i="849"/>
  <c r="O16" i="849"/>
  <c r="O18" i="849"/>
  <c r="O17" i="849"/>
  <c r="O15" i="849"/>
  <c r="Q13" i="849"/>
  <c r="N21" i="849"/>
  <c r="Y19" i="849"/>
  <c r="Y18" i="849"/>
  <c r="Y16" i="849"/>
  <c r="Y14" i="849"/>
  <c r="Y17" i="849"/>
  <c r="Y15" i="849"/>
  <c r="N9" i="848"/>
  <c r="O9" i="848" s="1"/>
  <c r="P9" i="848" s="1"/>
  <c r="K19" i="848"/>
  <c r="K20" i="848"/>
  <c r="U18" i="848"/>
  <c r="N7" i="848"/>
  <c r="O7" i="848" s="1"/>
  <c r="U20" i="848"/>
  <c r="K18" i="848"/>
  <c r="O13" i="849"/>
  <c r="N8" i="848"/>
  <c r="O8" i="848" s="1"/>
  <c r="F14" i="847"/>
  <c r="G11" i="847"/>
  <c r="C11" i="847"/>
  <c r="C10" i="847"/>
  <c r="C9" i="847"/>
  <c r="C8" i="847"/>
  <c r="I7" i="847"/>
  <c r="H7" i="847"/>
  <c r="G7" i="847"/>
  <c r="G14" i="847" s="1"/>
  <c r="F7" i="847"/>
  <c r="C7" i="847"/>
  <c r="F6" i="847"/>
  <c r="F13" i="847" s="1"/>
  <c r="C6" i="847"/>
  <c r="I5" i="847"/>
  <c r="H5" i="847"/>
  <c r="G5" i="847"/>
  <c r="G12" i="847" s="1"/>
  <c r="F5" i="847"/>
  <c r="F12" i="847" s="1"/>
  <c r="C5" i="847"/>
  <c r="I6" i="847" s="1"/>
  <c r="I4" i="847"/>
  <c r="H4" i="847"/>
  <c r="G4" i="847"/>
  <c r="F4" i="847"/>
  <c r="F11" i="847" s="1"/>
  <c r="C4" i="847"/>
  <c r="F26" i="846"/>
  <c r="I21" i="846"/>
  <c r="H21" i="846"/>
  <c r="G21" i="846"/>
  <c r="G28" i="846" s="1"/>
  <c r="F21" i="846"/>
  <c r="F28" i="846" s="1"/>
  <c r="I20" i="846"/>
  <c r="H20" i="846"/>
  <c r="G20" i="846"/>
  <c r="G27" i="846" s="1"/>
  <c r="F20" i="846"/>
  <c r="F27" i="846" s="1"/>
  <c r="I19" i="846"/>
  <c r="H19" i="846"/>
  <c r="G19" i="846"/>
  <c r="G26" i="846" s="1"/>
  <c r="F19" i="846"/>
  <c r="I18" i="846"/>
  <c r="H18" i="846"/>
  <c r="G18" i="846"/>
  <c r="G25" i="846" s="1"/>
  <c r="F18" i="846"/>
  <c r="F25" i="846" s="1"/>
  <c r="F14" i="846"/>
  <c r="G11" i="846"/>
  <c r="F11" i="846"/>
  <c r="I7" i="846"/>
  <c r="H7" i="846"/>
  <c r="G7" i="846"/>
  <c r="G14" i="846" s="1"/>
  <c r="F7" i="846"/>
  <c r="I6" i="846"/>
  <c r="H6" i="846"/>
  <c r="G6" i="846"/>
  <c r="G13" i="846" s="1"/>
  <c r="F6" i="846"/>
  <c r="F13" i="846" s="1"/>
  <c r="I5" i="846"/>
  <c r="H5" i="846"/>
  <c r="G5" i="846"/>
  <c r="G12" i="846" s="1"/>
  <c r="F5" i="846"/>
  <c r="F12" i="846" s="1"/>
  <c r="I4" i="846"/>
  <c r="H4" i="846"/>
  <c r="G4" i="846"/>
  <c r="F4" i="846"/>
  <c r="S16" i="848" l="1"/>
  <c r="S15" i="848" s="1"/>
  <c r="V8" i="848"/>
  <c r="W8" i="848" s="1"/>
  <c r="V7" i="848"/>
  <c r="W7" i="848" s="1"/>
  <c r="U17" i="848"/>
  <c r="M19" i="848"/>
  <c r="M18" i="848"/>
  <c r="K17" i="848"/>
  <c r="M20" i="848"/>
  <c r="U16" i="848"/>
  <c r="U19" i="848"/>
  <c r="Q19" i="849"/>
  <c r="Q14" i="849"/>
  <c r="Q16" i="849"/>
  <c r="Q18" i="849"/>
  <c r="Q17" i="849"/>
  <c r="Q15" i="849"/>
  <c r="I25" i="846"/>
  <c r="I27" i="846"/>
  <c r="I14" i="846"/>
  <c r="I12" i="846"/>
  <c r="I26" i="846"/>
  <c r="I28" i="846"/>
  <c r="I13" i="846"/>
  <c r="H22" i="846"/>
  <c r="J22" i="846" s="1"/>
  <c r="G6" i="847"/>
  <c r="G13" i="847" s="1"/>
  <c r="H6" i="847"/>
  <c r="H8" i="847" s="1"/>
  <c r="J8" i="847" s="1"/>
  <c r="I8" i="847" s="1"/>
  <c r="I11" i="846"/>
  <c r="H8" i="846"/>
  <c r="J8" i="846" s="1"/>
  <c r="AE27" i="218"/>
  <c r="AE26" i="218"/>
  <c r="AE25" i="218"/>
  <c r="AE24" i="218"/>
  <c r="AE23" i="218"/>
  <c r="AE22" i="218"/>
  <c r="AE21" i="218"/>
  <c r="R7" i="690"/>
  <c r="R6" i="690"/>
  <c r="R5" i="690"/>
  <c r="R8" i="689"/>
  <c r="R7" i="689"/>
  <c r="R6" i="689"/>
  <c r="T7" i="691"/>
  <c r="T6" i="691"/>
  <c r="T5" i="691"/>
  <c r="S9" i="694"/>
  <c r="S8" i="694"/>
  <c r="S7" i="694"/>
  <c r="U7" i="217"/>
  <c r="U6" i="217"/>
  <c r="U5" i="217"/>
  <c r="T7" i="449"/>
  <c r="T6" i="449"/>
  <c r="T5" i="449"/>
  <c r="AI8" i="215"/>
  <c r="AI7" i="215"/>
  <c r="K13" i="758"/>
  <c r="L14" i="550"/>
  <c r="K13" i="585"/>
  <c r="S17" i="584"/>
  <c r="W12" i="837"/>
  <c r="L12" i="828"/>
  <c r="M13" i="823"/>
  <c r="L14" i="803"/>
  <c r="L14" i="819"/>
  <c r="L14" i="197"/>
  <c r="J14" i="197"/>
  <c r="L14" i="190"/>
  <c r="M17" i="848" l="1"/>
  <c r="K15" i="848"/>
  <c r="U15" i="848"/>
  <c r="S21" i="848"/>
  <c r="J14" i="847"/>
  <c r="K14" i="847"/>
  <c r="I14" i="847"/>
  <c r="J11" i="847"/>
  <c r="I11" i="847"/>
  <c r="K11" i="847"/>
  <c r="J12" i="847"/>
  <c r="K12" i="847"/>
  <c r="I12" i="847"/>
  <c r="I22" i="846"/>
  <c r="I13" i="847"/>
  <c r="K13" i="847"/>
  <c r="J13" i="847"/>
  <c r="I8" i="846"/>
  <c r="A85" i="843"/>
  <c r="A65" i="843"/>
  <c r="A45" i="843"/>
  <c r="G42" i="843"/>
  <c r="E42" i="843"/>
  <c r="G41" i="843"/>
  <c r="E41" i="843"/>
  <c r="G40" i="843"/>
  <c r="E40" i="843"/>
  <c r="G39" i="843"/>
  <c r="E39" i="843"/>
  <c r="G38" i="843"/>
  <c r="F38" i="843"/>
  <c r="L38" i="843" s="1"/>
  <c r="E38" i="843"/>
  <c r="H37" i="843"/>
  <c r="G37" i="843"/>
  <c r="E37" i="843"/>
  <c r="G36" i="843"/>
  <c r="E36" i="843"/>
  <c r="G35" i="843"/>
  <c r="E35" i="843"/>
  <c r="G34" i="843"/>
  <c r="E34" i="843"/>
  <c r="H33" i="843"/>
  <c r="K33" i="843" s="1"/>
  <c r="G33" i="843"/>
  <c r="F33" i="843"/>
  <c r="L33" i="843" s="1"/>
  <c r="E33" i="843"/>
  <c r="G32" i="843"/>
  <c r="E32" i="843"/>
  <c r="H31" i="843"/>
  <c r="K31" i="843" s="1"/>
  <c r="G31" i="843"/>
  <c r="F31" i="843"/>
  <c r="L31" i="843" s="1"/>
  <c r="E31" i="843"/>
  <c r="G30" i="843"/>
  <c r="E30" i="843"/>
  <c r="H29" i="843"/>
  <c r="J29" i="843" s="1"/>
  <c r="G29" i="843"/>
  <c r="F29" i="843"/>
  <c r="L29" i="843" s="1"/>
  <c r="E29" i="843"/>
  <c r="G28" i="843"/>
  <c r="E28" i="843"/>
  <c r="H27" i="843"/>
  <c r="K27" i="843" s="1"/>
  <c r="G27" i="843"/>
  <c r="F27" i="843"/>
  <c r="L27" i="843" s="1"/>
  <c r="E27" i="843"/>
  <c r="G26" i="843"/>
  <c r="E26" i="843"/>
  <c r="H25" i="843"/>
  <c r="K25" i="843" s="1"/>
  <c r="G25" i="843"/>
  <c r="F25" i="843"/>
  <c r="L25" i="843" s="1"/>
  <c r="E25" i="843"/>
  <c r="A25" i="843"/>
  <c r="F41" i="843" s="1"/>
  <c r="L41" i="843" s="1"/>
  <c r="I21" i="843"/>
  <c r="N11" i="843"/>
  <c r="S23" i="848" l="1"/>
  <c r="K21" i="848"/>
  <c r="L15" i="848" s="1"/>
  <c r="M15" i="848"/>
  <c r="U21" i="848"/>
  <c r="T21" i="848"/>
  <c r="T20" i="848"/>
  <c r="T18" i="848"/>
  <c r="T17" i="848"/>
  <c r="T19" i="848"/>
  <c r="T16" i="848"/>
  <c r="T15" i="848"/>
  <c r="J11" i="846"/>
  <c r="K11" i="846"/>
  <c r="J14" i="846"/>
  <c r="J12" i="846"/>
  <c r="J13" i="846"/>
  <c r="K12" i="846"/>
  <c r="K13" i="846"/>
  <c r="K14" i="846"/>
  <c r="J28" i="846"/>
  <c r="J27" i="846"/>
  <c r="J26" i="846"/>
  <c r="J25" i="846"/>
  <c r="K26" i="846"/>
  <c r="K25" i="846"/>
  <c r="K28" i="846"/>
  <c r="K27" i="846"/>
  <c r="H21" i="843" a="1"/>
  <c r="H21" i="843" s="1"/>
  <c r="G21" i="843" a="1"/>
  <c r="G21" i="843" s="1"/>
  <c r="F21" i="843" a="1"/>
  <c r="F21" i="843" s="1"/>
  <c r="J25" i="843"/>
  <c r="J27" i="843"/>
  <c r="J31" i="843"/>
  <c r="J33" i="843"/>
  <c r="F26" i="843"/>
  <c r="L26" i="843" s="1"/>
  <c r="F28" i="843"/>
  <c r="L28" i="843" s="1"/>
  <c r="K29" i="843"/>
  <c r="F30" i="843"/>
  <c r="L30" i="843" s="1"/>
  <c r="F32" i="843"/>
  <c r="L32" i="843" s="1"/>
  <c r="F35" i="843"/>
  <c r="L35" i="843" s="1"/>
  <c r="H39" i="843"/>
  <c r="F40" i="843"/>
  <c r="L40" i="843" s="1"/>
  <c r="H42" i="843"/>
  <c r="H40" i="843"/>
  <c r="H38" i="843"/>
  <c r="H36" i="843"/>
  <c r="H34" i="843"/>
  <c r="H30" i="843"/>
  <c r="F36" i="843"/>
  <c r="L36" i="843" s="1"/>
  <c r="H26" i="843"/>
  <c r="H28" i="843"/>
  <c r="H32" i="843"/>
  <c r="H35" i="843"/>
  <c r="F37" i="843"/>
  <c r="L37" i="843" s="1"/>
  <c r="H41" i="843"/>
  <c r="F42" i="843"/>
  <c r="L42" i="843" s="1"/>
  <c r="K37" i="843"/>
  <c r="F39" i="843"/>
  <c r="L39" i="843" s="1"/>
  <c r="F34" i="843"/>
  <c r="L34" i="843" s="1"/>
  <c r="V21" i="848" l="1"/>
  <c r="V18" i="848"/>
  <c r="V20" i="848"/>
  <c r="V19" i="848"/>
  <c r="V16" i="848"/>
  <c r="V17" i="848"/>
  <c r="N15" i="848"/>
  <c r="K23" i="848"/>
  <c r="L21" i="848"/>
  <c r="M21" i="848"/>
  <c r="L16" i="848"/>
  <c r="L19" i="848"/>
  <c r="L18" i="848"/>
  <c r="L20" i="848"/>
  <c r="L17" i="848"/>
  <c r="V15" i="848"/>
  <c r="V41" i="844"/>
  <c r="R13" i="844"/>
  <c r="R26" i="844"/>
  <c r="R27" i="844"/>
  <c r="O8" i="845"/>
  <c r="S27" i="844"/>
  <c r="S33" i="844" s="1"/>
  <c r="S39" i="844" s="1"/>
  <c r="S26" i="844"/>
  <c r="S32" i="844" s="1"/>
  <c r="S38" i="844" s="1"/>
  <c r="Q16" i="844"/>
  <c r="Q34" i="844"/>
  <c r="O9" i="845"/>
  <c r="N8" i="845"/>
  <c r="N9" i="845"/>
  <c r="O7" i="845"/>
  <c r="U41" i="844"/>
  <c r="S28" i="844"/>
  <c r="S34" i="844" s="1"/>
  <c r="S40" i="844" s="1"/>
  <c r="R24" i="844"/>
  <c r="J37" i="843"/>
  <c r="J41" i="843"/>
  <c r="K41" i="843"/>
  <c r="J35" i="843"/>
  <c r="K35" i="843"/>
  <c r="K32" i="843"/>
  <c r="J32" i="843"/>
  <c r="K28" i="843"/>
  <c r="J28" i="843"/>
  <c r="K26" i="843"/>
  <c r="J26" i="843"/>
  <c r="K30" i="843"/>
  <c r="J30" i="843"/>
  <c r="K34" i="843"/>
  <c r="J34" i="843"/>
  <c r="K36" i="843"/>
  <c r="J36" i="843"/>
  <c r="K38" i="843"/>
  <c r="J38" i="843"/>
  <c r="K40" i="843"/>
  <c r="J40" i="843"/>
  <c r="K42" i="843"/>
  <c r="J42" i="843"/>
  <c r="J39" i="843"/>
  <c r="K39" i="843"/>
  <c r="H88" i="843" a="1"/>
  <c r="H88" i="843" s="1"/>
  <c r="H90" i="843" s="1" a="1"/>
  <c r="G88" i="843" a="1"/>
  <c r="G88" i="843" s="1"/>
  <c r="F88" i="843" a="1"/>
  <c r="F88" i="843" s="1"/>
  <c r="H89" i="843" a="1"/>
  <c r="H89" i="843" s="1"/>
  <c r="G89" i="843" a="1"/>
  <c r="G89" i="843" s="1"/>
  <c r="F89" i="843" a="1"/>
  <c r="F89" i="843" s="1"/>
  <c r="I89" i="843" s="1" a="1"/>
  <c r="G94" i="843" a="1"/>
  <c r="F94" i="843" a="1"/>
  <c r="H94" i="843" a="1"/>
  <c r="F95" i="843" a="1"/>
  <c r="H95" i="843" a="1"/>
  <c r="G95" i="843" a="1"/>
  <c r="F68" i="843" a="1"/>
  <c r="F68" i="843" s="1"/>
  <c r="H68" i="843" a="1"/>
  <c r="H68" i="843" s="1"/>
  <c r="H70" i="843" s="1" a="1"/>
  <c r="G68" i="843" a="1"/>
  <c r="G68" i="843" s="1"/>
  <c r="F69" i="843" a="1"/>
  <c r="F69" i="843" s="1"/>
  <c r="H69" i="843" a="1"/>
  <c r="H69" i="843" s="1"/>
  <c r="G69" i="843" a="1"/>
  <c r="G69" i="843" s="1"/>
  <c r="G49" i="843" a="1"/>
  <c r="G49" i="843" s="1"/>
  <c r="F49" i="843" a="1"/>
  <c r="F49" i="843" s="1"/>
  <c r="H49" i="843" a="1"/>
  <c r="H49" i="843" s="1"/>
  <c r="G48" i="843" a="1"/>
  <c r="G48" i="843" s="1"/>
  <c r="G50" i="843" s="1" a="1"/>
  <c r="F48" i="843" a="1"/>
  <c r="F48" i="843" s="1"/>
  <c r="H48" i="843" a="1"/>
  <c r="H48" i="843" s="1"/>
  <c r="G7" i="843" a="1"/>
  <c r="G7" i="843" s="1"/>
  <c r="H7" i="843" a="1"/>
  <c r="H7" i="843" s="1"/>
  <c r="F7" i="843" a="1"/>
  <c r="F7" i="843" s="1"/>
  <c r="H8" i="843" a="1"/>
  <c r="H8" i="843" s="1"/>
  <c r="G8" i="843" a="1"/>
  <c r="G8" i="843" s="1"/>
  <c r="F8" i="843" a="1"/>
  <c r="F8" i="843" s="1"/>
  <c r="G13" i="843" a="1"/>
  <c r="G13" i="843" s="1"/>
  <c r="G15" i="843" s="1" a="1"/>
  <c r="F13" i="843" a="1"/>
  <c r="F13" i="843" s="1"/>
  <c r="H13" i="843" a="1"/>
  <c r="H13" i="843" s="1"/>
  <c r="H15" i="843" s="1" a="1"/>
  <c r="G14" i="843" a="1"/>
  <c r="G14" i="843" s="1"/>
  <c r="F14" i="843" a="1"/>
  <c r="F14" i="843" s="1"/>
  <c r="I14" i="843" s="1" a="1"/>
  <c r="H14" i="843" a="1"/>
  <c r="H14" i="843" s="1"/>
  <c r="G19" i="843" a="1"/>
  <c r="G19" i="843" s="1"/>
  <c r="F19" i="843" a="1"/>
  <c r="F19" i="843" s="1"/>
  <c r="I19" i="843" a="1"/>
  <c r="I19" i="843" s="1"/>
  <c r="H19" i="843" a="1"/>
  <c r="H19" i="843" s="1"/>
  <c r="H20" i="843" a="1"/>
  <c r="H20" i="843" s="1"/>
  <c r="G20" i="843" a="1"/>
  <c r="G20" i="843" s="1"/>
  <c r="F20" i="843" a="1"/>
  <c r="F20" i="843" s="1"/>
  <c r="I20" i="843" a="1"/>
  <c r="I20" i="843" s="1"/>
  <c r="P7" i="845"/>
  <c r="N21" i="848" l="1"/>
  <c r="N16" i="848"/>
  <c r="N19" i="848"/>
  <c r="N18" i="848"/>
  <c r="N20" i="848"/>
  <c r="N17" i="848"/>
  <c r="R14" i="844"/>
  <c r="R23" i="844"/>
  <c r="R29" i="844" s="1"/>
  <c r="R25" i="844"/>
  <c r="R31" i="844" s="1"/>
  <c r="R37" i="844" s="1"/>
  <c r="R16" i="844"/>
  <c r="H70" i="843"/>
  <c r="S20" i="844"/>
  <c r="R17" i="844"/>
  <c r="R28" i="844"/>
  <c r="R34" i="844" s="1"/>
  <c r="R40" i="844" s="1"/>
  <c r="S25" i="844"/>
  <c r="S31" i="844" s="1"/>
  <c r="S37" i="844" s="1"/>
  <c r="Q18" i="844"/>
  <c r="Q38" i="844"/>
  <c r="Q39" i="844"/>
  <c r="Q22" i="844"/>
  <c r="Q17" i="844"/>
  <c r="R18" i="844"/>
  <c r="Q21" i="844"/>
  <c r="Q37" i="844"/>
  <c r="R15" i="844"/>
  <c r="Q36" i="844"/>
  <c r="Q40" i="844"/>
  <c r="H95" i="843"/>
  <c r="Q35" i="844"/>
  <c r="I89" i="843"/>
  <c r="S24" i="844"/>
  <c r="S30" i="844" s="1"/>
  <c r="S36" i="844" s="1"/>
  <c r="S21" i="844"/>
  <c r="H102" i="843" a="1"/>
  <c r="H102" i="843" s="1"/>
  <c r="S19" i="844"/>
  <c r="F95" i="843"/>
  <c r="Q13" i="844"/>
  <c r="S23" i="844"/>
  <c r="S29" i="844" s="1"/>
  <c r="S35" i="844" s="1"/>
  <c r="H15" i="843"/>
  <c r="P40" i="843" s="1"/>
  <c r="H90" i="843"/>
  <c r="F94" i="843"/>
  <c r="S22" i="844"/>
  <c r="Q7" i="845"/>
  <c r="R7" i="845"/>
  <c r="Q19" i="844"/>
  <c r="Q14" i="844"/>
  <c r="Q33" i="844"/>
  <c r="G94" i="843"/>
  <c r="H100" i="843" a="1"/>
  <c r="H100" i="843" s="1"/>
  <c r="Q29" i="844"/>
  <c r="Q32" i="844"/>
  <c r="I100" i="843" a="1"/>
  <c r="I100" i="843" s="1"/>
  <c r="Q15" i="844"/>
  <c r="Q31" i="844"/>
  <c r="G15" i="843"/>
  <c r="P30" i="843" s="1"/>
  <c r="Q20" i="844"/>
  <c r="Q30" i="844"/>
  <c r="G50" i="843"/>
  <c r="I101" i="843" a="1"/>
  <c r="I101" i="843" s="1"/>
  <c r="G102" i="843" a="1"/>
  <c r="G102" i="843" s="1"/>
  <c r="F102" i="843" a="1"/>
  <c r="F102" i="843" s="1"/>
  <c r="I14" i="843"/>
  <c r="O41" i="843" s="1"/>
  <c r="F101" i="843" a="1"/>
  <c r="F101" i="843" s="1"/>
  <c r="G95" i="843"/>
  <c r="G101" i="843" a="1"/>
  <c r="G101" i="843" s="1"/>
  <c r="H101" i="843" a="1"/>
  <c r="H101" i="843" s="1"/>
  <c r="P31" i="843"/>
  <c r="F100" i="843" a="1"/>
  <c r="F100" i="843" s="1"/>
  <c r="P41" i="843"/>
  <c r="H94" i="843"/>
  <c r="G100" i="843" a="1"/>
  <c r="G100" i="843" s="1"/>
  <c r="R32" i="844"/>
  <c r="R38" i="844" s="1"/>
  <c r="R30" i="844"/>
  <c r="R36" i="844" s="1"/>
  <c r="R33" i="844"/>
  <c r="R39" i="844" s="1"/>
  <c r="G75" i="843" a="1"/>
  <c r="H74" i="843" a="1"/>
  <c r="G55" i="843" a="1"/>
  <c r="I8" i="843" a="1"/>
  <c r="I8" i="843" s="1"/>
  <c r="P32" i="843"/>
  <c r="G70" i="843" a="1"/>
  <c r="G70" i="843" s="1"/>
  <c r="I102" i="843"/>
  <c r="N92" i="843" s="1"/>
  <c r="G90" i="843" a="1"/>
  <c r="G90" i="843" s="1"/>
  <c r="O34" i="843"/>
  <c r="H9" i="843" a="1"/>
  <c r="H9" i="843" s="1"/>
  <c r="P42" i="843"/>
  <c r="I49" i="843" a="1"/>
  <c r="I49" i="843" s="1"/>
  <c r="I95" i="843" a="1"/>
  <c r="G9" i="843" a="1"/>
  <c r="G9" i="843" s="1"/>
  <c r="P33" i="843"/>
  <c r="H96" i="843" a="1"/>
  <c r="G96" i="843" a="1"/>
  <c r="H50" i="843" a="1"/>
  <c r="H50" i="843" s="1"/>
  <c r="I69" i="843" a="1"/>
  <c r="I69" i="843" s="1"/>
  <c r="F15" i="843" a="1"/>
  <c r="F15" i="843" s="1"/>
  <c r="I13" i="843" a="1"/>
  <c r="I13" i="843" s="1"/>
  <c r="L10" i="843"/>
  <c r="I7" i="843" a="1"/>
  <c r="I7" i="843" s="1"/>
  <c r="F9" i="843" a="1"/>
  <c r="F9" i="843" s="1"/>
  <c r="F5" i="843"/>
  <c r="I48" i="843" a="1"/>
  <c r="I48" i="843" s="1"/>
  <c r="F46" i="843"/>
  <c r="F50" i="843" a="1"/>
  <c r="F50" i="843" s="1"/>
  <c r="F70" i="843" a="1"/>
  <c r="F70" i="843" s="1"/>
  <c r="F66" i="843"/>
  <c r="I68" i="843" a="1"/>
  <c r="I68" i="843" s="1"/>
  <c r="I94" i="843" a="1"/>
  <c r="F96" i="843" a="1"/>
  <c r="F90" i="843" a="1"/>
  <c r="F90" i="843" s="1"/>
  <c r="F86" i="843"/>
  <c r="I88" i="843" a="1"/>
  <c r="I88" i="843" s="1"/>
  <c r="P9" i="845"/>
  <c r="P8" i="845"/>
  <c r="F96" i="843" l="1"/>
  <c r="Q9" i="845"/>
  <c r="R9" i="845"/>
  <c r="Q8" i="845"/>
  <c r="R8" i="845"/>
  <c r="O38" i="843"/>
  <c r="O39" i="843"/>
  <c r="O36" i="843"/>
  <c r="O35" i="843"/>
  <c r="O40" i="843"/>
  <c r="O42" i="843"/>
  <c r="T37" i="844"/>
  <c r="V37" i="844" s="1" a="1"/>
  <c r="V37" i="844" s="1"/>
  <c r="P38" i="843"/>
  <c r="O37" i="843"/>
  <c r="P39" i="843"/>
  <c r="T39" i="844"/>
  <c r="U39" i="844" s="1"/>
  <c r="T36" i="844"/>
  <c r="V36" i="844" s="1" a="1"/>
  <c r="V36" i="844" s="1"/>
  <c r="T40" i="844"/>
  <c r="V40" i="844" s="1" a="1"/>
  <c r="V40" i="844" s="1"/>
  <c r="H96" i="843"/>
  <c r="P29" i="843"/>
  <c r="P28" i="843"/>
  <c r="P37" i="843"/>
  <c r="T38" i="844"/>
  <c r="V38" i="844" s="1" a="1"/>
  <c r="V38" i="844" s="1"/>
  <c r="I94" i="843"/>
  <c r="G55" i="843"/>
  <c r="L91" i="843"/>
  <c r="T31" i="844"/>
  <c r="U31" i="844" s="1"/>
  <c r="L8" i="843"/>
  <c r="Q8" i="843" s="1"/>
  <c r="T32" i="844"/>
  <c r="U32" i="844" s="1"/>
  <c r="G75" i="843"/>
  <c r="G96" i="843"/>
  <c r="M89" i="843" s="1"/>
  <c r="I95" i="843"/>
  <c r="H74" i="843"/>
  <c r="T30" i="844"/>
  <c r="R35" i="844"/>
  <c r="T34" i="844"/>
  <c r="T29" i="844"/>
  <c r="T33" i="844"/>
  <c r="I62" i="843"/>
  <c r="N52" i="843" s="1"/>
  <c r="H62" i="843" a="1"/>
  <c r="H62" i="843" s="1"/>
  <c r="I61" i="843" a="1"/>
  <c r="I61" i="843" s="1"/>
  <c r="G60" i="843" a="1"/>
  <c r="G60" i="843" s="1"/>
  <c r="F60" i="843" a="1"/>
  <c r="F60" i="843" s="1"/>
  <c r="I60" i="843" a="1"/>
  <c r="I60" i="843" s="1"/>
  <c r="G62" i="843" a="1"/>
  <c r="G62" i="843" s="1"/>
  <c r="H60" i="843" a="1"/>
  <c r="H60" i="843" s="1"/>
  <c r="F54" i="843" a="1"/>
  <c r="F54" i="843" s="1"/>
  <c r="F61" i="843" a="1"/>
  <c r="F61" i="843" s="1"/>
  <c r="F62" i="843" a="1"/>
  <c r="F62" i="843" s="1"/>
  <c r="H61" i="843" a="1"/>
  <c r="H61" i="843" s="1"/>
  <c r="G61" i="843" a="1"/>
  <c r="G61" i="843" s="1"/>
  <c r="H76" i="843" a="1"/>
  <c r="O25" i="843"/>
  <c r="O30" i="843"/>
  <c r="O32" i="843"/>
  <c r="O31" i="843"/>
  <c r="O28" i="843"/>
  <c r="O29" i="843"/>
  <c r="O26" i="843"/>
  <c r="O33" i="843"/>
  <c r="O27" i="843"/>
  <c r="H55" i="843" a="1"/>
  <c r="H55" i="843" s="1"/>
  <c r="F75" i="843" a="1"/>
  <c r="F75" i="843" s="1"/>
  <c r="I75" i="843" s="1" a="1"/>
  <c r="M8" i="843"/>
  <c r="P27" i="843"/>
  <c r="P25" i="843"/>
  <c r="P26" i="843"/>
  <c r="P35" i="843"/>
  <c r="P36" i="843"/>
  <c r="P34" i="843"/>
  <c r="G54" i="843" a="1"/>
  <c r="G54" i="843" s="1"/>
  <c r="G56" i="843" s="1" a="1"/>
  <c r="G56" i="843" s="1"/>
  <c r="H75" i="843" a="1"/>
  <c r="H75" i="843" s="1"/>
  <c r="I82" i="843"/>
  <c r="N72" i="843" s="1"/>
  <c r="F80" i="843" a="1"/>
  <c r="F80" i="843" s="1"/>
  <c r="H81" i="843" a="1"/>
  <c r="H81" i="843" s="1"/>
  <c r="F82" i="843" a="1"/>
  <c r="F82" i="843" s="1"/>
  <c r="G81" i="843" a="1"/>
  <c r="G81" i="843" s="1"/>
  <c r="G82" i="843" a="1"/>
  <c r="G82" i="843" s="1"/>
  <c r="F81" i="843" a="1"/>
  <c r="F81" i="843" s="1"/>
  <c r="I81" i="843" a="1"/>
  <c r="I81" i="843" s="1"/>
  <c r="H82" i="843" a="1"/>
  <c r="H82" i="843" s="1"/>
  <c r="I80" i="843" a="1"/>
  <c r="I80" i="843" s="1"/>
  <c r="F74" i="843" a="1"/>
  <c r="F74" i="843" s="1"/>
  <c r="H80" i="843" a="1"/>
  <c r="H80" i="843" s="1"/>
  <c r="G80" i="843" a="1"/>
  <c r="G80" i="843" s="1"/>
  <c r="G74" i="843" a="1"/>
  <c r="G74" i="843" s="1"/>
  <c r="G76" i="843" s="1" a="1"/>
  <c r="G76" i="843" s="1"/>
  <c r="H54" i="843" a="1"/>
  <c r="H54" i="843" s="1"/>
  <c r="F55" i="843" a="1"/>
  <c r="F55" i="843" s="1"/>
  <c r="I55" i="843" s="1" a="1"/>
  <c r="I90" i="843" a="1"/>
  <c r="I90" i="843" s="1"/>
  <c r="M92" i="843" s="1"/>
  <c r="L92" i="843" s="1"/>
  <c r="I96" i="843" a="1"/>
  <c r="I70" i="843" a="1"/>
  <c r="I70" i="843" s="1"/>
  <c r="M72" i="843" s="1"/>
  <c r="I50" i="843" a="1"/>
  <c r="I50" i="843" s="1"/>
  <c r="M52" i="843" s="1"/>
  <c r="I9" i="843" a="1"/>
  <c r="I9" i="843" s="1"/>
  <c r="M11" i="843" s="1"/>
  <c r="L7" i="843"/>
  <c r="I15" i="843" a="1"/>
  <c r="I15" i="843" s="1"/>
  <c r="M7" i="843"/>
  <c r="U37" i="844" l="1"/>
  <c r="N8" i="843"/>
  <c r="V39" i="844" a="1"/>
  <c r="V39" i="844" s="1"/>
  <c r="U36" i="844"/>
  <c r="I55" i="843"/>
  <c r="U40" i="844"/>
  <c r="V32" i="844" a="1"/>
  <c r="V32" i="844" s="1"/>
  <c r="I96" i="843"/>
  <c r="U38" i="844"/>
  <c r="U30" i="844"/>
  <c r="V30" i="844" a="1"/>
  <c r="V30" i="844" s="1"/>
  <c r="L88" i="843"/>
  <c r="M88" i="843"/>
  <c r="M90" i="843" s="1"/>
  <c r="M110" i="843" s="1"/>
  <c r="H76" i="843"/>
  <c r="I75" i="843"/>
  <c r="L89" i="843"/>
  <c r="Q89" i="843" s="1"/>
  <c r="V31" i="844" a="1"/>
  <c r="V31" i="844" s="1"/>
  <c r="L71" i="843"/>
  <c r="M9" i="843"/>
  <c r="M10" i="843" s="1"/>
  <c r="N10" i="843" s="1"/>
  <c r="O8" i="843" s="1"/>
  <c r="P8" i="843" s="1"/>
  <c r="T35" i="844"/>
  <c r="T25" i="844" s="1"/>
  <c r="V34" i="844" a="1"/>
  <c r="V34" i="844" s="1"/>
  <c r="U34" i="844"/>
  <c r="V33" i="844" a="1"/>
  <c r="V33" i="844" s="1"/>
  <c r="U33" i="844"/>
  <c r="V29" i="844" a="1"/>
  <c r="V29" i="844" s="1"/>
  <c r="U29" i="844"/>
  <c r="L72" i="843"/>
  <c r="H56" i="843" a="1"/>
  <c r="H56" i="843" s="1"/>
  <c r="L51" i="843"/>
  <c r="L11" i="843"/>
  <c r="L9" i="843" s="1"/>
  <c r="I74" i="843" a="1"/>
  <c r="I74" i="843" s="1"/>
  <c r="F76" i="843" a="1"/>
  <c r="F76" i="843" s="1"/>
  <c r="I54" i="843" a="1"/>
  <c r="I54" i="843" s="1"/>
  <c r="F56" i="843" a="1"/>
  <c r="F56" i="843" s="1"/>
  <c r="L52" i="843"/>
  <c r="N41" i="843"/>
  <c r="N39" i="843"/>
  <c r="N37" i="843"/>
  <c r="N35" i="843"/>
  <c r="N33" i="843"/>
  <c r="N32" i="843"/>
  <c r="N30" i="843"/>
  <c r="N28" i="843"/>
  <c r="N34" i="843"/>
  <c r="N29" i="843"/>
  <c r="N27" i="843"/>
  <c r="N38" i="843"/>
  <c r="N31" i="843"/>
  <c r="N25" i="843"/>
  <c r="N26" i="843"/>
  <c r="N40" i="843"/>
  <c r="N42" i="843"/>
  <c r="N36" i="843"/>
  <c r="N7" i="843"/>
  <c r="Q7" i="843"/>
  <c r="N88" i="843" l="1"/>
  <c r="U25" i="844"/>
  <c r="V25" i="844" a="1"/>
  <c r="V25" i="844" s="1"/>
  <c r="T19" i="844"/>
  <c r="V19" i="844" s="1" a="1"/>
  <c r="V19" i="844" s="1"/>
  <c r="T11" i="844"/>
  <c r="U11" i="844" s="1"/>
  <c r="Q88" i="843"/>
  <c r="T10" i="844"/>
  <c r="V10" i="844" s="1" a="1"/>
  <c r="V10" i="844" s="1"/>
  <c r="T27" i="844"/>
  <c r="V27" i="844" s="1" a="1"/>
  <c r="V27" i="844" s="1"/>
  <c r="T13" i="844"/>
  <c r="V13" i="844" s="1" a="1"/>
  <c r="V13" i="844" s="1"/>
  <c r="T22" i="844"/>
  <c r="T28" i="844"/>
  <c r="T20" i="844"/>
  <c r="T6" i="844"/>
  <c r="V6" i="844" s="1" a="1"/>
  <c r="V6" i="844" s="1"/>
  <c r="T17" i="844"/>
  <c r="V17" i="844" s="1" a="1"/>
  <c r="V17" i="844" s="1"/>
  <c r="T12" i="844"/>
  <c r="T9" i="844"/>
  <c r="T18" i="844"/>
  <c r="V18" i="844" s="1" a="1"/>
  <c r="V18" i="844" s="1"/>
  <c r="T15" i="844"/>
  <c r="U15" i="844" s="1"/>
  <c r="T23" i="844"/>
  <c r="V23" i="844" s="1" a="1"/>
  <c r="V23" i="844" s="1"/>
  <c r="T14" i="844"/>
  <c r="T26" i="844"/>
  <c r="L90" i="843"/>
  <c r="Q90" i="843" s="1"/>
  <c r="R110" i="843" s="1"/>
  <c r="T24" i="844"/>
  <c r="N89" i="843"/>
  <c r="T8" i="844"/>
  <c r="V8" i="844" s="1" a="1"/>
  <c r="V8" i="844" s="1"/>
  <c r="T41" i="844"/>
  <c r="Z15" i="844" s="1"/>
  <c r="Y15" i="844" s="1"/>
  <c r="T16" i="844"/>
  <c r="U16" i="844" s="1"/>
  <c r="O7" i="843"/>
  <c r="P7" i="843" s="1"/>
  <c r="U35" i="844"/>
  <c r="V35" i="844" a="1"/>
  <c r="V35" i="844" s="1"/>
  <c r="T21" i="844"/>
  <c r="T7" i="844"/>
  <c r="U6" i="844"/>
  <c r="U17" i="844"/>
  <c r="M49" i="843"/>
  <c r="L49" i="843"/>
  <c r="L48" i="843"/>
  <c r="I56" i="843" a="1"/>
  <c r="I56" i="843" s="1"/>
  <c r="M48" i="843"/>
  <c r="M69" i="843"/>
  <c r="L69" i="843"/>
  <c r="I76" i="843" a="1"/>
  <c r="I76" i="843" s="1"/>
  <c r="L68" i="843"/>
  <c r="M68" i="843"/>
  <c r="N9" i="843"/>
  <c r="O9" i="843" s="1"/>
  <c r="P9" i="843" s="1"/>
  <c r="Q9" i="843"/>
  <c r="M91" i="843"/>
  <c r="V11" i="844" l="1" a="1"/>
  <c r="V11" i="844" s="1"/>
  <c r="U10" i="844"/>
  <c r="N90" i="843"/>
  <c r="U13" i="844"/>
  <c r="U19" i="844"/>
  <c r="U27" i="844"/>
  <c r="U18" i="844"/>
  <c r="U23" i="844"/>
  <c r="L110" i="843"/>
  <c r="V9" i="844" a="1"/>
  <c r="V9" i="844" s="1"/>
  <c r="U9" i="844"/>
  <c r="V22" i="844" a="1"/>
  <c r="V22" i="844" s="1"/>
  <c r="U22" i="844"/>
  <c r="V12" i="844" a="1"/>
  <c r="V12" i="844" s="1"/>
  <c r="U12" i="844"/>
  <c r="Z9" i="844" s="1"/>
  <c r="V15" i="844" a="1"/>
  <c r="V15" i="844" s="1"/>
  <c r="U20" i="844"/>
  <c r="V20" i="844" a="1"/>
  <c r="V20" i="844" s="1"/>
  <c r="V28" i="844" a="1"/>
  <c r="V28" i="844" s="1"/>
  <c r="U28" i="844"/>
  <c r="V24" i="844" a="1"/>
  <c r="V24" i="844" s="1"/>
  <c r="U24" i="844"/>
  <c r="U26" i="844"/>
  <c r="V26" i="844" a="1"/>
  <c r="V26" i="844" s="1"/>
  <c r="V14" i="844" a="1"/>
  <c r="V14" i="844" s="1"/>
  <c r="U14" i="844"/>
  <c r="L70" i="843"/>
  <c r="Q70" i="843" s="1"/>
  <c r="M50" i="843"/>
  <c r="M51" i="843" s="1"/>
  <c r="N51" i="843" s="1"/>
  <c r="U8" i="844"/>
  <c r="V16" i="844" a="1"/>
  <c r="V16" i="844" s="1"/>
  <c r="AA15" i="844"/>
  <c r="U7" i="844"/>
  <c r="Y7" i="844" s="1"/>
  <c r="V7" i="844" a="1"/>
  <c r="V7" i="844" s="1"/>
  <c r="V21" i="844" a="1"/>
  <c r="V21" i="844" s="1"/>
  <c r="U21" i="844"/>
  <c r="L109" i="843"/>
  <c r="Q69" i="843"/>
  <c r="R109" i="843" s="1"/>
  <c r="N69" i="843"/>
  <c r="M109" i="843"/>
  <c r="M70" i="843"/>
  <c r="M71" i="843" s="1"/>
  <c r="N71" i="843" s="1"/>
  <c r="M108" i="843"/>
  <c r="Q68" i="843"/>
  <c r="N68" i="843"/>
  <c r="N48" i="843"/>
  <c r="Q48" i="843"/>
  <c r="R108" i="843" s="1"/>
  <c r="L108" i="843"/>
  <c r="N108" i="843"/>
  <c r="N109" i="843" s="1"/>
  <c r="N110" i="843" s="1"/>
  <c r="N91" i="843"/>
  <c r="Q49" i="843"/>
  <c r="N49" i="843"/>
  <c r="O110" i="843"/>
  <c r="L50" i="843"/>
  <c r="Y9" i="844" l="1"/>
  <c r="Y11" i="844" s="1"/>
  <c r="Z8" i="844"/>
  <c r="Z12" i="844" s="1"/>
  <c r="N70" i="843"/>
  <c r="O70" i="843" s="1"/>
  <c r="P70" i="843" s="1"/>
  <c r="Y8" i="844"/>
  <c r="O49" i="843"/>
  <c r="P49" i="843" s="1"/>
  <c r="Z7" i="844"/>
  <c r="AA7" i="844" s="1"/>
  <c r="O109" i="843"/>
  <c r="O69" i="843"/>
  <c r="O88" i="843"/>
  <c r="P88" i="843" s="1"/>
  <c r="O89" i="843"/>
  <c r="P89" i="843" s="1"/>
  <c r="N50" i="843"/>
  <c r="O50" i="843" s="1"/>
  <c r="P50" i="843" s="1"/>
  <c r="Q50" i="843"/>
  <c r="O48" i="843"/>
  <c r="O108" i="843"/>
  <c r="O90" i="843"/>
  <c r="O68" i="843"/>
  <c r="P68" i="843" s="1"/>
  <c r="AA9" i="844" l="1"/>
  <c r="AA8" i="844"/>
  <c r="Y10" i="844"/>
  <c r="Y12" i="844"/>
  <c r="AA12" i="844" s="1"/>
  <c r="Z14" i="844"/>
  <c r="Z11" i="844"/>
  <c r="AA11" i="844" s="1"/>
  <c r="Z10" i="844"/>
  <c r="Z13" i="844"/>
  <c r="P109" i="843"/>
  <c r="P69" i="843"/>
  <c r="Q109" i="843" s="1"/>
  <c r="P108" i="843"/>
  <c r="P48" i="843"/>
  <c r="Q108" i="843" s="1"/>
  <c r="P90" i="843"/>
  <c r="Q110" i="843" s="1"/>
  <c r="P110" i="843"/>
  <c r="Y13" i="844" l="1"/>
  <c r="AA13" i="844" s="1"/>
  <c r="AA10" i="844"/>
  <c r="Y14" i="844" l="1"/>
  <c r="AD8" i="844" s="1"/>
  <c r="AA14" i="844" l="1"/>
  <c r="AB12" i="844" s="1"/>
  <c r="AC12" i="844" s="1"/>
  <c r="AD13" i="844"/>
  <c r="AD11" i="844"/>
  <c r="AD10" i="844"/>
  <c r="AD12" i="844"/>
  <c r="AD9" i="844"/>
  <c r="AD7" i="844"/>
  <c r="M5" i="842"/>
  <c r="N9" i="841"/>
  <c r="M9" i="841"/>
  <c r="L9" i="841"/>
  <c r="K9" i="841"/>
  <c r="J9" i="841"/>
  <c r="O8" i="841"/>
  <c r="I8" i="841"/>
  <c r="T7" i="841"/>
  <c r="S7" i="841"/>
  <c r="R7" i="841"/>
  <c r="O7" i="841"/>
  <c r="I7" i="841"/>
  <c r="F7" i="841"/>
  <c r="E7" i="841"/>
  <c r="D7" i="841"/>
  <c r="C7" i="841"/>
  <c r="B7" i="841"/>
  <c r="O6" i="841"/>
  <c r="O9" i="841" s="1"/>
  <c r="Q7" i="841" s="1"/>
  <c r="J6" i="841" a="1"/>
  <c r="N8" i="841" s="1"/>
  <c r="I6" i="841"/>
  <c r="G6" i="841"/>
  <c r="N5" i="841"/>
  <c r="M5" i="841"/>
  <c r="L5" i="841"/>
  <c r="K5" i="841"/>
  <c r="J5" i="841"/>
  <c r="I5" i="841"/>
  <c r="G5" i="841"/>
  <c r="G4" i="841"/>
  <c r="G7" i="841" s="1"/>
  <c r="AB11" i="844" l="1"/>
  <c r="AC11" i="844" s="1"/>
  <c r="AB13" i="844"/>
  <c r="AC13" i="844" s="1"/>
  <c r="AB9" i="844"/>
  <c r="AC9" i="844" s="1"/>
  <c r="AB8" i="844"/>
  <c r="AC8" i="844" s="1"/>
  <c r="AB10" i="844"/>
  <c r="AC10" i="844" s="1"/>
  <c r="AB7" i="844"/>
  <c r="AC7" i="844" s="1"/>
  <c r="Q5" i="842"/>
  <c r="O5" i="842"/>
  <c r="P5" i="842"/>
  <c r="N5" i="842"/>
  <c r="R5" i="842"/>
  <c r="AC5" i="841"/>
  <c r="AD5" i="841"/>
  <c r="AE5" i="841"/>
  <c r="K6" i="841"/>
  <c r="J6" i="841"/>
  <c r="K7" i="841"/>
  <c r="L7" i="841"/>
  <c r="M7" i="841"/>
  <c r="N7" i="841"/>
  <c r="M8" i="841"/>
  <c r="J7" i="841"/>
  <c r="L8" i="841"/>
  <c r="N6" i="841"/>
  <c r="K8" i="841"/>
  <c r="M6" i="841"/>
  <c r="J8" i="841"/>
  <c r="L6" i="841"/>
  <c r="O7" i="840"/>
  <c r="N7" i="840"/>
  <c r="M7" i="840"/>
  <c r="L7" i="840"/>
  <c r="K7" i="840"/>
  <c r="J7" i="840"/>
  <c r="G7" i="840"/>
  <c r="F7" i="840"/>
  <c r="E7" i="840"/>
  <c r="D7" i="840"/>
  <c r="C7" i="840"/>
  <c r="B7" i="840"/>
  <c r="O6" i="840"/>
  <c r="G6" i="840"/>
  <c r="O5" i="840"/>
  <c r="G5" i="840"/>
  <c r="O4" i="840"/>
  <c r="G4" i="840"/>
  <c r="S11" i="841" l="1"/>
  <c r="V11" i="841"/>
  <c r="U11" i="841"/>
  <c r="V12" i="841"/>
  <c r="S12" i="841"/>
  <c r="U12" i="841"/>
  <c r="AE6" i="841"/>
  <c r="AE8" i="841"/>
  <c r="AE9" i="841" s="1"/>
  <c r="AD8" i="841"/>
  <c r="AD9" i="841" s="1"/>
  <c r="AD6" i="841"/>
  <c r="M7" i="842"/>
  <c r="H7" i="842" a="1"/>
  <c r="H7" i="842" s="1"/>
  <c r="G7" i="842" a="1"/>
  <c r="G7" i="842" s="1"/>
  <c r="J7" i="842" a="1"/>
  <c r="J7" i="842" s="1"/>
  <c r="I7" i="842" a="1"/>
  <c r="I7" i="842" s="1"/>
  <c r="F7" i="842" a="1"/>
  <c r="F7" i="842" s="1"/>
  <c r="J8" i="842" a="1"/>
  <c r="J8" i="842" s="1"/>
  <c r="F8" i="842" a="1"/>
  <c r="F8" i="842" s="1"/>
  <c r="I8" i="842" a="1"/>
  <c r="I8" i="842" s="1"/>
  <c r="M8" i="842"/>
  <c r="H8" i="842" a="1"/>
  <c r="H8" i="842" s="1"/>
  <c r="G8" i="842" a="1"/>
  <c r="G8" i="842" s="1"/>
  <c r="AF12" i="841"/>
  <c r="I6" i="842" a="1"/>
  <c r="I6" i="842" s="1"/>
  <c r="M6" i="842"/>
  <c r="H6" i="842" a="1"/>
  <c r="H6" i="842" s="1"/>
  <c r="G6" i="842" a="1"/>
  <c r="G6" i="842" s="1"/>
  <c r="F6" i="842" a="1"/>
  <c r="F6" i="842" s="1"/>
  <c r="J6" i="842" a="1"/>
  <c r="J6" i="842" s="1"/>
  <c r="AC8" i="841"/>
  <c r="AC6" i="841"/>
  <c r="J30" i="838"/>
  <c r="F32" i="838"/>
  <c r="H32" i="838"/>
  <c r="F33" i="838"/>
  <c r="F38" i="838" s="1"/>
  <c r="H33" i="838"/>
  <c r="F34" i="838"/>
  <c r="F39" i="838" s="1"/>
  <c r="H34" i="838"/>
  <c r="Z16" i="838"/>
  <c r="AH16" i="838"/>
  <c r="AD18" i="838"/>
  <c r="AF18" i="838"/>
  <c r="AD19" i="838"/>
  <c r="AF19" i="838"/>
  <c r="AD20" i="838"/>
  <c r="AF20" i="838"/>
  <c r="AE26" i="838"/>
  <c r="AD25" i="838"/>
  <c r="AE25" i="838"/>
  <c r="AE24" i="838"/>
  <c r="AD24" i="838"/>
  <c r="V18" i="838"/>
  <c r="V24" i="838" s="1"/>
  <c r="X18" i="838"/>
  <c r="V19" i="838"/>
  <c r="W24" i="838" s="1"/>
  <c r="X19" i="838"/>
  <c r="V20" i="838"/>
  <c r="X20" i="838"/>
  <c r="X21" i="838" s="1"/>
  <c r="W25" i="838"/>
  <c r="N26" i="838"/>
  <c r="O25" i="838"/>
  <c r="R16" i="838"/>
  <c r="R21" i="838" s="1"/>
  <c r="N18" i="838"/>
  <c r="N25" i="838" s="1"/>
  <c r="P18" i="838"/>
  <c r="N19" i="838"/>
  <c r="O24" i="838" s="1"/>
  <c r="P19" i="838"/>
  <c r="N20" i="838"/>
  <c r="O26" i="838" s="1"/>
  <c r="P20" i="838"/>
  <c r="D30" i="838"/>
  <c r="C30" i="838"/>
  <c r="B30" i="838"/>
  <c r="D29" i="838"/>
  <c r="C29" i="838"/>
  <c r="B29" i="838"/>
  <c r="AT24" i="838"/>
  <c r="AT25" i="838" s="1"/>
  <c r="H22" i="838"/>
  <c r="F22" i="838"/>
  <c r="F27" i="838" s="1"/>
  <c r="H21" i="838"/>
  <c r="F21" i="838"/>
  <c r="F26" i="838" s="1"/>
  <c r="H20" i="838"/>
  <c r="F20" i="838"/>
  <c r="AO15" i="838"/>
  <c r="AM15" i="838"/>
  <c r="AL15" i="838"/>
  <c r="D15" i="838"/>
  <c r="C15" i="838"/>
  <c r="B15" i="838"/>
  <c r="AO14" i="838"/>
  <c r="AM14" i="838"/>
  <c r="AL14" i="838"/>
  <c r="D14" i="838"/>
  <c r="C14" i="838"/>
  <c r="B14" i="838"/>
  <c r="AO13" i="838"/>
  <c r="AM13" i="838"/>
  <c r="AL13" i="838"/>
  <c r="G12" i="838"/>
  <c r="F12" i="838"/>
  <c r="AD11" i="838"/>
  <c r="AY8" i="838"/>
  <c r="AO8" i="838"/>
  <c r="AM8" i="838"/>
  <c r="AL8" i="838"/>
  <c r="AF8" i="838"/>
  <c r="R8" i="838"/>
  <c r="BA7" i="838"/>
  <c r="AX7" i="838"/>
  <c r="AO7" i="838"/>
  <c r="AM7" i="838"/>
  <c r="AL7" i="838"/>
  <c r="AF7" i="838"/>
  <c r="AD7" i="838"/>
  <c r="AE12" i="838" s="1"/>
  <c r="X7" i="838"/>
  <c r="V7" i="838"/>
  <c r="W12" i="838" s="1"/>
  <c r="P7" i="838"/>
  <c r="N7" i="838"/>
  <c r="O12" i="838" s="1"/>
  <c r="H7" i="838"/>
  <c r="F7" i="838"/>
  <c r="G13" i="838" s="1"/>
  <c r="BA6" i="838"/>
  <c r="AX6" i="838"/>
  <c r="AO6" i="838"/>
  <c r="AM6" i="838"/>
  <c r="AL6" i="838"/>
  <c r="AF6" i="838"/>
  <c r="AD6" i="838"/>
  <c r="AE11" i="838" s="1"/>
  <c r="X6" i="838"/>
  <c r="V6" i="838"/>
  <c r="V13" i="838" s="1"/>
  <c r="P6" i="838"/>
  <c r="N6" i="838"/>
  <c r="N13" i="838" s="1"/>
  <c r="H6" i="838"/>
  <c r="F6" i="838"/>
  <c r="F13" i="838" s="1"/>
  <c r="BA5" i="838"/>
  <c r="AZ11" i="838" s="1"/>
  <c r="AX5" i="838"/>
  <c r="AF5" i="838"/>
  <c r="AD5" i="838"/>
  <c r="AD12" i="838" s="1"/>
  <c r="X5" i="838"/>
  <c r="X8" i="838" s="1"/>
  <c r="V5" i="838"/>
  <c r="V12" i="838" s="1"/>
  <c r="P5" i="838"/>
  <c r="P8" i="838" s="1"/>
  <c r="N5" i="838"/>
  <c r="N12" i="838" s="1"/>
  <c r="H5" i="838"/>
  <c r="F5" i="838"/>
  <c r="F11" i="838" s="1"/>
  <c r="AI3" i="838"/>
  <c r="AA3" i="838"/>
  <c r="S3" i="838"/>
  <c r="R63" i="837"/>
  <c r="R64" i="837" s="1"/>
  <c r="R62" i="837"/>
  <c r="H42" i="837"/>
  <c r="G42" i="837"/>
  <c r="Q38" i="837"/>
  <c r="I38" i="837"/>
  <c r="H38" i="837"/>
  <c r="G38" i="837"/>
  <c r="Q37" i="837"/>
  <c r="H37" i="837" a="1"/>
  <c r="H37" i="837" s="1"/>
  <c r="H30" i="837" s="1"/>
  <c r="Q36" i="837"/>
  <c r="S42" i="837" s="1"/>
  <c r="I36" i="837"/>
  <c r="H36" i="837"/>
  <c r="H29" i="837" s="1"/>
  <c r="G36" i="837"/>
  <c r="G37" i="837" s="1" a="1"/>
  <c r="G37" i="837" s="1"/>
  <c r="G30" i="837" s="1"/>
  <c r="I35" i="837"/>
  <c r="I29" i="837" s="1"/>
  <c r="H35" i="837"/>
  <c r="G35" i="837"/>
  <c r="I34" i="837"/>
  <c r="I37" i="837" s="1" a="1"/>
  <c r="I37" i="837" s="1"/>
  <c r="I30" i="837" s="1"/>
  <c r="H34" i="837"/>
  <c r="H33" i="837" s="1" a="1"/>
  <c r="H33" i="837" s="1"/>
  <c r="G34" i="837"/>
  <c r="G28" i="837" s="1"/>
  <c r="O33" i="837"/>
  <c r="I33" i="837" a="1"/>
  <c r="I33" i="837" s="1"/>
  <c r="B33" i="837"/>
  <c r="B35" i="837" s="1"/>
  <c r="O29" i="837"/>
  <c r="N29" i="837"/>
  <c r="M29" i="837"/>
  <c r="L29" i="837"/>
  <c r="H28" i="837"/>
  <c r="N27" i="837"/>
  <c r="M27" i="837"/>
  <c r="L27" i="837"/>
  <c r="N26" i="837"/>
  <c r="M26" i="837"/>
  <c r="L26" i="837"/>
  <c r="I25" i="837"/>
  <c r="H25" i="837"/>
  <c r="G25" i="837"/>
  <c r="O18" i="837"/>
  <c r="D15" i="837"/>
  <c r="C15" i="837"/>
  <c r="B15" i="837"/>
  <c r="S14" i="837"/>
  <c r="R14" i="837"/>
  <c r="T14" i="837" s="1"/>
  <c r="D14" i="837"/>
  <c r="C14" i="837"/>
  <c r="B14" i="837"/>
  <c r="V8" i="837"/>
  <c r="U8" i="837"/>
  <c r="T8" i="837"/>
  <c r="S8" i="837"/>
  <c r="R8" i="837"/>
  <c r="Q8" i="837"/>
  <c r="V7" i="837"/>
  <c r="R13" i="837" s="1"/>
  <c r="U7" i="837"/>
  <c r="T7" i="837"/>
  <c r="S7" i="837"/>
  <c r="R7" i="837"/>
  <c r="Q7" i="837"/>
  <c r="V6" i="837"/>
  <c r="U6" i="837"/>
  <c r="T6" i="837"/>
  <c r="S6" i="837"/>
  <c r="R6" i="837"/>
  <c r="Q6" i="837"/>
  <c r="S12" i="837" s="1"/>
  <c r="I4" i="837"/>
  <c r="H4" i="837"/>
  <c r="G4" i="837"/>
  <c r="AF8" i="841" l="1"/>
  <c r="AI5" i="842"/>
  <c r="AH5" i="842"/>
  <c r="AG5" i="842"/>
  <c r="J9" i="842" a="1"/>
  <c r="J9" i="842" s="1"/>
  <c r="R9" i="842"/>
  <c r="S6" i="842"/>
  <c r="N9" i="842"/>
  <c r="K6" i="842" a="1"/>
  <c r="K6" i="842" s="1"/>
  <c r="F9" i="842" a="1"/>
  <c r="F9" i="842" s="1"/>
  <c r="W7" i="842"/>
  <c r="V7" i="842"/>
  <c r="O9" i="842"/>
  <c r="G9" i="842" a="1"/>
  <c r="G9" i="842" s="1"/>
  <c r="P9" i="842"/>
  <c r="H9" i="842" a="1"/>
  <c r="H9" i="842" s="1"/>
  <c r="I9" i="842" a="1"/>
  <c r="I9" i="842" s="1"/>
  <c r="Q9" i="842"/>
  <c r="S7" i="842"/>
  <c r="K7" i="842" a="1"/>
  <c r="K7" i="842" s="1"/>
  <c r="AC9" i="841"/>
  <c r="AF9" i="841" s="1"/>
  <c r="S8" i="842"/>
  <c r="K8" i="842" a="1"/>
  <c r="K8" i="842" s="1"/>
  <c r="S36" i="837"/>
  <c r="R12" i="837"/>
  <c r="P21" i="838"/>
  <c r="Q19" i="838"/>
  <c r="Q20" i="838"/>
  <c r="Q18" i="838"/>
  <c r="S26" i="838"/>
  <c r="S25" i="838"/>
  <c r="S24" i="838"/>
  <c r="N24" i="838"/>
  <c r="G39" i="838"/>
  <c r="H39" i="838" s="1"/>
  <c r="G38" i="838"/>
  <c r="H38" i="838" s="1"/>
  <c r="H35" i="838"/>
  <c r="I35" i="838" s="1"/>
  <c r="K35" i="838" s="1"/>
  <c r="AA26" i="838"/>
  <c r="AA25" i="838"/>
  <c r="AA24" i="838"/>
  <c r="AG19" i="838"/>
  <c r="AG18" i="838"/>
  <c r="AG20" i="838"/>
  <c r="AF21" i="838"/>
  <c r="AI21" i="838" s="1"/>
  <c r="AH21" i="838" s="1"/>
  <c r="AI26" i="838" s="1"/>
  <c r="AD26" i="838"/>
  <c r="Y18" i="838"/>
  <c r="Y19" i="838"/>
  <c r="Y20" i="838"/>
  <c r="V25" i="838"/>
  <c r="W26" i="838"/>
  <c r="V26" i="838"/>
  <c r="B30" i="837"/>
  <c r="AG7" i="838"/>
  <c r="G8" i="837"/>
  <c r="B29" i="837"/>
  <c r="I5" i="838"/>
  <c r="Y5" i="838"/>
  <c r="AZ8" i="838"/>
  <c r="T37" i="837"/>
  <c r="S37" i="837"/>
  <c r="V37" i="837"/>
  <c r="U37" i="837"/>
  <c r="R37" i="837"/>
  <c r="M15" i="837"/>
  <c r="M14" i="837"/>
  <c r="C30" i="837"/>
  <c r="U38" i="837"/>
  <c r="T38" i="837"/>
  <c r="N14" i="837"/>
  <c r="S38" i="837"/>
  <c r="N15" i="837"/>
  <c r="R38" i="837"/>
  <c r="V38" i="837"/>
  <c r="H8" i="837"/>
  <c r="C29" i="837"/>
  <c r="G15" i="837"/>
  <c r="G27" i="838"/>
  <c r="G26" i="838"/>
  <c r="H26" i="838" s="1"/>
  <c r="L30" i="837"/>
  <c r="L14" i="837"/>
  <c r="R36" i="837"/>
  <c r="S44" i="837"/>
  <c r="S43" i="837" s="1"/>
  <c r="W42" i="837" s="1"/>
  <c r="T36" i="837"/>
  <c r="U36" i="837"/>
  <c r="R44" i="837"/>
  <c r="L15" i="837"/>
  <c r="V36" i="837"/>
  <c r="Q6" i="838"/>
  <c r="Q7" i="838"/>
  <c r="I8" i="837"/>
  <c r="H15" i="837"/>
  <c r="I15" i="837"/>
  <c r="M30" i="837"/>
  <c r="I6" i="838"/>
  <c r="Y6" i="838"/>
  <c r="I7" i="838"/>
  <c r="Y7" i="838"/>
  <c r="AG6" i="838"/>
  <c r="Q5" i="838"/>
  <c r="AG5" i="838"/>
  <c r="B28" i="837"/>
  <c r="N30" i="837"/>
  <c r="C28" i="837"/>
  <c r="T12" i="837"/>
  <c r="H27" i="837"/>
  <c r="S13" i="837"/>
  <c r="T13" i="837" s="1"/>
  <c r="I27" i="837"/>
  <c r="G29" i="837"/>
  <c r="G33" i="837" a="1"/>
  <c r="G33" i="837" s="1"/>
  <c r="BA8" i="838"/>
  <c r="N11" i="838"/>
  <c r="W11" i="838"/>
  <c r="AE13" i="838"/>
  <c r="V11" i="838"/>
  <c r="AD13" i="838"/>
  <c r="I28" i="837"/>
  <c r="H8" i="838"/>
  <c r="AI8" i="838"/>
  <c r="AH8" i="838" s="1"/>
  <c r="AI13" i="838" s="1"/>
  <c r="O11" i="838"/>
  <c r="W13" i="838"/>
  <c r="G11" i="838"/>
  <c r="O13" i="838"/>
  <c r="H23" i="838"/>
  <c r="I23" i="838" s="1"/>
  <c r="K23" i="838" s="1"/>
  <c r="AR20" i="838" l="1"/>
  <c r="AF10" i="841"/>
  <c r="AJ12" i="842"/>
  <c r="X7" i="842"/>
  <c r="K9" i="842" a="1"/>
  <c r="K9" i="842" s="1"/>
  <c r="AH8" i="842"/>
  <c r="AH9" i="842" s="1"/>
  <c r="AH6" i="842"/>
  <c r="AI8" i="842"/>
  <c r="AI9" i="842" s="1"/>
  <c r="AI6" i="842"/>
  <c r="S9" i="842"/>
  <c r="U7" i="842" s="1"/>
  <c r="AG6" i="842"/>
  <c r="AG8" i="842"/>
  <c r="AE7" i="840"/>
  <c r="AC7" i="840"/>
  <c r="AD7" i="840"/>
  <c r="D30" i="837"/>
  <c r="O15" i="837"/>
  <c r="M16" i="837"/>
  <c r="X26" i="838"/>
  <c r="Z26" i="838" s="1"/>
  <c r="AB26" i="838" s="1"/>
  <c r="P25" i="838"/>
  <c r="R25" i="838" s="1"/>
  <c r="T25" i="838" s="1"/>
  <c r="P24" i="838"/>
  <c r="R24" i="838" s="1"/>
  <c r="T24" i="838" s="1"/>
  <c r="AF13" i="838"/>
  <c r="AH13" i="838" s="1"/>
  <c r="AJ13" i="838" s="1"/>
  <c r="H13" i="838"/>
  <c r="P26" i="838"/>
  <c r="R26" i="838" s="1"/>
  <c r="T26" i="838" s="1"/>
  <c r="AI25" i="838"/>
  <c r="AI24" i="838"/>
  <c r="AF24" i="838"/>
  <c r="AH24" i="838" s="1"/>
  <c r="AJ24" i="838" s="1"/>
  <c r="AF25" i="838"/>
  <c r="AH25" i="838" s="1"/>
  <c r="AJ25" i="838" s="1"/>
  <c r="AF26" i="838"/>
  <c r="AH26" i="838" s="1"/>
  <c r="AJ26" i="838" s="1"/>
  <c r="X24" i="838"/>
  <c r="Z24" i="838" s="1"/>
  <c r="AB24" i="838" s="1"/>
  <c r="X25" i="838"/>
  <c r="Z25" i="838" s="1"/>
  <c r="AB25" i="838" s="1"/>
  <c r="AI11" i="838"/>
  <c r="AA12" i="838"/>
  <c r="S12" i="838"/>
  <c r="AA11" i="838"/>
  <c r="S11" i="838"/>
  <c r="AA13" i="838"/>
  <c r="S13" i="838"/>
  <c r="B32" i="837"/>
  <c r="W6" i="837"/>
  <c r="X12" i="837"/>
  <c r="W8" i="837"/>
  <c r="Y12" i="837"/>
  <c r="W7" i="837"/>
  <c r="AF12" i="838"/>
  <c r="AH12" i="838" s="1"/>
  <c r="AJ12" i="838" s="1"/>
  <c r="AF11" i="838"/>
  <c r="AH11" i="838" s="1"/>
  <c r="AJ11" i="838" s="1"/>
  <c r="H27" i="838"/>
  <c r="N16" i="837"/>
  <c r="P12" i="838"/>
  <c r="R12" i="838" s="1"/>
  <c r="T12" i="838" s="1"/>
  <c r="P11" i="838"/>
  <c r="R11" i="838" s="1"/>
  <c r="T11" i="838" s="1"/>
  <c r="D29" i="837"/>
  <c r="AI12" i="838"/>
  <c r="T44" i="837"/>
  <c r="AY11" i="838"/>
  <c r="BA11" i="838" s="1"/>
  <c r="BC11" i="838" s="1"/>
  <c r="O30" i="837"/>
  <c r="O31" i="837" s="1"/>
  <c r="I13" i="838"/>
  <c r="L13" i="838" s="1"/>
  <c r="I11" i="838"/>
  <c r="L11" i="838" s="1"/>
  <c r="I12" i="838"/>
  <c r="L12" i="838" s="1"/>
  <c r="U12" i="837"/>
  <c r="V12" i="837" s="1"/>
  <c r="P13" i="838"/>
  <c r="R13" i="838" s="1"/>
  <c r="T13" i="838" s="1"/>
  <c r="L16" i="837"/>
  <c r="X12" i="838"/>
  <c r="Z12" i="838" s="1"/>
  <c r="AB12" i="838" s="1"/>
  <c r="X11" i="838"/>
  <c r="Z11" i="838" s="1"/>
  <c r="AB11" i="838" s="1"/>
  <c r="G27" i="837"/>
  <c r="G40" i="837"/>
  <c r="G26" i="837" s="1"/>
  <c r="D28" i="837"/>
  <c r="X13" i="838"/>
  <c r="Z13" i="838" s="1"/>
  <c r="AB13" i="838" s="1"/>
  <c r="R43" i="837"/>
  <c r="T43" i="837" s="1"/>
  <c r="H11" i="838"/>
  <c r="H12" i="838"/>
  <c r="J12" i="838" s="1"/>
  <c r="O32" i="837"/>
  <c r="AF11" i="841"/>
  <c r="AU25" i="838" l="1"/>
  <c r="AV25" i="838" s="1"/>
  <c r="AU23" i="838"/>
  <c r="AR6" i="838"/>
  <c r="AT9" i="838" s="1"/>
  <c r="AU9" i="838" s="1"/>
  <c r="AF13" i="841"/>
  <c r="AF15" i="841" s="1"/>
  <c r="AU24" i="838"/>
  <c r="AJ8" i="842"/>
  <c r="N6" i="842" a="1"/>
  <c r="P8" i="842" s="1"/>
  <c r="AG9" i="842"/>
  <c r="AJ9" i="842" s="1"/>
  <c r="AF14" i="840"/>
  <c r="AE8" i="840"/>
  <c r="AE10" i="840"/>
  <c r="AE11" i="840" s="1"/>
  <c r="AD8" i="840"/>
  <c r="AD10" i="840"/>
  <c r="AD11" i="840" s="1"/>
  <c r="AC8" i="840"/>
  <c r="AC10" i="840"/>
  <c r="B40" i="837"/>
  <c r="R42" i="837"/>
  <c r="T42" i="837" s="1"/>
  <c r="U42" i="837" s="1"/>
  <c r="V42" i="837" s="1"/>
  <c r="O34" i="837"/>
  <c r="O36" i="837" s="1"/>
  <c r="J11" i="838"/>
  <c r="O16" i="837"/>
  <c r="O17" i="837" s="1"/>
  <c r="O19" i="837" s="1"/>
  <c r="O21" i="837" s="1"/>
  <c r="Y7" i="837"/>
  <c r="X7" i="837"/>
  <c r="J13" i="838"/>
  <c r="B38" i="837"/>
  <c r="B39" i="837"/>
  <c r="X8" i="837"/>
  <c r="Y8" i="837"/>
  <c r="W38" i="837"/>
  <c r="X42" i="837"/>
  <c r="W36" i="837"/>
  <c r="W37" i="837"/>
  <c r="Y42" i="837"/>
  <c r="X6" i="837"/>
  <c r="Y6" i="837"/>
  <c r="I31" i="837"/>
  <c r="H26" i="837"/>
  <c r="G31" i="837"/>
  <c r="I26" i="837"/>
  <c r="H31" i="837"/>
  <c r="C38" i="837"/>
  <c r="C40" i="837"/>
  <c r="C39" i="837"/>
  <c r="AV24" i="838" l="1"/>
  <c r="AV23" i="838" s="1"/>
  <c r="AT10" i="838"/>
  <c r="AU10" i="838" s="1"/>
  <c r="N8" i="842"/>
  <c r="N7" i="842"/>
  <c r="O8" i="842"/>
  <c r="Q8" i="842"/>
  <c r="O6" i="842"/>
  <c r="O7" i="842"/>
  <c r="P6" i="842"/>
  <c r="R8" i="842"/>
  <c r="Q6" i="842"/>
  <c r="P7" i="842"/>
  <c r="R7" i="842"/>
  <c r="N6" i="842"/>
  <c r="R6" i="842"/>
  <c r="Q7" i="842"/>
  <c r="AJ10" i="842"/>
  <c r="AF10" i="840"/>
  <c r="AC11" i="840"/>
  <c r="AF11" i="840" s="1"/>
  <c r="D40" i="837"/>
  <c r="X38" i="837"/>
  <c r="Y38" i="837"/>
  <c r="D39" i="837"/>
  <c r="X36" i="837"/>
  <c r="Y36" i="837"/>
  <c r="D38" i="837"/>
  <c r="Y37" i="837"/>
  <c r="X37" i="837"/>
  <c r="AJ11" i="842"/>
  <c r="AT11" i="838" l="1"/>
  <c r="AU11" i="838" s="1"/>
  <c r="AV11" i="838" s="1"/>
  <c r="AV10" i="838" s="1"/>
  <c r="AV9" i="838" s="1"/>
  <c r="W12" i="842"/>
  <c r="Z12" i="842"/>
  <c r="Y12" i="842"/>
  <c r="Z11" i="842"/>
  <c r="W11" i="842"/>
  <c r="Y11" i="842"/>
  <c r="AJ13" i="842"/>
  <c r="AJ15" i="842" s="1"/>
  <c r="AF12" i="840"/>
  <c r="A3" i="835"/>
  <c r="A4" i="835" s="1"/>
  <c r="A5" i="835" s="1"/>
  <c r="A6" i="835" s="1"/>
  <c r="A7" i="835" s="1"/>
  <c r="A8" i="835" s="1"/>
  <c r="A9" i="835" s="1"/>
  <c r="A10" i="835" s="1"/>
  <c r="A11" i="835" s="1"/>
  <c r="A12" i="835" s="1"/>
  <c r="A13" i="835" s="1"/>
  <c r="A14" i="835" s="1"/>
  <c r="A15" i="835" s="1"/>
  <c r="A16" i="835" s="1"/>
  <c r="AF13" i="840"/>
  <c r="S11" i="807" l="1"/>
  <c r="S10" i="807"/>
  <c r="S8" i="807"/>
  <c r="S7" i="807"/>
  <c r="S6" i="807"/>
  <c r="S9" i="807"/>
  <c r="S5" i="807"/>
  <c r="AF15" i="840"/>
  <c r="AF17" i="840" s="1"/>
  <c r="AH6" i="458"/>
  <c r="M36" i="834"/>
  <c r="M35" i="834"/>
  <c r="M34" i="834"/>
  <c r="N43" i="834" s="1"/>
  <c r="M33" i="834"/>
  <c r="L33" i="834" a="1"/>
  <c r="L33" i="834" s="1"/>
  <c r="L41" i="834" s="1"/>
  <c r="AH8" i="459" l="1"/>
  <c r="AH7" i="459"/>
  <c r="AH10" i="459"/>
  <c r="AH6" i="459"/>
  <c r="AH5" i="459"/>
  <c r="AH11" i="459"/>
  <c r="AH9" i="459"/>
  <c r="AH9" i="458"/>
  <c r="AH5" i="458"/>
  <c r="AH10" i="458"/>
  <c r="AH8" i="458"/>
  <c r="AH7" i="458"/>
  <c r="AH11" i="458"/>
  <c r="N45" i="834"/>
  <c r="N40" i="834"/>
  <c r="N41" i="834"/>
  <c r="L42" i="834"/>
  <c r="N44" i="834"/>
  <c r="L40" i="834"/>
  <c r="N42" i="834"/>
  <c r="L36" i="834"/>
  <c r="L35" i="834"/>
  <c r="L34" i="834"/>
  <c r="G18" i="834" a="1"/>
  <c r="G18" i="834" s="1"/>
  <c r="L43" i="834" l="1"/>
  <c r="M40" i="834"/>
  <c r="L44" i="834"/>
  <c r="M43" i="834"/>
  <c r="L45" i="834"/>
  <c r="M41" i="834"/>
  <c r="M45" i="834"/>
  <c r="M42" i="834"/>
  <c r="M44" i="834"/>
  <c r="T42" i="834"/>
  <c r="P42" i="834"/>
  <c r="T43" i="834"/>
  <c r="P43" i="834"/>
  <c r="P40" i="834"/>
  <c r="T40" i="834"/>
  <c r="P44" i="834"/>
  <c r="T44" i="834"/>
  <c r="P41" i="834"/>
  <c r="T41" i="834"/>
  <c r="P45" i="834"/>
  <c r="T45" i="834"/>
  <c r="I22" i="834"/>
  <c r="I21" i="834"/>
  <c r="I20" i="834"/>
  <c r="I19" i="834"/>
  <c r="I18" i="834"/>
  <c r="J22" i="834"/>
  <c r="J21" i="834"/>
  <c r="J20" i="834"/>
  <c r="J19" i="834"/>
  <c r="J18" i="834"/>
  <c r="H22" i="834"/>
  <c r="H21" i="834"/>
  <c r="H20" i="834"/>
  <c r="H19" i="834"/>
  <c r="H18" i="834"/>
  <c r="G22" i="834"/>
  <c r="G21" i="834"/>
  <c r="G20" i="834"/>
  <c r="G19" i="834"/>
  <c r="V7" i="834"/>
  <c r="V6" i="834"/>
  <c r="V5" i="834"/>
  <c r="V4" i="834"/>
  <c r="U4" i="834" a="1"/>
  <c r="U6" i="834" s="1"/>
  <c r="G2" i="834" a="1"/>
  <c r="G6" i="834" s="1"/>
  <c r="P1" i="832" a="1"/>
  <c r="P1" i="832" s="1"/>
  <c r="L20" i="834" l="1" a="1"/>
  <c r="L22" i="834" s="1"/>
  <c r="W15" i="834"/>
  <c r="W16" i="834"/>
  <c r="M20" i="834"/>
  <c r="L20" i="834"/>
  <c r="L21" i="834"/>
  <c r="H3" i="834"/>
  <c r="M21" i="834"/>
  <c r="H4" i="834"/>
  <c r="H2" i="834"/>
  <c r="L4" i="834" s="1" a="1"/>
  <c r="H5" i="834"/>
  <c r="H6" i="834"/>
  <c r="M22" i="834"/>
  <c r="Q41" i="834"/>
  <c r="R41" i="834"/>
  <c r="R40" i="834"/>
  <c r="Q40" i="834"/>
  <c r="U43" i="834"/>
  <c r="U42" i="834"/>
  <c r="U41" i="834"/>
  <c r="U40" i="834"/>
  <c r="Q43" i="834"/>
  <c r="R43" i="834"/>
  <c r="R42" i="834"/>
  <c r="Q42" i="834"/>
  <c r="Q45" i="834"/>
  <c r="R45" i="834"/>
  <c r="R44" i="834"/>
  <c r="Q44" i="834"/>
  <c r="U45" i="834"/>
  <c r="U44" i="834"/>
  <c r="X16" i="834"/>
  <c r="U16" i="834"/>
  <c r="V14" i="834"/>
  <c r="V12" i="834"/>
  <c r="X15" i="834"/>
  <c r="I2" i="834"/>
  <c r="I3" i="834"/>
  <c r="I4" i="834"/>
  <c r="I5" i="834"/>
  <c r="I6" i="834"/>
  <c r="U4" i="834"/>
  <c r="W11" i="834"/>
  <c r="W12" i="834"/>
  <c r="W13" i="834"/>
  <c r="W14" i="834"/>
  <c r="J2" i="834"/>
  <c r="J3" i="834"/>
  <c r="J5" i="834"/>
  <c r="J6" i="834"/>
  <c r="U5" i="834"/>
  <c r="U7" i="834"/>
  <c r="J4" i="834"/>
  <c r="G2" i="834"/>
  <c r="G3" i="834"/>
  <c r="G4" i="834"/>
  <c r="G5" i="834"/>
  <c r="S5" i="832"/>
  <c r="S4" i="832"/>
  <c r="S3" i="832"/>
  <c r="S2" i="832"/>
  <c r="S1" i="832"/>
  <c r="R5" i="832"/>
  <c r="R4" i="832"/>
  <c r="R3" i="832"/>
  <c r="R2" i="832"/>
  <c r="R1" i="832"/>
  <c r="Q5" i="832"/>
  <c r="Q4" i="832"/>
  <c r="Q3" i="832"/>
  <c r="Q2" i="832"/>
  <c r="Q1" i="832"/>
  <c r="P5" i="832"/>
  <c r="P4" i="832"/>
  <c r="P3" i="832"/>
  <c r="P2" i="832"/>
  <c r="T28" i="834" l="1"/>
  <c r="N28" i="834"/>
  <c r="M4" i="834"/>
  <c r="M28" i="834"/>
  <c r="M27" i="834"/>
  <c r="M26" i="834"/>
  <c r="L28" i="834"/>
  <c r="L26" i="834"/>
  <c r="L27" i="834"/>
  <c r="N27" i="834"/>
  <c r="N26" i="834"/>
  <c r="AB15" i="834"/>
  <c r="Z8" i="834"/>
  <c r="Z11" i="834" s="1"/>
  <c r="X13" i="834"/>
  <c r="X11" i="834"/>
  <c r="AB16" i="834"/>
  <c r="M6" i="834"/>
  <c r="N11" i="834" s="1"/>
  <c r="X14" i="834"/>
  <c r="X12" i="834"/>
  <c r="U13" i="834"/>
  <c r="U12" i="834"/>
  <c r="U11" i="834"/>
  <c r="M5" i="834"/>
  <c r="L4" i="834"/>
  <c r="L6" i="834"/>
  <c r="L5" i="834"/>
  <c r="V16" i="834"/>
  <c r="V15" i="834"/>
  <c r="V13" i="834"/>
  <c r="U15" i="834"/>
  <c r="U14" i="834"/>
  <c r="V11" i="834"/>
  <c r="V6" i="832"/>
  <c r="W6" i="832"/>
  <c r="X6" i="832"/>
  <c r="V7" i="832"/>
  <c r="W7" i="832"/>
  <c r="X7" i="832"/>
  <c r="V8" i="832"/>
  <c r="W8" i="832"/>
  <c r="X8" i="832"/>
  <c r="W5" i="832"/>
  <c r="X5" i="832"/>
  <c r="V5" i="832"/>
  <c r="U6" i="832"/>
  <c r="U7" i="832" s="1"/>
  <c r="U8" i="832" s="1"/>
  <c r="W3" i="832"/>
  <c r="X3" i="832"/>
  <c r="V3" i="832"/>
  <c r="J4" i="832"/>
  <c r="I4" i="832"/>
  <c r="H4" i="832"/>
  <c r="H6" i="832"/>
  <c r="I6" i="832"/>
  <c r="J6" i="832"/>
  <c r="K6" i="832"/>
  <c r="H7" i="832"/>
  <c r="I7" i="832"/>
  <c r="J7" i="832"/>
  <c r="K7" i="832"/>
  <c r="I5" i="832"/>
  <c r="J5" i="832"/>
  <c r="K5" i="832"/>
  <c r="H5" i="832"/>
  <c r="G6" i="832"/>
  <c r="G7" i="832" s="1"/>
  <c r="I3" i="832"/>
  <c r="J3" i="832"/>
  <c r="K3" i="832"/>
  <c r="H3" i="832"/>
  <c r="P28" i="834" l="1"/>
  <c r="L7" i="832"/>
  <c r="L5" i="832"/>
  <c r="Y14" i="834"/>
  <c r="Y11" i="834"/>
  <c r="Z13" i="834"/>
  <c r="Y12" i="834"/>
  <c r="Z14" i="834"/>
  <c r="Y13" i="834"/>
  <c r="Q28" i="834"/>
  <c r="R28" i="834"/>
  <c r="Y8" i="832"/>
  <c r="P26" i="834"/>
  <c r="L6" i="832"/>
  <c r="L9" i="832" s="1"/>
  <c r="L10" i="832" s="1"/>
  <c r="H14" i="832" s="1"/>
  <c r="Z12" i="834"/>
  <c r="T26" i="834"/>
  <c r="Q26" i="834" s="1"/>
  <c r="T27" i="834"/>
  <c r="Q27" i="834" s="1"/>
  <c r="P27" i="834"/>
  <c r="L12" i="834"/>
  <c r="M10" i="834"/>
  <c r="O11" i="834"/>
  <c r="M11" i="834"/>
  <c r="M12" i="834"/>
  <c r="AB12" i="834"/>
  <c r="L11" i="834"/>
  <c r="L10" i="834"/>
  <c r="N12" i="834"/>
  <c r="N10" i="834"/>
  <c r="AB14" i="834"/>
  <c r="AB11" i="834"/>
  <c r="AB13" i="834"/>
  <c r="Z16" i="834"/>
  <c r="Y15" i="834"/>
  <c r="Y16" i="834"/>
  <c r="Z15" i="834"/>
  <c r="Y6" i="832"/>
  <c r="Y5" i="832"/>
  <c r="Y7" i="832"/>
  <c r="U28" i="834" l="1"/>
  <c r="I14" i="832"/>
  <c r="K14" i="832" s="1"/>
  <c r="L14" i="832" s="1"/>
  <c r="L8" i="832"/>
  <c r="G14" i="832" s="1"/>
  <c r="J14" i="832"/>
  <c r="X15" i="832"/>
  <c r="U27" i="834"/>
  <c r="U26" i="834"/>
  <c r="R27" i="834"/>
  <c r="R26" i="834"/>
  <c r="Y10" i="832"/>
  <c r="Y11" i="832" s="1"/>
  <c r="V15" i="832" s="1"/>
  <c r="Y9" i="832"/>
  <c r="S11" i="834"/>
  <c r="Q7" i="834"/>
  <c r="P10" i="834" s="1"/>
  <c r="O10" i="834"/>
  <c r="O12" i="834"/>
  <c r="U15" i="832"/>
  <c r="M14" i="832"/>
  <c r="AA15" i="832" l="1"/>
  <c r="N14" i="832"/>
  <c r="Q10" i="834"/>
  <c r="Q12" i="834"/>
  <c r="P12" i="834"/>
  <c r="S10" i="834"/>
  <c r="S12" i="834"/>
  <c r="Q11" i="834"/>
  <c r="P11" i="834"/>
  <c r="AB15" i="832"/>
  <c r="W15" i="832"/>
  <c r="Y15" i="832" s="1"/>
  <c r="Z15" i="832" s="1"/>
  <c r="J22" i="690" l="1"/>
  <c r="O9" i="690" s="1"/>
  <c r="I22" i="690"/>
  <c r="H22" i="690"/>
  <c r="G22" i="690"/>
  <c r="J21" i="690"/>
  <c r="I21" i="690"/>
  <c r="M8" i="690" s="1"/>
  <c r="H21" i="690"/>
  <c r="G21" i="690"/>
  <c r="F21" i="690"/>
  <c r="J20" i="690"/>
  <c r="I20" i="690"/>
  <c r="H20" i="690"/>
  <c r="G20" i="690"/>
  <c r="F20" i="690"/>
  <c r="J19" i="690"/>
  <c r="I19" i="690"/>
  <c r="H19" i="690"/>
  <c r="G19" i="690"/>
  <c r="F19" i="690"/>
  <c r="I18" i="690"/>
  <c r="H18" i="690"/>
  <c r="G18" i="690"/>
  <c r="J15" i="690"/>
  <c r="I15" i="690"/>
  <c r="H15" i="690"/>
  <c r="G15" i="690"/>
  <c r="J14" i="690"/>
  <c r="U5" i="690" s="1"/>
  <c r="I14" i="690"/>
  <c r="H14" i="690"/>
  <c r="G14" i="690"/>
  <c r="F14" i="690"/>
  <c r="J13" i="690"/>
  <c r="I13" i="690"/>
  <c r="H13" i="690"/>
  <c r="G13" i="690"/>
  <c r="F13" i="690"/>
  <c r="AE3" i="690" s="1" a="1"/>
  <c r="J12" i="690"/>
  <c r="U3" i="690" s="1"/>
  <c r="I12" i="690"/>
  <c r="H12" i="690"/>
  <c r="G12" i="690"/>
  <c r="F12" i="690"/>
  <c r="I11" i="690"/>
  <c r="H11" i="690"/>
  <c r="G11" i="690"/>
  <c r="AF12" i="690" s="1" a="1"/>
  <c r="J8" i="690"/>
  <c r="N9" i="690" s="1"/>
  <c r="I8" i="690"/>
  <c r="H8" i="690"/>
  <c r="G8" i="690"/>
  <c r="J7" i="690"/>
  <c r="I7" i="690"/>
  <c r="H7" i="690"/>
  <c r="G7" i="690"/>
  <c r="F7" i="690"/>
  <c r="J6" i="690"/>
  <c r="V4" i="690" s="1"/>
  <c r="I6" i="690"/>
  <c r="H6" i="690"/>
  <c r="G6" i="690"/>
  <c r="F6" i="690"/>
  <c r="V5" i="690"/>
  <c r="T5" i="690"/>
  <c r="U10" i="690" s="1"/>
  <c r="J5" i="690"/>
  <c r="V3" i="690" s="1"/>
  <c r="I5" i="690"/>
  <c r="H5" i="690"/>
  <c r="G5" i="690"/>
  <c r="F5" i="690"/>
  <c r="U4" i="690"/>
  <c r="I4" i="690"/>
  <c r="H4" i="690"/>
  <c r="G4" i="690"/>
  <c r="T3" i="690"/>
  <c r="T10" i="690" s="1"/>
  <c r="T4" i="690" l="1"/>
  <c r="T11" i="690" s="1"/>
  <c r="AE13" i="690" a="1"/>
  <c r="V16" i="690" a="1"/>
  <c r="V18" i="690" s="1"/>
  <c r="T9" i="690"/>
  <c r="V11" i="690"/>
  <c r="AL18" i="690"/>
  <c r="U11" i="690"/>
  <c r="N6" i="690"/>
  <c r="AF2" i="690" a="1"/>
  <c r="AF2" i="690" s="1"/>
  <c r="AK3" i="690" s="1" a="1"/>
  <c r="AK3" i="690" s="1"/>
  <c r="M5" i="690"/>
  <c r="N5" i="690"/>
  <c r="AE13" i="690"/>
  <c r="AJ14" i="690" s="1" a="1"/>
  <c r="AJ14" i="690" s="1"/>
  <c r="AE15" i="690"/>
  <c r="AE14" i="690"/>
  <c r="AJ13" i="690" s="1" a="1"/>
  <c r="AJ13" i="690" s="1"/>
  <c r="V10" i="690"/>
  <c r="V9" i="690"/>
  <c r="AH2" i="690"/>
  <c r="AK4" i="690" s="1" a="1"/>
  <c r="AK4" i="690" s="1"/>
  <c r="AG2" i="690"/>
  <c r="AE5" i="690"/>
  <c r="AE3" i="690"/>
  <c r="AE4" i="690"/>
  <c r="G3" i="690"/>
  <c r="AF12" i="690"/>
  <c r="AG12" i="690"/>
  <c r="AH12" i="690"/>
  <c r="M9" i="690"/>
  <c r="T16" i="690" a="1"/>
  <c r="U16" i="690" a="1"/>
  <c r="M6" i="690"/>
  <c r="O6" i="690" s="1"/>
  <c r="V16" i="690"/>
  <c r="AN5" i="690"/>
  <c r="AL8" i="690"/>
  <c r="AN15" i="690"/>
  <c r="V17" i="690"/>
  <c r="U9" i="690"/>
  <c r="V6" i="690"/>
  <c r="W6" i="690" s="1"/>
  <c r="W11" i="690" s="1"/>
  <c r="M7" i="690" l="1"/>
  <c r="O5" i="690"/>
  <c r="W9" i="690"/>
  <c r="Y9" i="690" s="1"/>
  <c r="Z9" i="690" s="1"/>
  <c r="N7" i="690"/>
  <c r="N8" i="690" s="1"/>
  <c r="O8" i="690" s="1"/>
  <c r="P6" i="690" s="1"/>
  <c r="Q6" i="690" s="1"/>
  <c r="Y11" i="690"/>
  <c r="X11" i="690"/>
  <c r="AC11" i="690"/>
  <c r="V19" i="690"/>
  <c r="W19" i="690" s="1"/>
  <c r="AK13" i="690" a="1"/>
  <c r="AK13" i="690" s="1"/>
  <c r="AL13" i="690" s="1"/>
  <c r="AK14" i="690" a="1"/>
  <c r="AK14" i="690" s="1"/>
  <c r="AL14" i="690" s="1"/>
  <c r="U18" i="690"/>
  <c r="U17" i="690"/>
  <c r="U16" i="690"/>
  <c r="W10" i="690"/>
  <c r="Y10" i="690" s="1"/>
  <c r="T18" i="690"/>
  <c r="T16" i="690"/>
  <c r="T17" i="690"/>
  <c r="AJ3" i="690" a="1"/>
  <c r="AJ3" i="690" s="1"/>
  <c r="AJ4" i="690" a="1"/>
  <c r="AJ4" i="690" s="1"/>
  <c r="AL15" i="690" l="1"/>
  <c r="V24" i="690"/>
  <c r="X9" i="690"/>
  <c r="AC10" i="690"/>
  <c r="AM13" i="690"/>
  <c r="AM15" i="690" s="1"/>
  <c r="AJ18" i="690" s="1"/>
  <c r="AN18" i="690" s="1"/>
  <c r="O7" i="690"/>
  <c r="P7" i="690" s="1"/>
  <c r="Q7" i="690" s="1"/>
  <c r="X10" i="690"/>
  <c r="AM14" i="690"/>
  <c r="P5" i="690"/>
  <c r="Q5" i="690" s="1"/>
  <c r="AC9" i="690"/>
  <c r="AA9" i="690"/>
  <c r="Z10" i="690"/>
  <c r="AA10" i="690"/>
  <c r="U22" i="690"/>
  <c r="T24" i="690"/>
  <c r="V23" i="690"/>
  <c r="V22" i="690"/>
  <c r="Z11" i="690"/>
  <c r="AA11" i="690"/>
  <c r="AM3" i="690"/>
  <c r="AM5" i="690" s="1"/>
  <c r="AJ8" i="690" s="1"/>
  <c r="AN8" i="690" s="1"/>
  <c r="AL3" i="690"/>
  <c r="U24" i="690"/>
  <c r="U23" i="690"/>
  <c r="AM4" i="690"/>
  <c r="AL4" i="690"/>
  <c r="T23" i="690"/>
  <c r="T22" i="690"/>
  <c r="W24" i="690"/>
  <c r="Y24" i="690" s="1"/>
  <c r="W22" i="690"/>
  <c r="Y22" i="690" s="1"/>
  <c r="W23" i="690"/>
  <c r="Y23" i="690" s="1"/>
  <c r="H14" i="828"/>
  <c r="G14" i="828"/>
  <c r="S12" i="828"/>
  <c r="R12" i="828"/>
  <c r="Q12" i="828"/>
  <c r="P12" i="828"/>
  <c r="S11" i="828"/>
  <c r="R11" i="828"/>
  <c r="Q11" i="828"/>
  <c r="P11" i="828"/>
  <c r="S10" i="828"/>
  <c r="R10" i="828"/>
  <c r="Q10" i="828"/>
  <c r="P10" i="828"/>
  <c r="S9" i="828"/>
  <c r="R9" i="828"/>
  <c r="Q9" i="828"/>
  <c r="P9" i="828"/>
  <c r="S8" i="828"/>
  <c r="R8" i="828"/>
  <c r="Q8" i="828"/>
  <c r="P8" i="828"/>
  <c r="K8" i="828"/>
  <c r="J8" i="828"/>
  <c r="I8" i="828"/>
  <c r="H8" i="828"/>
  <c r="G8" i="828"/>
  <c r="F8" i="828"/>
  <c r="S7" i="828"/>
  <c r="R7" i="828"/>
  <c r="Q7" i="828"/>
  <c r="P7" i="828"/>
  <c r="K7" i="828"/>
  <c r="J7" i="828"/>
  <c r="I7" i="828"/>
  <c r="H7" i="828"/>
  <c r="G7" i="828"/>
  <c r="F7" i="828"/>
  <c r="K6" i="828"/>
  <c r="J6" i="828"/>
  <c r="I6" i="828"/>
  <c r="H6" i="828"/>
  <c r="G6" i="828"/>
  <c r="F6" i="828"/>
  <c r="K5" i="828"/>
  <c r="J5" i="828"/>
  <c r="I5" i="828"/>
  <c r="H5" i="828"/>
  <c r="G5" i="828"/>
  <c r="F5" i="828"/>
  <c r="G9" i="827"/>
  <c r="J8" i="827"/>
  <c r="I8" i="827"/>
  <c r="H8" i="827"/>
  <c r="F8" i="827"/>
  <c r="J7" i="827"/>
  <c r="I7" i="827"/>
  <c r="H7" i="827"/>
  <c r="F7" i="827"/>
  <c r="J6" i="827"/>
  <c r="I6" i="827"/>
  <c r="H6" i="827"/>
  <c r="F6" i="827"/>
  <c r="J5" i="827"/>
  <c r="J9" i="827" s="1"/>
  <c r="I5" i="827"/>
  <c r="I9" i="827" s="1"/>
  <c r="H5" i="827"/>
  <c r="F5" i="827"/>
  <c r="H16" i="826"/>
  <c r="G16" i="826"/>
  <c r="H14" i="826"/>
  <c r="K10" i="826"/>
  <c r="J10" i="826"/>
  <c r="I10" i="826"/>
  <c r="P8" i="826" s="1"/>
  <c r="S8" i="826" s="1"/>
  <c r="H10" i="826"/>
  <c r="G10" i="826"/>
  <c r="Q8" i="826" s="1"/>
  <c r="R8" i="826" s="1"/>
  <c r="K9" i="826"/>
  <c r="J9" i="826"/>
  <c r="I9" i="826"/>
  <c r="H9" i="826"/>
  <c r="G9" i="826"/>
  <c r="K8" i="826"/>
  <c r="J8" i="826"/>
  <c r="I8" i="826"/>
  <c r="P6" i="826" s="1"/>
  <c r="H8" i="826"/>
  <c r="G8" i="826"/>
  <c r="Q6" i="826" s="1"/>
  <c r="R6" i="826" s="1"/>
  <c r="K7" i="826"/>
  <c r="J7" i="826"/>
  <c r="I7" i="826"/>
  <c r="P5" i="826" s="1"/>
  <c r="S5" i="826" s="1"/>
  <c r="H7" i="826"/>
  <c r="G7" i="826"/>
  <c r="Q5" i="826" s="1"/>
  <c r="R5" i="826" s="1"/>
  <c r="S6" i="826"/>
  <c r="I7" i="825"/>
  <c r="H7" i="825"/>
  <c r="G7" i="825"/>
  <c r="F7" i="825"/>
  <c r="F13" i="825" s="1"/>
  <c r="I6" i="825"/>
  <c r="H6" i="825"/>
  <c r="G6" i="825"/>
  <c r="F6" i="825"/>
  <c r="F12" i="825" s="1"/>
  <c r="I5" i="825"/>
  <c r="H5" i="825"/>
  <c r="G5" i="825"/>
  <c r="F5" i="825"/>
  <c r="F11" i="825" s="1"/>
  <c r="I4" i="825"/>
  <c r="I8" i="825" s="1"/>
  <c r="H4" i="825"/>
  <c r="G4" i="825"/>
  <c r="F4" i="825"/>
  <c r="J9" i="824"/>
  <c r="I9" i="824"/>
  <c r="H9" i="824"/>
  <c r="G9" i="824"/>
  <c r="J8" i="824"/>
  <c r="I8" i="824"/>
  <c r="H8" i="824"/>
  <c r="G8" i="824"/>
  <c r="J7" i="824"/>
  <c r="I7" i="824"/>
  <c r="H7" i="824"/>
  <c r="G7" i="824"/>
  <c r="J6" i="824"/>
  <c r="I6" i="824"/>
  <c r="H6" i="824"/>
  <c r="G6" i="824"/>
  <c r="J5" i="824"/>
  <c r="I5" i="824"/>
  <c r="H5" i="824"/>
  <c r="G5" i="824"/>
  <c r="I15" i="823"/>
  <c r="H15" i="823"/>
  <c r="L9" i="823"/>
  <c r="K9" i="823"/>
  <c r="J9" i="823"/>
  <c r="I9" i="823"/>
  <c r="H9" i="823"/>
  <c r="G9" i="823"/>
  <c r="L8" i="823"/>
  <c r="K8" i="823"/>
  <c r="J8" i="823"/>
  <c r="I8" i="823"/>
  <c r="H8" i="823"/>
  <c r="G8" i="823"/>
  <c r="L7" i="823"/>
  <c r="K7" i="823"/>
  <c r="J7" i="823"/>
  <c r="I7" i="823"/>
  <c r="H7" i="823"/>
  <c r="G7" i="823"/>
  <c r="AB6" i="823"/>
  <c r="AB8" i="823" s="1"/>
  <c r="AA6" i="823"/>
  <c r="AA8" i="823" s="1"/>
  <c r="Z6" i="823"/>
  <c r="Z8" i="823" s="1"/>
  <c r="Y6" i="823"/>
  <c r="Y8" i="823" s="1"/>
  <c r="X6" i="823"/>
  <c r="X8" i="823" s="1"/>
  <c r="W6" i="823"/>
  <c r="W8" i="823" s="1"/>
  <c r="V6" i="823"/>
  <c r="V8" i="823" s="1"/>
  <c r="U6" i="823"/>
  <c r="U8" i="823" s="1"/>
  <c r="L6" i="823"/>
  <c r="K6" i="823"/>
  <c r="J6" i="823"/>
  <c r="I6" i="823"/>
  <c r="H6" i="823"/>
  <c r="G6" i="823"/>
  <c r="L5" i="823"/>
  <c r="K5" i="823"/>
  <c r="J5" i="823"/>
  <c r="I5" i="823"/>
  <c r="H5" i="823"/>
  <c r="G5" i="823"/>
  <c r="I8" i="822"/>
  <c r="H8" i="822"/>
  <c r="G8" i="822"/>
  <c r="F8" i="822"/>
  <c r="I7" i="822"/>
  <c r="H7" i="822"/>
  <c r="G7" i="822"/>
  <c r="F7" i="822"/>
  <c r="I6" i="822"/>
  <c r="H6" i="822"/>
  <c r="G6" i="822"/>
  <c r="F6" i="822"/>
  <c r="I5" i="822"/>
  <c r="H5" i="822"/>
  <c r="G5" i="822"/>
  <c r="F5" i="822"/>
  <c r="R14" i="821"/>
  <c r="S14" i="821" s="1"/>
  <c r="T14" i="821" s="1"/>
  <c r="U14" i="821" s="1"/>
  <c r="V14" i="821" s="1"/>
  <c r="W14" i="821" s="1"/>
  <c r="W12" i="821"/>
  <c r="V12" i="821"/>
  <c r="U12" i="821"/>
  <c r="T12" i="821"/>
  <c r="S12" i="821"/>
  <c r="R12" i="821"/>
  <c r="W11" i="821"/>
  <c r="W13" i="821" s="1"/>
  <c r="V11" i="821"/>
  <c r="U11" i="821"/>
  <c r="T11" i="821"/>
  <c r="S11" i="821"/>
  <c r="R11" i="821"/>
  <c r="R9" i="821"/>
  <c r="S9" i="821" s="1"/>
  <c r="T9" i="821" s="1"/>
  <c r="U9" i="821" s="1"/>
  <c r="V9" i="821" s="1"/>
  <c r="W9" i="821" s="1"/>
  <c r="W6" i="821"/>
  <c r="W8" i="821" s="1"/>
  <c r="V6" i="821"/>
  <c r="V8" i="821" s="1"/>
  <c r="U6" i="821"/>
  <c r="U8" i="821" s="1"/>
  <c r="T6" i="821"/>
  <c r="T8" i="821" s="1"/>
  <c r="S6" i="821"/>
  <c r="S8" i="821" s="1"/>
  <c r="R6" i="821"/>
  <c r="R8" i="821" s="1"/>
  <c r="S13" i="821" l="1"/>
  <c r="S15" i="821" s="1"/>
  <c r="R13" i="821"/>
  <c r="R15" i="821"/>
  <c r="R17" i="821" s="1"/>
  <c r="U13" i="821"/>
  <c r="V13" i="821"/>
  <c r="V15" i="821" s="1"/>
  <c r="G15" i="826"/>
  <c r="I15" i="826" s="1"/>
  <c r="N12" i="826" s="1"/>
  <c r="G13" i="828"/>
  <c r="X24" i="690"/>
  <c r="I13" i="823"/>
  <c r="I14" i="823" s="1"/>
  <c r="U9" i="823" s="1"/>
  <c r="G13" i="825"/>
  <c r="H9" i="827"/>
  <c r="H12" i="828"/>
  <c r="AA24" i="690"/>
  <c r="Z24" i="690"/>
  <c r="AC24" i="690"/>
  <c r="AO18" i="690"/>
  <c r="AA23" i="690"/>
  <c r="X23" i="690"/>
  <c r="Z23" i="690"/>
  <c r="AC23" i="690"/>
  <c r="AR18" i="690"/>
  <c r="AK18" i="690"/>
  <c r="AL5" i="690"/>
  <c r="AC22" i="690"/>
  <c r="AA22" i="690"/>
  <c r="Z22" i="690"/>
  <c r="X22" i="690"/>
  <c r="AP18" i="690"/>
  <c r="S17" i="821"/>
  <c r="W15" i="821"/>
  <c r="U15" i="821"/>
  <c r="H11" i="825"/>
  <c r="Q12" i="826"/>
  <c r="T13" i="821"/>
  <c r="T15" i="821" s="1"/>
  <c r="R9" i="826"/>
  <c r="I16" i="826"/>
  <c r="I12" i="827"/>
  <c r="J12" i="827" s="1"/>
  <c r="F12" i="827" s="1"/>
  <c r="S9" i="826"/>
  <c r="H15" i="826"/>
  <c r="R12" i="826" s="1"/>
  <c r="H14" i="823"/>
  <c r="H13" i="823" s="1"/>
  <c r="J15" i="823"/>
  <c r="H8" i="825"/>
  <c r="J8" i="825" s="1"/>
  <c r="H13" i="825" s="1"/>
  <c r="G11" i="825"/>
  <c r="I14" i="828"/>
  <c r="G12" i="828"/>
  <c r="I12" i="828" s="1"/>
  <c r="G12" i="825"/>
  <c r="H13" i="828"/>
  <c r="I13" i="828" s="1"/>
  <c r="H16" i="820"/>
  <c r="F14" i="820"/>
  <c r="I8" i="820"/>
  <c r="H8" i="820"/>
  <c r="G8" i="820"/>
  <c r="F8" i="820"/>
  <c r="G16" i="820" s="1"/>
  <c r="I7" i="820"/>
  <c r="H7" i="820"/>
  <c r="I15" i="820" s="1"/>
  <c r="K15" i="820" s="1"/>
  <c r="G7" i="820"/>
  <c r="F7" i="820"/>
  <c r="F17" i="820" s="1"/>
  <c r="I6" i="820"/>
  <c r="H6" i="820"/>
  <c r="G6" i="820"/>
  <c r="F6" i="820"/>
  <c r="G12" i="820" s="1"/>
  <c r="I5" i="820"/>
  <c r="H5" i="820"/>
  <c r="G5" i="820"/>
  <c r="H13" i="820" s="1"/>
  <c r="F5" i="820"/>
  <c r="F12" i="820" s="1"/>
  <c r="J13" i="823" l="1"/>
  <c r="I13" i="820"/>
  <c r="K13" i="820" s="1"/>
  <c r="I17" i="820"/>
  <c r="K17" i="820" s="1"/>
  <c r="G17" i="820"/>
  <c r="O12" i="826"/>
  <c r="P12" i="826" s="1"/>
  <c r="I16" i="820"/>
  <c r="J16" i="820" s="1"/>
  <c r="H12" i="820"/>
  <c r="G14" i="826"/>
  <c r="I14" i="826" s="1"/>
  <c r="H15" i="820"/>
  <c r="J15" i="820" s="1"/>
  <c r="I12" i="820"/>
  <c r="K12" i="820" s="1"/>
  <c r="G14" i="820"/>
  <c r="H17" i="820"/>
  <c r="J17" i="820" s="1"/>
  <c r="J14" i="826"/>
  <c r="K14" i="826" s="1"/>
  <c r="H14" i="820"/>
  <c r="F16" i="820"/>
  <c r="F13" i="820"/>
  <c r="I14" i="820"/>
  <c r="K14" i="820" s="1"/>
  <c r="N13" i="825"/>
  <c r="G13" i="820"/>
  <c r="F15" i="820"/>
  <c r="G15" i="820"/>
  <c r="H12" i="825"/>
  <c r="I12" i="825" s="1"/>
  <c r="AO8" i="690"/>
  <c r="AK8" i="690"/>
  <c r="AP8" i="690"/>
  <c r="AR8" i="690"/>
  <c r="M13" i="825"/>
  <c r="I13" i="825"/>
  <c r="K13" i="825"/>
  <c r="J13" i="825"/>
  <c r="G12" i="827"/>
  <c r="H12" i="827" s="1"/>
  <c r="L12" i="827" s="1"/>
  <c r="V9" i="823"/>
  <c r="N11" i="825"/>
  <c r="J11" i="825"/>
  <c r="I11" i="825"/>
  <c r="K11" i="825"/>
  <c r="M11" i="825"/>
  <c r="V12" i="823"/>
  <c r="Y12" i="823"/>
  <c r="Q9" i="823"/>
  <c r="AB12" i="823"/>
  <c r="L5" i="828"/>
  <c r="L8" i="828"/>
  <c r="M12" i="828"/>
  <c r="L6" i="828"/>
  <c r="L7" i="828"/>
  <c r="N12" i="828"/>
  <c r="M12" i="825"/>
  <c r="Y11" i="823"/>
  <c r="AA11" i="823"/>
  <c r="Q7" i="823"/>
  <c r="W11" i="823"/>
  <c r="L14" i="826"/>
  <c r="Z12" i="823"/>
  <c r="U12" i="823"/>
  <c r="Q10" i="823"/>
  <c r="W12" i="823"/>
  <c r="Z11" i="823"/>
  <c r="AA12" i="823"/>
  <c r="Q8" i="823"/>
  <c r="X12" i="823"/>
  <c r="AB11" i="823"/>
  <c r="K12" i="827"/>
  <c r="N12" i="827" s="1"/>
  <c r="J12" i="828"/>
  <c r="K12" i="828" s="1"/>
  <c r="N12" i="825"/>
  <c r="K12" i="825"/>
  <c r="J12" i="825"/>
  <c r="J14" i="823"/>
  <c r="S12" i="826"/>
  <c r="T12" i="826" s="1"/>
  <c r="W17" i="821"/>
  <c r="V17" i="821"/>
  <c r="V4" i="828"/>
  <c r="X7" i="828" s="1"/>
  <c r="T17" i="821"/>
  <c r="V11" i="823"/>
  <c r="Q6" i="823"/>
  <c r="X11" i="823"/>
  <c r="U11" i="823"/>
  <c r="U17" i="821"/>
  <c r="I8" i="802"/>
  <c r="H8" i="802"/>
  <c r="G8" i="802"/>
  <c r="F8" i="802"/>
  <c r="G17" i="802" s="1"/>
  <c r="I7" i="802"/>
  <c r="H7" i="802"/>
  <c r="G7" i="802"/>
  <c r="F7" i="802"/>
  <c r="G15" i="802" s="1"/>
  <c r="I6" i="802"/>
  <c r="H6" i="802"/>
  <c r="G6" i="802"/>
  <c r="H16" i="802" s="1"/>
  <c r="F6" i="802"/>
  <c r="G12" i="802" s="1"/>
  <c r="I5" i="802"/>
  <c r="I9" i="802" s="1"/>
  <c r="H5" i="802"/>
  <c r="G5" i="802"/>
  <c r="F5" i="802"/>
  <c r="F14" i="802" s="1"/>
  <c r="H16" i="819"/>
  <c r="G16" i="819"/>
  <c r="K10" i="819"/>
  <c r="J10" i="819"/>
  <c r="I10" i="819"/>
  <c r="H10" i="819"/>
  <c r="G10" i="819"/>
  <c r="F10" i="819"/>
  <c r="Q9" i="819"/>
  <c r="K9" i="819"/>
  <c r="J9" i="819"/>
  <c r="I9" i="819"/>
  <c r="H9" i="819"/>
  <c r="G9" i="819"/>
  <c r="F9" i="819"/>
  <c r="T8" i="819"/>
  <c r="S8" i="819"/>
  <c r="R8" i="819"/>
  <c r="P8" i="819"/>
  <c r="K8" i="819"/>
  <c r="J8" i="819"/>
  <c r="I8" i="819"/>
  <c r="H8" i="819"/>
  <c r="G8" i="819"/>
  <c r="F8" i="819"/>
  <c r="T7" i="819"/>
  <c r="S7" i="819"/>
  <c r="R7" i="819"/>
  <c r="P7" i="819"/>
  <c r="K7" i="819"/>
  <c r="J7" i="819"/>
  <c r="I7" i="819"/>
  <c r="H7" i="819"/>
  <c r="G7" i="819"/>
  <c r="F7" i="819"/>
  <c r="H14" i="819" s="1"/>
  <c r="T6" i="819"/>
  <c r="S6" i="819"/>
  <c r="R6" i="819"/>
  <c r="P6" i="819"/>
  <c r="T5" i="819"/>
  <c r="S5" i="819"/>
  <c r="R5" i="819"/>
  <c r="P5" i="819"/>
  <c r="G7" i="197"/>
  <c r="Q19" i="197" s="1"/>
  <c r="R19" i="197" s="1"/>
  <c r="H7" i="197"/>
  <c r="I7" i="197"/>
  <c r="P19" i="197" s="1"/>
  <c r="S19" i="197" s="1"/>
  <c r="J7" i="197"/>
  <c r="K7" i="197"/>
  <c r="G8" i="197"/>
  <c r="Q8" i="197" s="1"/>
  <c r="R8" i="197" s="1"/>
  <c r="H8" i="197"/>
  <c r="I8" i="197"/>
  <c r="P8" i="197" s="1"/>
  <c r="S8" i="197" s="1"/>
  <c r="J8" i="197"/>
  <c r="K8" i="197"/>
  <c r="G9" i="197"/>
  <c r="H9" i="197"/>
  <c r="I9" i="197"/>
  <c r="J9" i="197"/>
  <c r="K9" i="197"/>
  <c r="G10" i="197"/>
  <c r="Q22" i="197" s="1"/>
  <c r="R22" i="197" s="1"/>
  <c r="H10" i="197"/>
  <c r="I10" i="197"/>
  <c r="P22" i="197" s="1"/>
  <c r="S22" i="197" s="1"/>
  <c r="J10" i="197"/>
  <c r="K10" i="197"/>
  <c r="H14" i="197"/>
  <c r="G16" i="197"/>
  <c r="H16" i="197"/>
  <c r="P20" i="197"/>
  <c r="S20" i="197" s="1"/>
  <c r="U13" i="823" l="1"/>
  <c r="P12" i="820"/>
  <c r="N12" i="820"/>
  <c r="P13" i="820"/>
  <c r="N13" i="820"/>
  <c r="M13" i="820"/>
  <c r="N15" i="820"/>
  <c r="N16" i="820"/>
  <c r="M14" i="820"/>
  <c r="P15" i="820"/>
  <c r="M16" i="820"/>
  <c r="M12" i="820"/>
  <c r="G15" i="197"/>
  <c r="P7" i="197"/>
  <c r="S7" i="197" s="1"/>
  <c r="M15" i="820"/>
  <c r="K16" i="820"/>
  <c r="Q20" i="197"/>
  <c r="R20" i="197" s="1"/>
  <c r="H14" i="802"/>
  <c r="H17" i="802"/>
  <c r="P16" i="820"/>
  <c r="M17" i="820"/>
  <c r="J13" i="820"/>
  <c r="R9" i="819"/>
  <c r="I16" i="819"/>
  <c r="P14" i="820"/>
  <c r="N17" i="820"/>
  <c r="P17" i="820"/>
  <c r="Q7" i="197"/>
  <c r="R7" i="197" s="1"/>
  <c r="R11" i="197" s="1"/>
  <c r="T9" i="819"/>
  <c r="X12" i="819" s="1"/>
  <c r="N14" i="820"/>
  <c r="J14" i="820"/>
  <c r="S9" i="819"/>
  <c r="R12" i="819" s="1"/>
  <c r="T12" i="819" s="1"/>
  <c r="H15" i="197"/>
  <c r="P14" i="197" s="1"/>
  <c r="S11" i="197"/>
  <c r="J12" i="820"/>
  <c r="G14" i="197"/>
  <c r="I14" i="197" s="1"/>
  <c r="G15" i="819"/>
  <c r="G14" i="819" s="1"/>
  <c r="I14" i="819" s="1"/>
  <c r="Z13" i="823"/>
  <c r="H9" i="802"/>
  <c r="J9" i="802" s="1"/>
  <c r="Y13" i="823"/>
  <c r="W13" i="823"/>
  <c r="X13" i="823"/>
  <c r="M6" i="828"/>
  <c r="N6" i="828"/>
  <c r="M12" i="827"/>
  <c r="M8" i="823"/>
  <c r="N13" i="823"/>
  <c r="M5" i="823"/>
  <c r="U14" i="823"/>
  <c r="V14" i="823" s="1"/>
  <c r="W14" i="823" s="1"/>
  <c r="X14" i="823" s="1"/>
  <c r="Y14" i="823" s="1"/>
  <c r="Z14" i="823" s="1"/>
  <c r="AA14" i="823" s="1"/>
  <c r="AB14" i="823" s="1"/>
  <c r="M7" i="823"/>
  <c r="M6" i="823"/>
  <c r="M9" i="823"/>
  <c r="O13" i="823"/>
  <c r="AB13" i="823"/>
  <c r="K13" i="823"/>
  <c r="L13" i="823" s="1"/>
  <c r="N7" i="828"/>
  <c r="M7" i="828"/>
  <c r="M5" i="828"/>
  <c r="N5" i="828"/>
  <c r="X8" i="828"/>
  <c r="Y7" i="828"/>
  <c r="V13" i="823"/>
  <c r="AA13" i="823"/>
  <c r="M8" i="828"/>
  <c r="N8" i="828"/>
  <c r="W9" i="823"/>
  <c r="O14" i="802"/>
  <c r="O16" i="802"/>
  <c r="O17" i="802"/>
  <c r="I17" i="802"/>
  <c r="I16" i="802"/>
  <c r="I15" i="802"/>
  <c r="I14" i="802"/>
  <c r="I13" i="802"/>
  <c r="I12" i="802"/>
  <c r="H12" i="802"/>
  <c r="H13" i="802"/>
  <c r="H15" i="802"/>
  <c r="F12" i="802"/>
  <c r="F13" i="802"/>
  <c r="F15" i="802"/>
  <c r="F16" i="802"/>
  <c r="F17" i="802"/>
  <c r="G13" i="802"/>
  <c r="G14" i="802"/>
  <c r="G16" i="802"/>
  <c r="H15" i="819"/>
  <c r="R23" i="197"/>
  <c r="S23" i="197"/>
  <c r="I16" i="197"/>
  <c r="N125" i="818"/>
  <c r="O125" i="818" s="1"/>
  <c r="P125" i="818" s="1"/>
  <c r="Q125" i="818" s="1"/>
  <c r="R125" i="818" s="1"/>
  <c r="S125" i="818" s="1"/>
  <c r="T125" i="818" s="1"/>
  <c r="U125" i="818" s="1"/>
  <c r="V125" i="818" s="1"/>
  <c r="W125" i="818" s="1"/>
  <c r="C125" i="818"/>
  <c r="D125" i="818" s="1"/>
  <c r="E125" i="818" s="1"/>
  <c r="F125" i="818" s="1"/>
  <c r="G125" i="818" s="1"/>
  <c r="H125" i="818" s="1"/>
  <c r="I125" i="818" s="1"/>
  <c r="J125" i="818" s="1"/>
  <c r="K125" i="818" s="1"/>
  <c r="L125" i="818" s="1"/>
  <c r="N95" i="818"/>
  <c r="O95" i="818" s="1"/>
  <c r="P95" i="818" s="1"/>
  <c r="Q95" i="818" s="1"/>
  <c r="R95" i="818" s="1"/>
  <c r="S95" i="818" s="1"/>
  <c r="T95" i="818" s="1"/>
  <c r="U95" i="818" s="1"/>
  <c r="V95" i="818" s="1"/>
  <c r="W95" i="818" s="1"/>
  <c r="C95" i="818"/>
  <c r="D95" i="818" s="1"/>
  <c r="E95" i="818" s="1"/>
  <c r="F95" i="818" s="1"/>
  <c r="G95" i="818" s="1"/>
  <c r="H95" i="818" s="1"/>
  <c r="I95" i="818" s="1"/>
  <c r="J95" i="818" s="1"/>
  <c r="K95" i="818" s="1"/>
  <c r="L95" i="818" s="1"/>
  <c r="N65" i="818"/>
  <c r="O65" i="818" s="1"/>
  <c r="P65" i="818" s="1"/>
  <c r="Q65" i="818" s="1"/>
  <c r="R65" i="818" s="1"/>
  <c r="S65" i="818" s="1"/>
  <c r="T65" i="818" s="1"/>
  <c r="U65" i="818" s="1"/>
  <c r="V65" i="818" s="1"/>
  <c r="W65" i="818" s="1"/>
  <c r="C65" i="818"/>
  <c r="D65" i="818" s="1"/>
  <c r="E65" i="818" s="1"/>
  <c r="F65" i="818" s="1"/>
  <c r="G65" i="818" s="1"/>
  <c r="H65" i="818" s="1"/>
  <c r="I65" i="818" s="1"/>
  <c r="J65" i="818" s="1"/>
  <c r="K65" i="818" s="1"/>
  <c r="L65" i="818" s="1"/>
  <c r="N35" i="818"/>
  <c r="O35" i="818" s="1"/>
  <c r="P35" i="818" s="1"/>
  <c r="Q35" i="818" s="1"/>
  <c r="R35" i="818" s="1"/>
  <c r="S35" i="818" s="1"/>
  <c r="T35" i="818" s="1"/>
  <c r="U35" i="818" s="1"/>
  <c r="V35" i="818" s="1"/>
  <c r="W35" i="818" s="1"/>
  <c r="C35" i="818"/>
  <c r="D35" i="818" s="1"/>
  <c r="E35" i="818" s="1"/>
  <c r="F35" i="818" s="1"/>
  <c r="G35" i="818" s="1"/>
  <c r="H35" i="818" s="1"/>
  <c r="I35" i="818" s="1"/>
  <c r="J35" i="818" s="1"/>
  <c r="K35" i="818" s="1"/>
  <c r="L35" i="818" s="1"/>
  <c r="N5" i="818"/>
  <c r="O5" i="818" s="1"/>
  <c r="P5" i="818" s="1"/>
  <c r="Q5" i="818" s="1"/>
  <c r="R5" i="818" s="1"/>
  <c r="S5" i="818" s="1"/>
  <c r="T5" i="818" s="1"/>
  <c r="U5" i="818" s="1"/>
  <c r="V5" i="818" s="1"/>
  <c r="W5" i="818" s="1"/>
  <c r="C5" i="818"/>
  <c r="D5" i="818" s="1"/>
  <c r="E5" i="818" s="1"/>
  <c r="F5" i="818" s="1"/>
  <c r="G5" i="818" s="1"/>
  <c r="H5" i="818" s="1"/>
  <c r="I5" i="818" s="1"/>
  <c r="J5" i="818" s="1"/>
  <c r="K5" i="818" s="1"/>
  <c r="L5" i="818" s="1"/>
  <c r="N13" i="802" l="1"/>
  <c r="N14" i="802"/>
  <c r="N15" i="802"/>
  <c r="N16" i="802"/>
  <c r="N17" i="802"/>
  <c r="X15" i="823"/>
  <c r="N12" i="802"/>
  <c r="K17" i="802"/>
  <c r="AA15" i="823"/>
  <c r="Y15" i="823"/>
  <c r="V15" i="823"/>
  <c r="Z15" i="823"/>
  <c r="L17" i="802"/>
  <c r="W15" i="823"/>
  <c r="AB15" i="823"/>
  <c r="P12" i="819"/>
  <c r="I15" i="197"/>
  <c r="N14" i="197" s="1"/>
  <c r="O14" i="197" s="1"/>
  <c r="Q14" i="197" s="1"/>
  <c r="R14" i="197" s="1"/>
  <c r="J16" i="802"/>
  <c r="O6" i="823"/>
  <c r="N6" i="823"/>
  <c r="N7" i="823"/>
  <c r="O7" i="823"/>
  <c r="N8" i="823"/>
  <c r="O8" i="823"/>
  <c r="X9" i="823"/>
  <c r="U15" i="823"/>
  <c r="X9" i="828"/>
  <c r="Y8" i="828"/>
  <c r="N9" i="823"/>
  <c r="O9" i="823"/>
  <c r="N5" i="823"/>
  <c r="O5" i="823"/>
  <c r="J13" i="802"/>
  <c r="O13" i="802"/>
  <c r="K13" i="802"/>
  <c r="L13" i="802"/>
  <c r="L14" i="802"/>
  <c r="K12" i="802"/>
  <c r="O12" i="802"/>
  <c r="J12" i="802"/>
  <c r="L12" i="802"/>
  <c r="K14" i="802"/>
  <c r="L16" i="802"/>
  <c r="L15" i="802"/>
  <c r="J15" i="802"/>
  <c r="O15" i="802"/>
  <c r="K15" i="802"/>
  <c r="J17" i="802"/>
  <c r="K16" i="802"/>
  <c r="J14" i="802"/>
  <c r="I15" i="819"/>
  <c r="K14" i="197"/>
  <c r="V17" i="823" l="1"/>
  <c r="W17" i="823"/>
  <c r="Q12" i="819"/>
  <c r="U12" i="819"/>
  <c r="V12" i="819"/>
  <c r="X17" i="823"/>
  <c r="Y9" i="828"/>
  <c r="X10" i="828"/>
  <c r="Y9" i="823"/>
  <c r="U17" i="823"/>
  <c r="L8" i="819"/>
  <c r="L7" i="819"/>
  <c r="N14" i="819"/>
  <c r="L10" i="819"/>
  <c r="M14" i="819"/>
  <c r="L9" i="819"/>
  <c r="J14" i="819"/>
  <c r="K14" i="819" s="1"/>
  <c r="X11" i="203"/>
  <c r="S12" i="819" l="1"/>
  <c r="W12" i="819" s="1"/>
  <c r="Y12" i="819"/>
  <c r="Y17" i="823"/>
  <c r="Z9" i="823"/>
  <c r="Y10" i="828"/>
  <c r="X11" i="828"/>
  <c r="M10" i="819"/>
  <c r="N10" i="819"/>
  <c r="N9" i="819"/>
  <c r="M9" i="819"/>
  <c r="N7" i="819"/>
  <c r="M7" i="819"/>
  <c r="M8" i="819"/>
  <c r="N8" i="819"/>
  <c r="Z17" i="823" l="1"/>
  <c r="X12" i="828"/>
  <c r="Y12" i="828" s="1"/>
  <c r="Z12" i="828" s="1"/>
  <c r="Y11" i="828"/>
  <c r="AA9" i="823"/>
  <c r="AA17" i="823" l="1"/>
  <c r="AB9" i="823"/>
  <c r="Z11" i="828"/>
  <c r="Z10" i="828" s="1"/>
  <c r="Z9" i="828" s="1"/>
  <c r="Z8" i="828" s="1"/>
  <c r="Z7" i="828" s="1"/>
  <c r="C11" i="816"/>
  <c r="B11" i="816"/>
  <c r="C10" i="816"/>
  <c r="B10" i="816"/>
  <c r="J9" i="816"/>
  <c r="H9" i="816"/>
  <c r="V6" i="816"/>
  <c r="U6" i="816"/>
  <c r="E11" i="816"/>
  <c r="J5" i="816"/>
  <c r="V4" i="816"/>
  <c r="U4" i="816"/>
  <c r="E10" i="816"/>
  <c r="D11" i="816"/>
  <c r="X3" i="816"/>
  <c r="W3" i="816"/>
  <c r="V3" i="816"/>
  <c r="U3" i="816"/>
  <c r="Y10" i="816" l="1"/>
  <c r="AB17" i="823"/>
  <c r="J8" i="816"/>
  <c r="J6" i="816"/>
  <c r="J7" i="816"/>
  <c r="H6" i="816"/>
  <c r="J4" i="816"/>
  <c r="W4" i="816"/>
  <c r="H5" i="816"/>
  <c r="I6" i="816"/>
  <c r="X6" i="816"/>
  <c r="H7" i="816"/>
  <c r="H8" i="816"/>
  <c r="W6" i="816"/>
  <c r="Y6" i="816" s="1"/>
  <c r="H4" i="816"/>
  <c r="X4" i="816"/>
  <c r="I5" i="816"/>
  <c r="I7" i="816"/>
  <c r="I8" i="816"/>
  <c r="D10" i="816"/>
  <c r="F10" i="816" s="1"/>
  <c r="I4" i="816"/>
  <c r="I9" i="816"/>
  <c r="J10" i="816" l="1"/>
  <c r="M4" i="816"/>
  <c r="M5" i="816"/>
  <c r="H10" i="816"/>
  <c r="I10" i="816"/>
  <c r="V7" i="816" l="1"/>
  <c r="W7" i="816"/>
  <c r="X7" i="816"/>
  <c r="U7" i="816"/>
  <c r="M6" i="816"/>
  <c r="M7" i="816" s="1"/>
  <c r="M8" i="816" s="1"/>
  <c r="Y7" i="816" l="1"/>
  <c r="Y8" i="816" s="1"/>
  <c r="M9" i="816"/>
  <c r="Y9" i="816"/>
  <c r="Y11" i="816" l="1"/>
  <c r="Y13" i="816" s="1"/>
  <c r="K30" i="807"/>
  <c r="J30" i="807"/>
  <c r="N13" i="807"/>
  <c r="K39" i="806" l="1"/>
  <c r="J39" i="806"/>
  <c r="V30" i="805"/>
  <c r="U30" i="805"/>
  <c r="V29" i="805"/>
  <c r="U29" i="805"/>
  <c r="T29" i="805"/>
  <c r="S29" i="805"/>
  <c r="R29" i="805"/>
  <c r="Q29" i="805"/>
  <c r="V28" i="805"/>
  <c r="U28" i="805"/>
  <c r="T28" i="805"/>
  <c r="S28" i="805"/>
  <c r="R28" i="805"/>
  <c r="Q28" i="805"/>
  <c r="V27" i="805"/>
  <c r="U27" i="805"/>
  <c r="T27" i="805"/>
  <c r="S27" i="805"/>
  <c r="R27" i="805"/>
  <c r="Q27" i="805"/>
  <c r="V26" i="805"/>
  <c r="U26" i="805"/>
  <c r="T26" i="805"/>
  <c r="S26" i="805"/>
  <c r="R26" i="805"/>
  <c r="Q26" i="805"/>
  <c r="V25" i="805"/>
  <c r="U25" i="805"/>
  <c r="T25" i="805"/>
  <c r="S25" i="805"/>
  <c r="R25" i="805"/>
  <c r="Q25" i="805"/>
  <c r="V24" i="805"/>
  <c r="U24" i="805"/>
  <c r="T24" i="805"/>
  <c r="S24" i="805"/>
  <c r="R24" i="805"/>
  <c r="Q24" i="805"/>
  <c r="V23" i="805"/>
  <c r="U23" i="805"/>
  <c r="T23" i="805"/>
  <c r="S23" i="805"/>
  <c r="R23" i="805"/>
  <c r="Q23" i="805"/>
  <c r="V22" i="805"/>
  <c r="U22" i="805"/>
  <c r="T22" i="805"/>
  <c r="S22" i="805"/>
  <c r="R22" i="805"/>
  <c r="Q22" i="805"/>
  <c r="T30" i="805" l="1"/>
  <c r="H16" i="803"/>
  <c r="G16" i="803"/>
  <c r="K10" i="803"/>
  <c r="J10" i="803"/>
  <c r="I10" i="803"/>
  <c r="H10" i="803"/>
  <c r="G10" i="803"/>
  <c r="F10" i="803"/>
  <c r="K9" i="803"/>
  <c r="J9" i="803"/>
  <c r="I9" i="803"/>
  <c r="H9" i="803"/>
  <c r="G9" i="803"/>
  <c r="F9" i="803"/>
  <c r="S8" i="803"/>
  <c r="R8" i="803"/>
  <c r="Q8" i="803"/>
  <c r="P8" i="803"/>
  <c r="Q17" i="803" s="1"/>
  <c r="K8" i="803"/>
  <c r="J8" i="803"/>
  <c r="I8" i="803"/>
  <c r="H8" i="803"/>
  <c r="G8" i="803"/>
  <c r="F8" i="803"/>
  <c r="S7" i="803"/>
  <c r="R7" i="803"/>
  <c r="Q7" i="803"/>
  <c r="P7" i="803"/>
  <c r="P17" i="803" s="1"/>
  <c r="K7" i="803"/>
  <c r="J7" i="803"/>
  <c r="I7" i="803"/>
  <c r="H7" i="803"/>
  <c r="G7" i="803"/>
  <c r="F7" i="803"/>
  <c r="S6" i="803"/>
  <c r="R6" i="803"/>
  <c r="Q6" i="803"/>
  <c r="R16" i="803" s="1"/>
  <c r="P6" i="803"/>
  <c r="P15" i="803" s="1"/>
  <c r="S5" i="803"/>
  <c r="R5" i="803"/>
  <c r="Q5" i="803"/>
  <c r="P5" i="803"/>
  <c r="P14" i="803" s="1"/>
  <c r="I16" i="803" l="1"/>
  <c r="R12" i="803"/>
  <c r="H14" i="803"/>
  <c r="H15" i="803" s="1"/>
  <c r="R13" i="803"/>
  <c r="Q15" i="803"/>
  <c r="P13" i="803"/>
  <c r="Q13" i="803"/>
  <c r="S9" i="803"/>
  <c r="R15" i="803"/>
  <c r="G15" i="803"/>
  <c r="G14" i="803" s="1"/>
  <c r="R14" i="803"/>
  <c r="P16" i="803"/>
  <c r="Z13" i="805"/>
  <c r="Y13" i="805" s="1"/>
  <c r="Q16" i="803"/>
  <c r="P12" i="803"/>
  <c r="R17" i="803"/>
  <c r="R9" i="803"/>
  <c r="T9" i="803" s="1"/>
  <c r="Q12" i="803"/>
  <c r="Q14" i="803"/>
  <c r="G11" i="211"/>
  <c r="I14" i="803" l="1"/>
  <c r="Y14" i="803"/>
  <c r="I15" i="803"/>
  <c r="S17" i="803"/>
  <c r="T17" i="803" s="1"/>
  <c r="Y15" i="803"/>
  <c r="Y13" i="803"/>
  <c r="S14" i="803"/>
  <c r="T14" i="803" s="1"/>
  <c r="S13" i="803"/>
  <c r="AA13" i="805"/>
  <c r="L10" i="803"/>
  <c r="M14" i="803"/>
  <c r="L7" i="803"/>
  <c r="L9" i="803"/>
  <c r="L8" i="803"/>
  <c r="N14" i="803"/>
  <c r="S15" i="803"/>
  <c r="S16" i="803"/>
  <c r="Y16" i="803"/>
  <c r="J14" i="803"/>
  <c r="K14" i="803" s="1"/>
  <c r="Y17" i="803"/>
  <c r="S12" i="803"/>
  <c r="Y12" i="803"/>
  <c r="T13" i="803" l="1"/>
  <c r="T15" i="803"/>
  <c r="N9" i="803"/>
  <c r="M9" i="803"/>
  <c r="M8" i="803"/>
  <c r="N8" i="803"/>
  <c r="M7" i="803"/>
  <c r="N7" i="803"/>
  <c r="T12" i="803"/>
  <c r="T16" i="803"/>
  <c r="N10" i="803"/>
  <c r="M10" i="803"/>
  <c r="K39" i="801"/>
  <c r="J39" i="801"/>
  <c r="X22" i="801"/>
  <c r="V21" i="801"/>
  <c r="V20" i="801"/>
  <c r="V19" i="801"/>
  <c r="V18" i="801"/>
  <c r="V17" i="801"/>
  <c r="V16" i="801"/>
  <c r="X9" i="801"/>
  <c r="V8" i="801"/>
  <c r="V7" i="801"/>
  <c r="V6" i="801"/>
  <c r="V5" i="801"/>
  <c r="V4" i="801"/>
  <c r="V3" i="801"/>
  <c r="V16" i="803" l="1"/>
  <c r="V15" i="803"/>
  <c r="U13" i="803"/>
  <c r="U16" i="803"/>
  <c r="X17" i="803"/>
  <c r="V12" i="803"/>
  <c r="V17" i="803"/>
  <c r="V13" i="803"/>
  <c r="X14" i="803"/>
  <c r="U14" i="803"/>
  <c r="U15" i="803"/>
  <c r="U12" i="803"/>
  <c r="V14" i="803"/>
  <c r="X12" i="803"/>
  <c r="X16" i="803"/>
  <c r="X13" i="803"/>
  <c r="X15" i="803"/>
  <c r="U17" i="803"/>
  <c r="Q16" i="805"/>
  <c r="Q13" i="805"/>
  <c r="Q12" i="805"/>
  <c r="Q17" i="805"/>
  <c r="T5" i="805"/>
  <c r="R21" i="805"/>
  <c r="T7" i="805"/>
  <c r="R13" i="805"/>
  <c r="R20" i="805"/>
  <c r="R11" i="805"/>
  <c r="H23" i="806"/>
  <c r="H29" i="806" s="1"/>
  <c r="H35" i="806" s="1"/>
  <c r="H17" i="806"/>
  <c r="H20" i="806"/>
  <c r="H26" i="806"/>
  <c r="H32" i="806" s="1"/>
  <c r="H38" i="806" s="1"/>
  <c r="G24" i="801"/>
  <c r="G25" i="801"/>
  <c r="G12" i="801"/>
  <c r="G26" i="801"/>
  <c r="G32" i="801" s="1"/>
  <c r="G38" i="801" s="1"/>
  <c r="G14" i="801"/>
  <c r="S18" i="805"/>
  <c r="S20" i="805"/>
  <c r="T8" i="805"/>
  <c r="S16" i="805"/>
  <c r="S14" i="805"/>
  <c r="F34" i="801"/>
  <c r="F13" i="801"/>
  <c r="F35" i="801"/>
  <c r="F37" i="801"/>
  <c r="F18" i="801"/>
  <c r="F38" i="801"/>
  <c r="F36" i="801"/>
  <c r="F19" i="801"/>
  <c r="F33" i="801"/>
  <c r="F20" i="801"/>
  <c r="F14" i="801"/>
  <c r="H22" i="806"/>
  <c r="H28" i="806" s="1"/>
  <c r="H34" i="806" s="1"/>
  <c r="H25" i="806"/>
  <c r="H31" i="806" s="1"/>
  <c r="H37" i="806" s="1"/>
  <c r="H19" i="806"/>
  <c r="H16" i="806"/>
  <c r="S21" i="805"/>
  <c r="S15" i="805"/>
  <c r="T9" i="805"/>
  <c r="S17" i="805"/>
  <c r="S19" i="805"/>
  <c r="H23" i="801"/>
  <c r="H29" i="801" s="1"/>
  <c r="H35" i="801" s="1"/>
  <c r="H17" i="801"/>
  <c r="H26" i="801"/>
  <c r="H32" i="801" s="1"/>
  <c r="H38" i="801" s="1"/>
  <c r="H20" i="801"/>
  <c r="G12" i="807"/>
  <c r="G18" i="807"/>
  <c r="G22" i="807" s="1"/>
  <c r="G26" i="807" s="1"/>
  <c r="G19" i="807"/>
  <c r="G23" i="807" s="1"/>
  <c r="G27" i="807" s="1"/>
  <c r="G10" i="807"/>
  <c r="G12" i="806"/>
  <c r="G24" i="806"/>
  <c r="G25" i="806"/>
  <c r="G26" i="806"/>
  <c r="G14" i="806"/>
  <c r="G11" i="806"/>
  <c r="G23" i="806"/>
  <c r="G21" i="806"/>
  <c r="G27" i="806" s="1"/>
  <c r="G33" i="806" s="1"/>
  <c r="G22" i="806"/>
  <c r="G13" i="806"/>
  <c r="H24" i="801"/>
  <c r="H30" i="801" s="1"/>
  <c r="H36" i="801" s="1"/>
  <c r="H15" i="801"/>
  <c r="H21" i="801"/>
  <c r="H27" i="801" s="1"/>
  <c r="H33" i="801" s="1"/>
  <c r="H18" i="801"/>
  <c r="F14" i="806"/>
  <c r="F20" i="806"/>
  <c r="F19" i="806"/>
  <c r="F18" i="806"/>
  <c r="F35" i="806"/>
  <c r="F13" i="806"/>
  <c r="F33" i="806"/>
  <c r="F34" i="806"/>
  <c r="F38" i="806"/>
  <c r="F36" i="806"/>
  <c r="F37" i="806"/>
  <c r="F11" i="807"/>
  <c r="F10" i="807"/>
  <c r="F22" i="807"/>
  <c r="F25" i="807"/>
  <c r="F24" i="807"/>
  <c r="F23" i="807"/>
  <c r="F15" i="807"/>
  <c r="F14" i="807"/>
  <c r="F27" i="801"/>
  <c r="F28" i="801"/>
  <c r="F11" i="801"/>
  <c r="F15" i="801"/>
  <c r="F32" i="801"/>
  <c r="F29" i="801"/>
  <c r="F16" i="801"/>
  <c r="F12" i="801"/>
  <c r="F30" i="801"/>
  <c r="F17" i="801"/>
  <c r="F31" i="801"/>
  <c r="H24" i="806"/>
  <c r="H30" i="806" s="1"/>
  <c r="H36" i="806" s="1"/>
  <c r="H21" i="806"/>
  <c r="H27" i="806" s="1"/>
  <c r="H33" i="806" s="1"/>
  <c r="H15" i="806"/>
  <c r="H18" i="806"/>
  <c r="H18" i="807"/>
  <c r="H22" i="807" s="1"/>
  <c r="H26" i="807" s="1"/>
  <c r="H20" i="807"/>
  <c r="H24" i="807" s="1"/>
  <c r="H28" i="807" s="1"/>
  <c r="H14" i="807"/>
  <c r="H16" i="807"/>
  <c r="H22" i="801"/>
  <c r="H28" i="801" s="1"/>
  <c r="H34" i="801" s="1"/>
  <c r="H25" i="801"/>
  <c r="H31" i="801" s="1"/>
  <c r="H37" i="801" s="1"/>
  <c r="H19" i="801"/>
  <c r="H16" i="801"/>
  <c r="Q11" i="805"/>
  <c r="Q10" i="805"/>
  <c r="T4" i="805"/>
  <c r="Q15" i="805"/>
  <c r="Q14" i="805"/>
  <c r="G13" i="807"/>
  <c r="G21" i="807"/>
  <c r="G20" i="807"/>
  <c r="G11" i="807"/>
  <c r="F27" i="806"/>
  <c r="F12" i="806"/>
  <c r="F32" i="806"/>
  <c r="F29" i="806"/>
  <c r="F31" i="806"/>
  <c r="F28" i="806"/>
  <c r="F15" i="806"/>
  <c r="F30" i="806"/>
  <c r="F17" i="806"/>
  <c r="F16" i="806"/>
  <c r="F11" i="806"/>
  <c r="F28" i="807"/>
  <c r="F29" i="807"/>
  <c r="F26" i="807"/>
  <c r="F13" i="807"/>
  <c r="F12" i="807"/>
  <c r="F16" i="807"/>
  <c r="F27" i="807"/>
  <c r="F17" i="807"/>
  <c r="T6" i="805"/>
  <c r="R10" i="805"/>
  <c r="R12" i="805"/>
  <c r="R18" i="805"/>
  <c r="T18" i="805" s="1"/>
  <c r="R19" i="805"/>
  <c r="G22" i="801"/>
  <c r="G23" i="801"/>
  <c r="G29" i="801" s="1"/>
  <c r="G35" i="801" s="1"/>
  <c r="G13" i="801"/>
  <c r="G11" i="801"/>
  <c r="G21" i="801"/>
  <c r="H17" i="807"/>
  <c r="H19" i="807"/>
  <c r="H23" i="807" s="1"/>
  <c r="H27" i="807" s="1"/>
  <c r="H15" i="807"/>
  <c r="H21" i="807"/>
  <c r="H25" i="807" s="1"/>
  <c r="H29" i="807" s="1"/>
  <c r="T11" i="805" l="1"/>
  <c r="T19" i="805"/>
  <c r="U19" i="805" s="1" a="1"/>
  <c r="U19" i="805" s="1"/>
  <c r="T14" i="805"/>
  <c r="V14" i="805" s="1" a="1"/>
  <c r="V14" i="805" s="1"/>
  <c r="I32" i="801"/>
  <c r="K32" i="801" s="1" a="1"/>
  <c r="K32" i="801" s="1"/>
  <c r="T15" i="805"/>
  <c r="U15" i="805" s="1" a="1"/>
  <c r="U15" i="805" s="1"/>
  <c r="T17" i="805"/>
  <c r="V17" i="805" s="1" a="1"/>
  <c r="V17" i="805" s="1"/>
  <c r="I26" i="807"/>
  <c r="J26" i="807" s="1"/>
  <c r="G24" i="807"/>
  <c r="I24" i="807" s="1"/>
  <c r="U17" i="801"/>
  <c r="U4" i="801"/>
  <c r="G32" i="806"/>
  <c r="G38" i="806" s="1"/>
  <c r="I38" i="806" s="1"/>
  <c r="W18" i="801"/>
  <c r="W5" i="801"/>
  <c r="V9" i="805" a="1"/>
  <c r="V9" i="805" s="1"/>
  <c r="U9" i="805" a="1"/>
  <c r="U9" i="805" s="1"/>
  <c r="U6" i="801"/>
  <c r="U19" i="801"/>
  <c r="V7" i="805" a="1"/>
  <c r="V7" i="805" s="1"/>
  <c r="U7" i="805" a="1"/>
  <c r="U7" i="805" s="1"/>
  <c r="V18" i="805" a="1"/>
  <c r="V18" i="805" s="1"/>
  <c r="U18" i="805" a="1"/>
  <c r="U18" i="805" s="1"/>
  <c r="I27" i="806"/>
  <c r="G25" i="807"/>
  <c r="G29" i="807" s="1"/>
  <c r="I29" i="807" s="1"/>
  <c r="V4" i="805" a="1"/>
  <c r="V4" i="805" s="1"/>
  <c r="U4" i="805" a="1"/>
  <c r="U4" i="805" s="1"/>
  <c r="W4" i="801"/>
  <c r="W17" i="801"/>
  <c r="U5" i="801"/>
  <c r="U18" i="801"/>
  <c r="I29" i="801"/>
  <c r="I22" i="807"/>
  <c r="I33" i="806"/>
  <c r="W19" i="801"/>
  <c r="W6" i="801"/>
  <c r="G29" i="806"/>
  <c r="G35" i="806" s="1"/>
  <c r="I35" i="806" s="1"/>
  <c r="G31" i="806"/>
  <c r="G37" i="806" s="1"/>
  <c r="I37" i="806" s="1"/>
  <c r="U7" i="801"/>
  <c r="U20" i="801"/>
  <c r="T21" i="805"/>
  <c r="T12" i="805"/>
  <c r="G27" i="801"/>
  <c r="I27" i="801" s="1"/>
  <c r="G28" i="801"/>
  <c r="G34" i="801" s="1"/>
  <c r="I34" i="801" s="1"/>
  <c r="T10" i="805"/>
  <c r="W20" i="801"/>
  <c r="W7" i="801"/>
  <c r="I23" i="807"/>
  <c r="G30" i="806"/>
  <c r="G36" i="806" s="1"/>
  <c r="I36" i="806" s="1"/>
  <c r="I27" i="807"/>
  <c r="W21" i="801"/>
  <c r="W8" i="801"/>
  <c r="I35" i="801"/>
  <c r="G31" i="801"/>
  <c r="G37" i="801" s="1"/>
  <c r="I37" i="801" s="1"/>
  <c r="T20" i="805"/>
  <c r="T13" i="805"/>
  <c r="V19" i="805" a="1"/>
  <c r="V19" i="805" s="1"/>
  <c r="V6" i="805" a="1"/>
  <c r="V6" i="805" s="1"/>
  <c r="U6" i="805" a="1"/>
  <c r="U6" i="805" s="1"/>
  <c r="U11" i="805" a="1"/>
  <c r="U11" i="805" s="1"/>
  <c r="V11" i="805" a="1"/>
  <c r="V11" i="805" s="1"/>
  <c r="U3" i="801"/>
  <c r="U16" i="801"/>
  <c r="W16" i="801"/>
  <c r="W3" i="801"/>
  <c r="G28" i="806"/>
  <c r="G34" i="806" s="1"/>
  <c r="U21" i="801"/>
  <c r="U8" i="801"/>
  <c r="I38" i="801"/>
  <c r="U8" i="805" a="1"/>
  <c r="U8" i="805" s="1"/>
  <c r="V8" i="805" a="1"/>
  <c r="V8" i="805" s="1"/>
  <c r="G30" i="801"/>
  <c r="G36" i="801" s="1"/>
  <c r="I36" i="801" s="1"/>
  <c r="V5" i="805" a="1"/>
  <c r="V5" i="805" s="1"/>
  <c r="U5" i="805" a="1"/>
  <c r="U5" i="805" s="1"/>
  <c r="T16" i="805"/>
  <c r="J32" i="801" l="1"/>
  <c r="K26" i="807" a="1"/>
  <c r="K26" i="807" s="1"/>
  <c r="V15" i="805" a="1"/>
  <c r="V15" i="805" s="1"/>
  <c r="U14" i="805" a="1"/>
  <c r="U14" i="805" s="1"/>
  <c r="Z7" i="805"/>
  <c r="Z6" i="805"/>
  <c r="I32" i="806"/>
  <c r="K32" i="806" s="1" a="1"/>
  <c r="K32" i="806" s="1"/>
  <c r="U17" i="805" a="1"/>
  <c r="U17" i="805" s="1"/>
  <c r="I30" i="806"/>
  <c r="J30" i="806" s="1"/>
  <c r="Y5" i="805"/>
  <c r="I31" i="806"/>
  <c r="K31" i="806" s="1" a="1"/>
  <c r="K31" i="806" s="1"/>
  <c r="Y7" i="805"/>
  <c r="J34" i="801"/>
  <c r="K34" i="801" a="1"/>
  <c r="K34" i="801" s="1"/>
  <c r="J36" i="801"/>
  <c r="K36" i="801" a="1"/>
  <c r="K36" i="801" s="1"/>
  <c r="V16" i="805" a="1"/>
  <c r="V16" i="805" s="1"/>
  <c r="U16" i="805" a="1"/>
  <c r="U16" i="805" s="1"/>
  <c r="V13" i="805" a="1"/>
  <c r="V13" i="805" s="1"/>
  <c r="U13" i="805" a="1"/>
  <c r="U13" i="805" s="1"/>
  <c r="K35" i="801" a="1"/>
  <c r="K35" i="801" s="1"/>
  <c r="J35" i="801"/>
  <c r="J27" i="801"/>
  <c r="K27" i="801" a="1"/>
  <c r="K27" i="801" s="1"/>
  <c r="V21" i="805" a="1"/>
  <c r="V21" i="805" s="1"/>
  <c r="U21" i="805" a="1"/>
  <c r="U21" i="805" s="1"/>
  <c r="K35" i="806" a="1"/>
  <c r="K35" i="806" s="1"/>
  <c r="J35" i="806"/>
  <c r="K29" i="801" a="1"/>
  <c r="K29" i="801" s="1"/>
  <c r="J29" i="801"/>
  <c r="K38" i="806" a="1"/>
  <c r="K38" i="806" s="1"/>
  <c r="J38" i="806"/>
  <c r="I25" i="807"/>
  <c r="K38" i="801" a="1"/>
  <c r="K38" i="801" s="1"/>
  <c r="J38" i="801"/>
  <c r="K24" i="807" a="1"/>
  <c r="K24" i="807" s="1"/>
  <c r="J24" i="807"/>
  <c r="U20" i="805" a="1"/>
  <c r="U20" i="805" s="1"/>
  <c r="V20" i="805" a="1"/>
  <c r="V20" i="805" s="1"/>
  <c r="J27" i="807"/>
  <c r="K27" i="807" a="1"/>
  <c r="K27" i="807" s="1"/>
  <c r="J33" i="806"/>
  <c r="K33" i="806" a="1"/>
  <c r="K33" i="806" s="1"/>
  <c r="I31" i="801"/>
  <c r="I28" i="806"/>
  <c r="V10" i="805" a="1"/>
  <c r="V10" i="805" s="1"/>
  <c r="U10" i="805" a="1"/>
  <c r="U10" i="805" s="1"/>
  <c r="G33" i="801"/>
  <c r="K37" i="806" a="1"/>
  <c r="K37" i="806" s="1"/>
  <c r="J37" i="806"/>
  <c r="J22" i="807"/>
  <c r="K22" i="807" a="1"/>
  <c r="K22" i="807" s="1"/>
  <c r="J29" i="807"/>
  <c r="K29" i="807" a="1"/>
  <c r="K29" i="807" s="1"/>
  <c r="I34" i="806"/>
  <c r="Y6" i="805"/>
  <c r="K37" i="801" a="1"/>
  <c r="K37" i="801" s="1"/>
  <c r="J37" i="801"/>
  <c r="J36" i="806"/>
  <c r="K36" i="806" a="1"/>
  <c r="K36" i="806" s="1"/>
  <c r="K23" i="807" a="1"/>
  <c r="K23" i="807" s="1"/>
  <c r="J23" i="807"/>
  <c r="I30" i="801"/>
  <c r="I29" i="806"/>
  <c r="U12" i="805" a="1"/>
  <c r="U12" i="805" s="1"/>
  <c r="V12" i="805" a="1"/>
  <c r="V12" i="805" s="1"/>
  <c r="I28" i="801"/>
  <c r="Z5" i="805"/>
  <c r="K27" i="806" a="1"/>
  <c r="K27" i="806" s="1"/>
  <c r="J27" i="806"/>
  <c r="G28" i="807"/>
  <c r="J32" i="806" l="1"/>
  <c r="Z10" i="805"/>
  <c r="AA7" i="805"/>
  <c r="Z12" i="805"/>
  <c r="I8" i="806"/>
  <c r="K8" i="806" s="1" a="1"/>
  <c r="K8" i="806" s="1"/>
  <c r="K30" i="806" a="1"/>
  <c r="K30" i="806" s="1"/>
  <c r="Y9" i="805"/>
  <c r="I5" i="806"/>
  <c r="K5" i="806" s="1" a="1"/>
  <c r="K5" i="806" s="1"/>
  <c r="I26" i="806"/>
  <c r="K26" i="806" s="1" a="1"/>
  <c r="K26" i="806" s="1"/>
  <c r="I39" i="806"/>
  <c r="I14" i="806"/>
  <c r="K14" i="806" s="1" a="1"/>
  <c r="K14" i="806" s="1"/>
  <c r="J31" i="806"/>
  <c r="I13" i="806"/>
  <c r="K13" i="806" s="1" a="1"/>
  <c r="K13" i="806" s="1"/>
  <c r="I24" i="806"/>
  <c r="J24" i="806" s="1"/>
  <c r="I7" i="806"/>
  <c r="K7" i="806" s="1" a="1"/>
  <c r="K7" i="806" s="1"/>
  <c r="I22" i="806"/>
  <c r="K22" i="806" s="1" a="1"/>
  <c r="K22" i="806" s="1"/>
  <c r="I15" i="806"/>
  <c r="K15" i="806" s="1" a="1"/>
  <c r="K15" i="806" s="1"/>
  <c r="I18" i="806"/>
  <c r="J18" i="806" s="1"/>
  <c r="I21" i="806"/>
  <c r="K21" i="806" s="1" a="1"/>
  <c r="K21" i="806" s="1"/>
  <c r="I12" i="806"/>
  <c r="K12" i="806" s="1" a="1"/>
  <c r="K12" i="806" s="1"/>
  <c r="I20" i="806"/>
  <c r="I25" i="806"/>
  <c r="K25" i="806" s="1" a="1"/>
  <c r="K25" i="806" s="1"/>
  <c r="I4" i="806"/>
  <c r="J4" i="806" s="1"/>
  <c r="I23" i="806"/>
  <c r="K23" i="806" s="1" a="1"/>
  <c r="K23" i="806" s="1"/>
  <c r="I6" i="806"/>
  <c r="K6" i="806" s="1" a="1"/>
  <c r="K6" i="806" s="1"/>
  <c r="O13" i="806"/>
  <c r="N13" i="806" s="1"/>
  <c r="K30" i="801" a="1"/>
  <c r="K30" i="801" s="1"/>
  <c r="J30" i="801"/>
  <c r="AA6" i="805"/>
  <c r="Y10" i="805"/>
  <c r="Z11" i="805"/>
  <c r="J31" i="801"/>
  <c r="K31" i="801" a="1"/>
  <c r="K31" i="801" s="1"/>
  <c r="I11" i="806"/>
  <c r="Z9" i="805"/>
  <c r="Y8" i="805"/>
  <c r="J28" i="801"/>
  <c r="K28" i="801" a="1"/>
  <c r="K28" i="801" s="1"/>
  <c r="J34" i="806"/>
  <c r="K34" i="806" a="1"/>
  <c r="K34" i="806" s="1"/>
  <c r="I19" i="806"/>
  <c r="Z8" i="805"/>
  <c r="AA5" i="805"/>
  <c r="I28" i="807"/>
  <c r="I14" i="807" s="1"/>
  <c r="J29" i="806"/>
  <c r="K29" i="806" a="1"/>
  <c r="K29" i="806" s="1"/>
  <c r="I10" i="806"/>
  <c r="I17" i="806"/>
  <c r="I33" i="801"/>
  <c r="I13" i="801" s="1"/>
  <c r="K28" i="806" a="1"/>
  <c r="K28" i="806" s="1"/>
  <c r="J28" i="806"/>
  <c r="I16" i="806"/>
  <c r="I9" i="806"/>
  <c r="J25" i="807"/>
  <c r="K25" i="807" a="1"/>
  <c r="K25" i="807" s="1"/>
  <c r="K18" i="806" l="1" a="1"/>
  <c r="K18" i="806" s="1"/>
  <c r="K24" i="806" a="1"/>
  <c r="K24" i="806" s="1"/>
  <c r="J25" i="806"/>
  <c r="J8" i="806"/>
  <c r="J15" i="806"/>
  <c r="J6" i="806"/>
  <c r="J26" i="806"/>
  <c r="J13" i="806"/>
  <c r="J22" i="806"/>
  <c r="K4" i="806" a="1"/>
  <c r="K4" i="806" s="1"/>
  <c r="J7" i="806"/>
  <c r="J12" i="806"/>
  <c r="AA9" i="805"/>
  <c r="J23" i="806"/>
  <c r="J5" i="806"/>
  <c r="N5" i="806" s="1"/>
  <c r="I21" i="807"/>
  <c r="J21" i="807" s="1"/>
  <c r="J14" i="806"/>
  <c r="J21" i="806"/>
  <c r="I11" i="807"/>
  <c r="K11" i="807" s="1" a="1"/>
  <c r="K11" i="807" s="1"/>
  <c r="I15" i="807"/>
  <c r="J15" i="807" s="1"/>
  <c r="AA8" i="805"/>
  <c r="K14" i="807" a="1"/>
  <c r="K14" i="807" s="1"/>
  <c r="J14" i="807"/>
  <c r="I25" i="801"/>
  <c r="J25" i="801" s="1"/>
  <c r="I24" i="801"/>
  <c r="J24" i="801" s="1"/>
  <c r="I18" i="807"/>
  <c r="K18" i="807" s="1" a="1"/>
  <c r="K18" i="807" s="1"/>
  <c r="I7" i="801"/>
  <c r="J7" i="801" s="1"/>
  <c r="I4" i="801"/>
  <c r="K4" i="801" s="1" a="1"/>
  <c r="K4" i="801" s="1"/>
  <c r="I16" i="801"/>
  <c r="Z4" i="801" s="1"/>
  <c r="I15" i="801"/>
  <c r="K15" i="801" s="1" a="1"/>
  <c r="K15" i="801" s="1"/>
  <c r="I19" i="801"/>
  <c r="I14" i="801"/>
  <c r="J14" i="801" s="1"/>
  <c r="I20" i="807"/>
  <c r="J20" i="807" s="1"/>
  <c r="I4" i="807"/>
  <c r="I9" i="807"/>
  <c r="I17" i="807"/>
  <c r="I22" i="801"/>
  <c r="J22" i="801" s="1"/>
  <c r="I12" i="801"/>
  <c r="K12" i="801" s="1" a="1"/>
  <c r="K12" i="801" s="1"/>
  <c r="I26" i="801"/>
  <c r="K26" i="801" s="1" a="1"/>
  <c r="K26" i="801" s="1"/>
  <c r="I17" i="801"/>
  <c r="I20" i="801"/>
  <c r="I10" i="801"/>
  <c r="I9" i="801"/>
  <c r="J9" i="801" s="1"/>
  <c r="I23" i="801"/>
  <c r="I6" i="807"/>
  <c r="I11" i="801"/>
  <c r="I12" i="807"/>
  <c r="J12" i="807" s="1"/>
  <c r="I19" i="807"/>
  <c r="K19" i="807" s="1" a="1"/>
  <c r="K19" i="807" s="1"/>
  <c r="I10" i="807"/>
  <c r="K20" i="806" a="1"/>
  <c r="K20" i="806" s="1"/>
  <c r="J20" i="806"/>
  <c r="J13" i="801"/>
  <c r="K13" i="801" a="1"/>
  <c r="K13" i="801" s="1"/>
  <c r="K16" i="806" a="1"/>
  <c r="K16" i="806" s="1"/>
  <c r="J16" i="806"/>
  <c r="J10" i="806"/>
  <c r="K10" i="806" a="1"/>
  <c r="K10" i="806" s="1"/>
  <c r="K33" i="801" a="1"/>
  <c r="K33" i="801" s="1"/>
  <c r="J33" i="801"/>
  <c r="I5" i="801"/>
  <c r="I18" i="801"/>
  <c r="K28" i="807" a="1"/>
  <c r="K28" i="807" s="1"/>
  <c r="J28" i="807"/>
  <c r="I16" i="807"/>
  <c r="I8" i="807"/>
  <c r="I5" i="807"/>
  <c r="I30" i="807"/>
  <c r="J19" i="806"/>
  <c r="K19" i="806" a="1"/>
  <c r="K19" i="806" s="1"/>
  <c r="I7" i="807"/>
  <c r="I6" i="801"/>
  <c r="Y11" i="805"/>
  <c r="AA10" i="805"/>
  <c r="P13" i="806"/>
  <c r="I8" i="801"/>
  <c r="K9" i="806" a="1"/>
  <c r="K9" i="806" s="1"/>
  <c r="J9" i="806"/>
  <c r="K17" i="806" a="1"/>
  <c r="K17" i="806" s="1"/>
  <c r="J17" i="806"/>
  <c r="I13" i="807"/>
  <c r="J11" i="806"/>
  <c r="K11" i="806" a="1"/>
  <c r="K11" i="806" s="1"/>
  <c r="I21" i="801"/>
  <c r="I39" i="801"/>
  <c r="K14" i="801" l="1" a="1"/>
  <c r="K14" i="801" s="1"/>
  <c r="K21" i="807" a="1"/>
  <c r="K21" i="807" s="1"/>
  <c r="O5" i="806"/>
  <c r="P5" i="806" s="1"/>
  <c r="J16" i="801"/>
  <c r="Y4" i="801" s="1"/>
  <c r="K20" i="807" a="1"/>
  <c r="K20" i="807" s="1"/>
  <c r="K9" i="801" a="1"/>
  <c r="K9" i="801" s="1"/>
  <c r="N6" i="806"/>
  <c r="N7" i="806"/>
  <c r="O6" i="806"/>
  <c r="J18" i="807"/>
  <c r="J15" i="801"/>
  <c r="Y3" i="801" s="1"/>
  <c r="Z16" i="801"/>
  <c r="J12" i="801"/>
  <c r="Z3" i="801"/>
  <c r="K12" i="807" a="1"/>
  <c r="K12" i="807" s="1"/>
  <c r="J26" i="801"/>
  <c r="J11" i="807"/>
  <c r="K7" i="801" a="1"/>
  <c r="K7" i="801" s="1"/>
  <c r="J19" i="807"/>
  <c r="O7" i="806"/>
  <c r="K25" i="801" a="1"/>
  <c r="K25" i="801" s="1"/>
  <c r="Z17" i="801"/>
  <c r="K22" i="801" a="1"/>
  <c r="K22" i="801" s="1"/>
  <c r="K24" i="801" a="1"/>
  <c r="K24" i="801" s="1"/>
  <c r="J4" i="801"/>
  <c r="K15" i="807" a="1"/>
  <c r="K15" i="807" s="1"/>
  <c r="K16" i="801" a="1"/>
  <c r="K16" i="801" s="1"/>
  <c r="J10" i="807"/>
  <c r="K10" i="807" a="1"/>
  <c r="K10" i="807" s="1"/>
  <c r="J6" i="807"/>
  <c r="K6" i="807" a="1"/>
  <c r="K6" i="807" s="1"/>
  <c r="K20" i="801" a="1"/>
  <c r="K20" i="801" s="1"/>
  <c r="J20" i="801"/>
  <c r="Z8" i="801"/>
  <c r="Z21" i="801"/>
  <c r="K23" i="801" a="1"/>
  <c r="K23" i="801" s="1"/>
  <c r="J23" i="801"/>
  <c r="Z5" i="801"/>
  <c r="J17" i="801"/>
  <c r="Z18" i="801"/>
  <c r="K17" i="801" a="1"/>
  <c r="K17" i="801" s="1"/>
  <c r="K17" i="807" a="1"/>
  <c r="K17" i="807" s="1"/>
  <c r="J17" i="807"/>
  <c r="K9" i="807" a="1"/>
  <c r="K9" i="807" s="1"/>
  <c r="J9" i="807"/>
  <c r="J19" i="801"/>
  <c r="Z20" i="801"/>
  <c r="K19" i="801" a="1"/>
  <c r="K19" i="801" s="1"/>
  <c r="Z7" i="801"/>
  <c r="J11" i="801"/>
  <c r="K11" i="801" a="1"/>
  <c r="K11" i="801" s="1"/>
  <c r="K10" i="801" a="1"/>
  <c r="K10" i="801" s="1"/>
  <c r="J10" i="801"/>
  <c r="K4" i="807" a="1"/>
  <c r="K4" i="807" s="1"/>
  <c r="J4" i="807"/>
  <c r="O13" i="801"/>
  <c r="N13" i="801" s="1"/>
  <c r="P13" i="801" s="1"/>
  <c r="J8" i="801"/>
  <c r="K8" i="801" a="1"/>
  <c r="K8" i="801" s="1"/>
  <c r="AA11" i="805"/>
  <c r="Y12" i="805"/>
  <c r="K8" i="807" a="1"/>
  <c r="K8" i="807" s="1"/>
  <c r="J8" i="807"/>
  <c r="Z6" i="801"/>
  <c r="J18" i="801"/>
  <c r="Z19" i="801"/>
  <c r="K18" i="801" a="1"/>
  <c r="K18" i="801" s="1"/>
  <c r="J7" i="807"/>
  <c r="K7" i="807" a="1"/>
  <c r="K7" i="807" s="1"/>
  <c r="J16" i="807"/>
  <c r="K16" i="807" a="1"/>
  <c r="K16" i="807" s="1"/>
  <c r="J5" i="801"/>
  <c r="K5" i="801" a="1"/>
  <c r="K5" i="801" s="1"/>
  <c r="O13" i="807"/>
  <c r="P13" i="807" s="1"/>
  <c r="K21" i="801" a="1"/>
  <c r="K21" i="801" s="1"/>
  <c r="J21" i="801"/>
  <c r="K13" i="807" a="1"/>
  <c r="K13" i="807" s="1"/>
  <c r="J13" i="807"/>
  <c r="J6" i="801"/>
  <c r="O6" i="801" s="1"/>
  <c r="K6" i="801" a="1"/>
  <c r="K6" i="801" s="1"/>
  <c r="K5" i="807" a="1"/>
  <c r="K5" i="807" s="1"/>
  <c r="J5" i="807"/>
  <c r="Y17" i="801" l="1"/>
  <c r="AA12" i="805"/>
  <c r="AB10" i="805" s="1"/>
  <c r="AC10" i="805" s="1"/>
  <c r="AD6" i="805"/>
  <c r="AD7" i="805"/>
  <c r="AD5" i="805"/>
  <c r="AD8" i="805"/>
  <c r="AD9" i="805"/>
  <c r="AD10" i="805"/>
  <c r="AD11" i="805"/>
  <c r="Y16" i="801"/>
  <c r="P7" i="806"/>
  <c r="N9" i="806"/>
  <c r="O8" i="806"/>
  <c r="P6" i="806"/>
  <c r="N8" i="806"/>
  <c r="N10" i="806"/>
  <c r="O10" i="806"/>
  <c r="O6" i="807"/>
  <c r="P6" i="807" s="1"/>
  <c r="O11" i="806"/>
  <c r="O9" i="806"/>
  <c r="O12" i="806"/>
  <c r="Z9" i="801"/>
  <c r="O7" i="801"/>
  <c r="O10" i="801" s="1"/>
  <c r="N5" i="801"/>
  <c r="O7" i="807"/>
  <c r="O5" i="801"/>
  <c r="O8" i="801" s="1"/>
  <c r="Z22" i="801"/>
  <c r="O5" i="807"/>
  <c r="P5" i="807" s="1"/>
  <c r="Y5" i="801"/>
  <c r="Y18" i="801"/>
  <c r="Y20" i="801"/>
  <c r="Y7" i="801"/>
  <c r="Y8" i="801"/>
  <c r="Y21" i="801"/>
  <c r="N7" i="801"/>
  <c r="Y19" i="801"/>
  <c r="Y6" i="801"/>
  <c r="N6" i="801"/>
  <c r="AB8" i="805" l="1"/>
  <c r="AC8" i="805" s="1"/>
  <c r="AB9" i="805"/>
  <c r="AC9" i="805" s="1"/>
  <c r="AB6" i="805"/>
  <c r="AC6" i="805" s="1"/>
  <c r="AB5" i="805"/>
  <c r="AC5" i="805" s="1"/>
  <c r="AB7" i="805"/>
  <c r="AC7" i="805" s="1"/>
  <c r="AB11" i="805"/>
  <c r="AC11" i="805" s="1"/>
  <c r="P8" i="806"/>
  <c r="P9" i="806"/>
  <c r="N11" i="806"/>
  <c r="O10" i="807"/>
  <c r="P10" i="807" s="1"/>
  <c r="P10" i="806"/>
  <c r="P7" i="801"/>
  <c r="O11" i="807"/>
  <c r="P11" i="807" s="1"/>
  <c r="O9" i="801"/>
  <c r="O8" i="807"/>
  <c r="P8" i="807" s="1"/>
  <c r="O9" i="807"/>
  <c r="P9" i="807" s="1"/>
  <c r="P7" i="807"/>
  <c r="O12" i="807"/>
  <c r="P12" i="807" s="1"/>
  <c r="P5" i="801"/>
  <c r="Y9" i="801"/>
  <c r="O12" i="801"/>
  <c r="W12" i="801" s="1"/>
  <c r="Y12" i="801" s="1"/>
  <c r="O11" i="801"/>
  <c r="Y22" i="801"/>
  <c r="N9" i="801"/>
  <c r="P6" i="801"/>
  <c r="N10" i="801"/>
  <c r="N8" i="801"/>
  <c r="P8" i="801" l="1"/>
  <c r="P11" i="806"/>
  <c r="N12" i="806"/>
  <c r="W25" i="801"/>
  <c r="Q11" i="807"/>
  <c r="R11" i="807" s="1"/>
  <c r="Q6" i="807"/>
  <c r="R6" i="807" s="1"/>
  <c r="Q5" i="807"/>
  <c r="R5" i="807" s="1"/>
  <c r="P9" i="801"/>
  <c r="Q10" i="807"/>
  <c r="R10" i="807" s="1"/>
  <c r="Q8" i="807"/>
  <c r="R8" i="807" s="1"/>
  <c r="Q9" i="807"/>
  <c r="R9" i="807" s="1"/>
  <c r="Q7" i="807"/>
  <c r="R7" i="807" s="1"/>
  <c r="P10" i="801"/>
  <c r="N11" i="801"/>
  <c r="K39" i="778"/>
  <c r="J39" i="778"/>
  <c r="P12" i="806" l="1"/>
  <c r="Q11" i="806" s="1"/>
  <c r="R11" i="806" s="1"/>
  <c r="S5" i="806"/>
  <c r="S6" i="806"/>
  <c r="S7" i="806"/>
  <c r="S8" i="806"/>
  <c r="S9" i="806"/>
  <c r="S10" i="806"/>
  <c r="S11" i="806"/>
  <c r="N12" i="801"/>
  <c r="S11" i="801" s="1"/>
  <c r="P11" i="801"/>
  <c r="Q8" i="806" l="1"/>
  <c r="R8" i="806" s="1"/>
  <c r="Q9" i="806"/>
  <c r="R9" i="806" s="1"/>
  <c r="Q6" i="806"/>
  <c r="R6" i="806" s="1"/>
  <c r="Q5" i="806"/>
  <c r="R5" i="806" s="1"/>
  <c r="P12" i="801"/>
  <c r="Q10" i="801" s="1"/>
  <c r="R10" i="801" s="1"/>
  <c r="S6" i="801"/>
  <c r="S7" i="801"/>
  <c r="S5" i="801"/>
  <c r="S9" i="801"/>
  <c r="S10" i="801"/>
  <c r="S8" i="801"/>
  <c r="Q10" i="806"/>
  <c r="R10" i="806" s="1"/>
  <c r="Q7" i="806"/>
  <c r="R7" i="806" s="1"/>
  <c r="Q7" i="801" l="1"/>
  <c r="R7" i="801" s="1"/>
  <c r="Q9" i="801"/>
  <c r="R9" i="801" s="1"/>
  <c r="Q6" i="801"/>
  <c r="R6" i="801" s="1"/>
  <c r="U25" i="801"/>
  <c r="Y25" i="801" s="1"/>
  <c r="Q5" i="801"/>
  <c r="R5" i="801" s="1"/>
  <c r="U12" i="801"/>
  <c r="Z12" i="801" s="1"/>
  <c r="Q8" i="801"/>
  <c r="R8" i="801" s="1"/>
  <c r="Q11" i="801"/>
  <c r="R11" i="801" s="1"/>
  <c r="G21" i="778"/>
  <c r="G22" i="778"/>
  <c r="G13" i="778"/>
  <c r="G23" i="778"/>
  <c r="G11" i="778"/>
  <c r="F37" i="778"/>
  <c r="F13" i="778"/>
  <c r="F34" i="778"/>
  <c r="F38" i="778"/>
  <c r="F19" i="778"/>
  <c r="F14" i="778"/>
  <c r="F36" i="778"/>
  <c r="F20" i="778"/>
  <c r="F35" i="778"/>
  <c r="F33" i="778"/>
  <c r="F18" i="778"/>
  <c r="H26" i="778"/>
  <c r="H32" i="778" s="1"/>
  <c r="H38" i="778" s="1"/>
  <c r="H20" i="778"/>
  <c r="H23" i="778"/>
  <c r="H29" i="778" s="1"/>
  <c r="H35" i="778" s="1"/>
  <c r="H17" i="778"/>
  <c r="F29" i="778"/>
  <c r="F27" i="778"/>
  <c r="F15" i="778"/>
  <c r="F11" i="778"/>
  <c r="F28" i="778"/>
  <c r="F16" i="778"/>
  <c r="F30" i="778"/>
  <c r="F17" i="778"/>
  <c r="F12" i="778"/>
  <c r="F31" i="778"/>
  <c r="F32" i="778"/>
  <c r="H22" i="778"/>
  <c r="H28" i="778" s="1"/>
  <c r="H34" i="778" s="1"/>
  <c r="H16" i="778"/>
  <c r="H25" i="778"/>
  <c r="H31" i="778" s="1"/>
  <c r="H37" i="778" s="1"/>
  <c r="H19" i="778"/>
  <c r="G25" i="778"/>
  <c r="G26" i="778"/>
  <c r="G24" i="778"/>
  <c r="G14" i="778"/>
  <c r="G12" i="778"/>
  <c r="H24" i="778"/>
  <c r="H30" i="778" s="1"/>
  <c r="H36" i="778" s="1"/>
  <c r="H18" i="778"/>
  <c r="H21" i="778"/>
  <c r="H27" i="778" s="1"/>
  <c r="H33" i="778" s="1"/>
  <c r="H15" i="778"/>
  <c r="AA25" i="801" l="1"/>
  <c r="Z25" i="801"/>
  <c r="AC12" i="801"/>
  <c r="AA12" i="801"/>
  <c r="AC25" i="801"/>
  <c r="V12" i="801"/>
  <c r="X12" i="801" s="1"/>
  <c r="AB12" i="801" s="1"/>
  <c r="V25" i="801"/>
  <c r="G30" i="778"/>
  <c r="G29" i="778"/>
  <c r="G35" i="778" s="1"/>
  <c r="I35" i="778" s="1"/>
  <c r="G32" i="778"/>
  <c r="G28" i="778"/>
  <c r="G31" i="778"/>
  <c r="G37" i="778" s="1"/>
  <c r="I37" i="778" s="1"/>
  <c r="G27" i="778"/>
  <c r="I27" i="778" s="1"/>
  <c r="AD25" i="801" l="1"/>
  <c r="AD12" i="801"/>
  <c r="I29" i="778"/>
  <c r="J29" i="778" s="1"/>
  <c r="J35" i="778"/>
  <c r="K35" i="778" a="1"/>
  <c r="K35" i="778" s="1"/>
  <c r="J37" i="778"/>
  <c r="K37" i="778" a="1"/>
  <c r="K37" i="778" s="1"/>
  <c r="K27" i="778" a="1"/>
  <c r="K27" i="778" s="1"/>
  <c r="J27" i="778"/>
  <c r="I31" i="778"/>
  <c r="I30" i="778"/>
  <c r="G36" i="778"/>
  <c r="I36" i="778" s="1"/>
  <c r="G33" i="778"/>
  <c r="I32" i="778"/>
  <c r="G38" i="778"/>
  <c r="I38" i="778" s="1"/>
  <c r="I28" i="778"/>
  <c r="G34" i="778"/>
  <c r="I34" i="778" s="1"/>
  <c r="AB25" i="801"/>
  <c r="K29" i="778" l="1" a="1"/>
  <c r="K29" i="778" s="1"/>
  <c r="K28" i="778" a="1"/>
  <c r="K28" i="778" s="1"/>
  <c r="J28" i="778"/>
  <c r="J31" i="778"/>
  <c r="K31" i="778" a="1"/>
  <c r="K31" i="778" s="1"/>
  <c r="J36" i="778"/>
  <c r="K36" i="778" a="1"/>
  <c r="K36" i="778" s="1"/>
  <c r="J38" i="778"/>
  <c r="K38" i="778" a="1"/>
  <c r="K38" i="778" s="1"/>
  <c r="J30" i="778"/>
  <c r="K30" i="778" a="1"/>
  <c r="K30" i="778" s="1"/>
  <c r="K34" i="778" a="1"/>
  <c r="K34" i="778" s="1"/>
  <c r="J34" i="778"/>
  <c r="K32" i="778" a="1"/>
  <c r="K32" i="778" s="1"/>
  <c r="J32" i="778"/>
  <c r="I33" i="778"/>
  <c r="I6" i="778" s="1"/>
  <c r="I25" i="778" l="1"/>
  <c r="J25" i="778" s="1"/>
  <c r="I14" i="778"/>
  <c r="J14" i="778" s="1"/>
  <c r="I20" i="778"/>
  <c r="J20" i="778" s="1"/>
  <c r="I12" i="778"/>
  <c r="J12" i="778" s="1"/>
  <c r="I19" i="778"/>
  <c r="J19" i="778" s="1"/>
  <c r="I16" i="778"/>
  <c r="K16" i="778" s="1" a="1"/>
  <c r="K16" i="778" s="1"/>
  <c r="I23" i="778"/>
  <c r="K23" i="778" s="1" a="1"/>
  <c r="K23" i="778" s="1"/>
  <c r="I26" i="778"/>
  <c r="J26" i="778" s="1"/>
  <c r="I7" i="778"/>
  <c r="K7" i="778" s="1" a="1"/>
  <c r="K7" i="778" s="1"/>
  <c r="I4" i="778"/>
  <c r="K4" i="778" s="1" a="1"/>
  <c r="K4" i="778" s="1"/>
  <c r="I22" i="778"/>
  <c r="K22" i="778" s="1" a="1"/>
  <c r="K22" i="778" s="1"/>
  <c r="I15" i="778"/>
  <c r="J15" i="778" s="1"/>
  <c r="I17" i="778"/>
  <c r="J17" i="778" s="1"/>
  <c r="I11" i="778"/>
  <c r="J11" i="778" s="1"/>
  <c r="I9" i="778"/>
  <c r="J9" i="778" s="1"/>
  <c r="I10" i="778"/>
  <c r="J10" i="778" s="1"/>
  <c r="I24" i="778"/>
  <c r="J24" i="778" s="1"/>
  <c r="J33" i="778"/>
  <c r="K33" i="778" a="1"/>
  <c r="K33" i="778" s="1"/>
  <c r="I5" i="778"/>
  <c r="I18" i="778"/>
  <c r="I21" i="778"/>
  <c r="K6" i="778" a="1"/>
  <c r="K6" i="778" s="1"/>
  <c r="J6" i="778"/>
  <c r="I39" i="778"/>
  <c r="I13" i="778"/>
  <c r="I8" i="778"/>
  <c r="K20" i="778" l="1" a="1"/>
  <c r="K20" i="778" s="1"/>
  <c r="K14" i="778" a="1"/>
  <c r="K14" i="778" s="1"/>
  <c r="K25" i="778" a="1"/>
  <c r="K25" i="778" s="1"/>
  <c r="J16" i="778"/>
  <c r="J4" i="778"/>
  <c r="J23" i="778"/>
  <c r="K12" i="778" a="1"/>
  <c r="K12" i="778" s="1"/>
  <c r="K26" i="778" a="1"/>
  <c r="K26" i="778" s="1"/>
  <c r="K19" i="778" a="1"/>
  <c r="K19" i="778" s="1"/>
  <c r="K17" i="778" a="1"/>
  <c r="K17" i="778" s="1"/>
  <c r="J7" i="778"/>
  <c r="O12" i="778" s="1"/>
  <c r="K9" i="778" a="1"/>
  <c r="K9" i="778" s="1"/>
  <c r="J22" i="778"/>
  <c r="K11" i="778" a="1"/>
  <c r="K11" i="778" s="1"/>
  <c r="K15" i="778" a="1"/>
  <c r="K15" i="778" s="1"/>
  <c r="K10" i="778" a="1"/>
  <c r="K10" i="778" s="1"/>
  <c r="K24" i="778" a="1"/>
  <c r="K24" i="778" s="1"/>
  <c r="J18" i="778"/>
  <c r="K18" i="778" a="1"/>
  <c r="K18" i="778" s="1"/>
  <c r="J8" i="778"/>
  <c r="N13" i="778" s="1"/>
  <c r="K8" i="778" a="1"/>
  <c r="K8" i="778" s="1"/>
  <c r="K21" i="778" a="1"/>
  <c r="K21" i="778" s="1"/>
  <c r="J21" i="778"/>
  <c r="J5" i="778"/>
  <c r="K5" i="778" a="1"/>
  <c r="K5" i="778" s="1"/>
  <c r="J13" i="778"/>
  <c r="K13" i="778" a="1"/>
  <c r="K13" i="778" s="1"/>
  <c r="O18" i="778"/>
  <c r="O7" i="778"/>
  <c r="N4" i="778" l="1"/>
  <c r="N11" i="778"/>
  <c r="O4" i="778"/>
  <c r="N12" i="778"/>
  <c r="N5" i="778"/>
  <c r="N3" i="778"/>
  <c r="N7" i="778"/>
  <c r="N18" i="778"/>
  <c r="S13" i="778" s="1"/>
  <c r="O5" i="778"/>
  <c r="O13" i="778"/>
  <c r="P13" i="778" s="1"/>
  <c r="O11" i="778"/>
  <c r="O3" i="778"/>
  <c r="P12" i="778" l="1"/>
  <c r="S12" i="778"/>
  <c r="N15" i="778"/>
  <c r="S15" i="778" s="1"/>
  <c r="S11" i="778"/>
  <c r="P4" i="778"/>
  <c r="N16" i="778"/>
  <c r="S16" i="778" s="1"/>
  <c r="N14" i="778"/>
  <c r="S14" i="778" s="1"/>
  <c r="P11" i="778"/>
  <c r="P3" i="778"/>
  <c r="O6" i="778"/>
  <c r="P5" i="778"/>
  <c r="O14" i="778"/>
  <c r="P18" i="778"/>
  <c r="O15" i="778"/>
  <c r="O16" i="778"/>
  <c r="P7" i="778"/>
  <c r="N6" i="778"/>
  <c r="S3" i="778" s="1"/>
  <c r="D18" i="771"/>
  <c r="C18" i="771"/>
  <c r="B18" i="771"/>
  <c r="D17" i="771"/>
  <c r="C17" i="771"/>
  <c r="B17" i="771"/>
  <c r="D16" i="771"/>
  <c r="D20" i="771" s="1"/>
  <c r="C16" i="771"/>
  <c r="B16" i="771"/>
  <c r="B20" i="771" s="1"/>
  <c r="N5" i="771"/>
  <c r="M5" i="771"/>
  <c r="L5" i="771"/>
  <c r="G3" i="771"/>
  <c r="G9" i="771" s="1"/>
  <c r="S4" i="778" l="1"/>
  <c r="S5" i="778"/>
  <c r="P15" i="778"/>
  <c r="N17" i="778"/>
  <c r="P6" i="778"/>
  <c r="Q4" i="778" s="1"/>
  <c r="R4" i="778" s="1"/>
  <c r="P14" i="778"/>
  <c r="B19" i="771"/>
  <c r="O17" i="778"/>
  <c r="P16" i="778"/>
  <c r="C19" i="771"/>
  <c r="D19" i="771"/>
  <c r="G4" i="771"/>
  <c r="L9" i="771"/>
  <c r="N9" i="771"/>
  <c r="M9" i="771"/>
  <c r="C20" i="771"/>
  <c r="G5" i="771" s="1"/>
  <c r="Q5" i="778" l="1"/>
  <c r="R5" i="778" s="1"/>
  <c r="P17" i="778"/>
  <c r="Q16" i="778" s="1"/>
  <c r="R16" i="778" s="1"/>
  <c r="Q3" i="778"/>
  <c r="R3" i="778" s="1"/>
  <c r="G7" i="771"/>
  <c r="G6" i="771"/>
  <c r="G8" i="771" s="1"/>
  <c r="G10" i="771" s="1"/>
  <c r="Q12" i="778" l="1"/>
  <c r="R12" i="778" s="1"/>
  <c r="Q13" i="778"/>
  <c r="R13" i="778" s="1"/>
  <c r="Q11" i="778"/>
  <c r="R11" i="778" s="1"/>
  <c r="Q14" i="778"/>
  <c r="R14" i="778" s="1"/>
  <c r="Q15" i="778"/>
  <c r="R15" i="778" s="1"/>
  <c r="Q16" i="759"/>
  <c r="O16" i="759"/>
  <c r="P16" i="759" s="1"/>
  <c r="N16" i="759"/>
  <c r="Q15" i="759"/>
  <c r="O15" i="759"/>
  <c r="P15" i="759" s="1"/>
  <c r="N15" i="759"/>
  <c r="Q14" i="759"/>
  <c r="O14" i="759"/>
  <c r="P14" i="759" s="1"/>
  <c r="N14" i="759"/>
  <c r="Q13" i="759"/>
  <c r="O13" i="759"/>
  <c r="P13" i="759" s="1"/>
  <c r="N13" i="759"/>
  <c r="P8" i="759"/>
  <c r="P7" i="759"/>
  <c r="O7" i="759"/>
  <c r="N7" i="759"/>
  <c r="P6" i="759"/>
  <c r="O6" i="759"/>
  <c r="N6" i="759"/>
  <c r="P5" i="759"/>
  <c r="O5" i="759"/>
  <c r="N5" i="759"/>
  <c r="P4" i="759"/>
  <c r="O4" i="759"/>
  <c r="N4" i="759"/>
  <c r="AD38" i="758"/>
  <c r="AF36" i="758" s="1"/>
  <c r="AJ20" i="758"/>
  <c r="AL18" i="758" s="1"/>
  <c r="P20" i="758"/>
  <c r="R19" i="758" s="1"/>
  <c r="AF16" i="758"/>
  <c r="G15" i="758"/>
  <c r="F15" i="758"/>
  <c r="AF14" i="758"/>
  <c r="AF11" i="758"/>
  <c r="AF10" i="758"/>
  <c r="AF9" i="758"/>
  <c r="J9" i="758"/>
  <c r="I9" i="758"/>
  <c r="H9" i="758"/>
  <c r="G9" i="758"/>
  <c r="F9" i="758"/>
  <c r="E9" i="758"/>
  <c r="AF8" i="758"/>
  <c r="J8" i="758"/>
  <c r="I8" i="758"/>
  <c r="H8" i="758"/>
  <c r="G8" i="758"/>
  <c r="F8" i="758"/>
  <c r="E8" i="758"/>
  <c r="AI7" i="758"/>
  <c r="AI8" i="758" s="1"/>
  <c r="AI9" i="758" s="1"/>
  <c r="AI10" i="758" s="1"/>
  <c r="AI11" i="758" s="1"/>
  <c r="AI12" i="758" s="1"/>
  <c r="AI13" i="758" s="1"/>
  <c r="AI14" i="758" s="1"/>
  <c r="AI15" i="758" s="1"/>
  <c r="AI16" i="758" s="1"/>
  <c r="AI17" i="758" s="1"/>
  <c r="AI18" i="758" s="1"/>
  <c r="AF7" i="758"/>
  <c r="AC7" i="758"/>
  <c r="AC8" i="758" s="1"/>
  <c r="AC9" i="758" s="1"/>
  <c r="AC10" i="758" s="1"/>
  <c r="AC11" i="758" s="1"/>
  <c r="AC12" i="758" s="1"/>
  <c r="AC13" i="758" s="1"/>
  <c r="AC14" i="758" s="1"/>
  <c r="AC15" i="758" s="1"/>
  <c r="AC16" i="758" s="1"/>
  <c r="AC17" i="758" s="1"/>
  <c r="AC18" i="758" s="1"/>
  <c r="AC19" i="758" s="1"/>
  <c r="AC20" i="758" s="1"/>
  <c r="AC21" i="758" s="1"/>
  <c r="AC22" i="758" s="1"/>
  <c r="AC23" i="758" s="1"/>
  <c r="AC24" i="758" s="1"/>
  <c r="AC25" i="758" s="1"/>
  <c r="AC26" i="758" s="1"/>
  <c r="AC27" i="758" s="1"/>
  <c r="AC28" i="758" s="1"/>
  <c r="AC29" i="758" s="1"/>
  <c r="AC30" i="758" s="1"/>
  <c r="AC31" i="758" s="1"/>
  <c r="AC32" i="758" s="1"/>
  <c r="AC33" i="758" s="1"/>
  <c r="AC34" i="758" s="1"/>
  <c r="AC35" i="758" s="1"/>
  <c r="AC36" i="758" s="1"/>
  <c r="O7" i="758"/>
  <c r="O8" i="758" s="1"/>
  <c r="O9" i="758" s="1"/>
  <c r="O10" i="758" s="1"/>
  <c r="O11" i="758" s="1"/>
  <c r="O12" i="758" s="1"/>
  <c r="O13" i="758" s="1"/>
  <c r="O14" i="758" s="1"/>
  <c r="O15" i="758" s="1"/>
  <c r="O16" i="758" s="1"/>
  <c r="O17" i="758" s="1"/>
  <c r="O18" i="758" s="1"/>
  <c r="J7" i="758"/>
  <c r="I7" i="758"/>
  <c r="H7" i="758"/>
  <c r="G7" i="758"/>
  <c r="F7" i="758"/>
  <c r="E7" i="758"/>
  <c r="AK6" i="758"/>
  <c r="AF6" i="758"/>
  <c r="AE6" i="758"/>
  <c r="AG6" i="758" s="1"/>
  <c r="Q6" i="758"/>
  <c r="Q7" i="758" s="1"/>
  <c r="AF13" i="758" l="1"/>
  <c r="AF17" i="758"/>
  <c r="AF22" i="758"/>
  <c r="AF30" i="758"/>
  <c r="AF15" i="758"/>
  <c r="F14" i="758"/>
  <c r="F13" i="758" s="1"/>
  <c r="AF12" i="758"/>
  <c r="AF18" i="758"/>
  <c r="AF28" i="758"/>
  <c r="R16" i="759"/>
  <c r="R17" i="758"/>
  <c r="R10" i="758"/>
  <c r="R6" i="758"/>
  <c r="R7" i="758"/>
  <c r="R12" i="758"/>
  <c r="R14" i="758"/>
  <c r="R15" i="758"/>
  <c r="R8" i="758"/>
  <c r="R9" i="758"/>
  <c r="R11" i="758"/>
  <c r="R13" i="758"/>
  <c r="H15" i="758"/>
  <c r="AF19" i="758"/>
  <c r="AF25" i="758"/>
  <c r="G13" i="758"/>
  <c r="G14" i="758" s="1"/>
  <c r="AF21" i="758"/>
  <c r="AF26" i="758"/>
  <c r="AF32" i="758"/>
  <c r="AF24" i="758"/>
  <c r="AF29" i="758"/>
  <c r="S6" i="758"/>
  <c r="AL6" i="758"/>
  <c r="AL7" i="758"/>
  <c r="AL11" i="758"/>
  <c r="R15" i="759"/>
  <c r="AL8" i="758"/>
  <c r="AL10" i="758"/>
  <c r="AL14" i="758"/>
  <c r="AL16" i="758"/>
  <c r="R18" i="758"/>
  <c r="AL19" i="758"/>
  <c r="AL17" i="758"/>
  <c r="AL9" i="758"/>
  <c r="AL13" i="758"/>
  <c r="AL15" i="758"/>
  <c r="O8" i="759"/>
  <c r="AM6" i="758"/>
  <c r="AL12" i="758"/>
  <c r="R16" i="758"/>
  <c r="AF20" i="758"/>
  <c r="AF23" i="758"/>
  <c r="AF27" i="758"/>
  <c r="AF31" i="758"/>
  <c r="R14" i="759"/>
  <c r="P17" i="759"/>
  <c r="R13" i="759"/>
  <c r="S7" i="758"/>
  <c r="Q8" i="758"/>
  <c r="AE7" i="758"/>
  <c r="AK7" i="758"/>
  <c r="AF37" i="758"/>
  <c r="AF33" i="758"/>
  <c r="AF34" i="758"/>
  <c r="AF35" i="758"/>
  <c r="H13" i="758" l="1"/>
  <c r="R17" i="759"/>
  <c r="T17" i="759" s="1"/>
  <c r="H14" i="758"/>
  <c r="AG7" i="758"/>
  <c r="AE8" i="758"/>
  <c r="AM7" i="758"/>
  <c r="AK8" i="758"/>
  <c r="Q9" i="758"/>
  <c r="S8" i="758"/>
  <c r="I13" i="758" l="1"/>
  <c r="J13" i="758" s="1"/>
  <c r="L13" i="758"/>
  <c r="K9" i="758"/>
  <c r="M9" i="758" s="1"/>
  <c r="K7" i="758"/>
  <c r="L7" i="758" s="1"/>
  <c r="M13" i="758"/>
  <c r="K8" i="758"/>
  <c r="M8" i="758" s="1"/>
  <c r="Q10" i="758"/>
  <c r="S9" i="758"/>
  <c r="AE9" i="758"/>
  <c r="AG8" i="758"/>
  <c r="AK9" i="758"/>
  <c r="AM8" i="758"/>
  <c r="L9" i="758" l="1"/>
  <c r="M7" i="758"/>
  <c r="L8" i="758"/>
  <c r="AK10" i="758"/>
  <c r="AM9" i="758"/>
  <c r="AE10" i="758"/>
  <c r="AG9" i="758"/>
  <c r="Q11" i="758"/>
  <c r="S10" i="758"/>
  <c r="AE11" i="758" l="1"/>
  <c r="AG10" i="758"/>
  <c r="Q12" i="758"/>
  <c r="S11" i="758"/>
  <c r="AK11" i="758"/>
  <c r="AM10" i="758"/>
  <c r="Q13" i="758" l="1"/>
  <c r="S12" i="758"/>
  <c r="AK12" i="758"/>
  <c r="AM11" i="758"/>
  <c r="AE12" i="758"/>
  <c r="AG11" i="758"/>
  <c r="AK13" i="758" l="1"/>
  <c r="AM12" i="758"/>
  <c r="AE13" i="758"/>
  <c r="AG12" i="758"/>
  <c r="Q14" i="758"/>
  <c r="S13" i="758"/>
  <c r="AE14" i="758" l="1"/>
  <c r="AG13" i="758"/>
  <c r="S14" i="758"/>
  <c r="Q15" i="758"/>
  <c r="AK14" i="758"/>
  <c r="AM13" i="758"/>
  <c r="AK15" i="758" l="1"/>
  <c r="AM14" i="758"/>
  <c r="AG14" i="758"/>
  <c r="AE15" i="758"/>
  <c r="S15" i="758"/>
  <c r="Q16" i="758"/>
  <c r="AG15" i="758" l="1"/>
  <c r="AE16" i="758"/>
  <c r="S16" i="758"/>
  <c r="Q17" i="758"/>
  <c r="AM15" i="758"/>
  <c r="AK16" i="758"/>
  <c r="S17" i="758" l="1"/>
  <c r="Q18" i="758"/>
  <c r="AM16" i="758"/>
  <c r="AK17" i="758"/>
  <c r="AG16" i="758"/>
  <c r="AE17" i="758"/>
  <c r="AG17" i="758" l="1"/>
  <c r="AE18" i="758"/>
  <c r="S18" i="758"/>
  <c r="Q19" i="758"/>
  <c r="S19" i="758" s="1"/>
  <c r="AM17" i="758"/>
  <c r="AK18" i="758"/>
  <c r="AK19" i="758" l="1"/>
  <c r="AM19" i="758" s="1"/>
  <c r="AM18" i="758"/>
  <c r="AG18" i="758"/>
  <c r="AE19" i="758"/>
  <c r="AG19" i="758" l="1"/>
  <c r="AE20" i="758"/>
  <c r="AG20" i="758" l="1"/>
  <c r="AE21" i="758"/>
  <c r="AG21" i="758" l="1"/>
  <c r="AE22" i="758"/>
  <c r="AG22" i="758" l="1"/>
  <c r="AE23" i="758"/>
  <c r="AG23" i="758" l="1"/>
  <c r="AE24" i="758"/>
  <c r="AG24" i="758" l="1"/>
  <c r="AE25" i="758"/>
  <c r="AG25" i="758" l="1"/>
  <c r="AE26" i="758"/>
  <c r="AG26" i="758" l="1"/>
  <c r="AE27" i="758"/>
  <c r="AG27" i="758" l="1"/>
  <c r="AE28" i="758"/>
  <c r="AG28" i="758" l="1"/>
  <c r="AE29" i="758"/>
  <c r="AG29" i="758" l="1"/>
  <c r="AE30" i="758"/>
  <c r="AG30" i="758" l="1"/>
  <c r="AE31" i="758"/>
  <c r="AG31" i="758" l="1"/>
  <c r="AE32" i="758"/>
  <c r="BB9" i="729"/>
  <c r="BA9" i="729"/>
  <c r="AZ9" i="729"/>
  <c r="AY9" i="729"/>
  <c r="AX9" i="729"/>
  <c r="AW9" i="729"/>
  <c r="AV9" i="729"/>
  <c r="AU9" i="729"/>
  <c r="AT9" i="729"/>
  <c r="AS9" i="729"/>
  <c r="AR9" i="729"/>
  <c r="AQ9" i="729"/>
  <c r="BB8" i="729"/>
  <c r="BA8" i="729"/>
  <c r="AZ8" i="729"/>
  <c r="AY8" i="729"/>
  <c r="AX8" i="729"/>
  <c r="AW8" i="729"/>
  <c r="AV8" i="729"/>
  <c r="AU8" i="729"/>
  <c r="AT8" i="729"/>
  <c r="AS8" i="729"/>
  <c r="AR8" i="729"/>
  <c r="AQ8" i="729"/>
  <c r="BB7" i="729"/>
  <c r="BA7" i="729"/>
  <c r="AZ7" i="729"/>
  <c r="AY7" i="729"/>
  <c r="AX7" i="729"/>
  <c r="AW7" i="729"/>
  <c r="AV7" i="729"/>
  <c r="AU7" i="729"/>
  <c r="AT7" i="729"/>
  <c r="AS7" i="729"/>
  <c r="AR7" i="729"/>
  <c r="AQ7" i="729"/>
  <c r="BB6" i="729"/>
  <c r="BA6" i="729"/>
  <c r="AZ6" i="729"/>
  <c r="AY6" i="729"/>
  <c r="AX6" i="729"/>
  <c r="AW6" i="729"/>
  <c r="AV6" i="729"/>
  <c r="AU6" i="729"/>
  <c r="AT6" i="729"/>
  <c r="AS6" i="729"/>
  <c r="AR6" i="729"/>
  <c r="AQ6" i="729"/>
  <c r="BB5" i="729"/>
  <c r="BA5" i="729"/>
  <c r="AZ5" i="729"/>
  <c r="AY5" i="729"/>
  <c r="AX5" i="729"/>
  <c r="AW5" i="729"/>
  <c r="AV5" i="729"/>
  <c r="AU5" i="729"/>
  <c r="AT5" i="729"/>
  <c r="AS5" i="729"/>
  <c r="AR5" i="729"/>
  <c r="AQ5" i="729"/>
  <c r="BB4" i="729"/>
  <c r="BC13" i="729" s="1"/>
  <c r="BA4" i="729"/>
  <c r="BB13" i="729" s="1"/>
  <c r="AZ4" i="729"/>
  <c r="BA13" i="729" s="1"/>
  <c r="AY4" i="729"/>
  <c r="AZ13" i="729" s="1"/>
  <c r="AX4" i="729"/>
  <c r="AY13" i="729" s="1"/>
  <c r="AW4" i="729"/>
  <c r="AX13" i="729" s="1"/>
  <c r="AV4" i="729"/>
  <c r="AW13" i="729" s="1"/>
  <c r="AU4" i="729"/>
  <c r="AV13" i="729" s="1"/>
  <c r="AT4" i="729"/>
  <c r="AU13" i="729" s="1"/>
  <c r="AS4" i="729"/>
  <c r="AT13" i="729" s="1"/>
  <c r="AR4" i="729"/>
  <c r="AS13" i="729" s="1"/>
  <c r="AQ4" i="729"/>
  <c r="AR13" i="729" s="1"/>
  <c r="G6" i="729"/>
  <c r="G7" i="729"/>
  <c r="G8" i="729"/>
  <c r="G9" i="729"/>
  <c r="G10" i="729"/>
  <c r="M21" i="729" s="1"/>
  <c r="G11" i="729"/>
  <c r="G12" i="729"/>
  <c r="G13" i="729"/>
  <c r="G14" i="729"/>
  <c r="G15" i="729"/>
  <c r="M15" i="729" s="1"/>
  <c r="G16" i="729"/>
  <c r="G17" i="729"/>
  <c r="G18" i="729"/>
  <c r="G19" i="729"/>
  <c r="G5" i="729"/>
  <c r="M13" i="729" s="1"/>
  <c r="H4" i="729"/>
  <c r="N12" i="729" s="1"/>
  <c r="I4" i="729"/>
  <c r="O12" i="729" s="1"/>
  <c r="J4" i="729"/>
  <c r="P19" i="729" s="1"/>
  <c r="K4" i="729"/>
  <c r="Q12" i="729" s="1"/>
  <c r="G4" i="729"/>
  <c r="AG32" i="758" l="1"/>
  <c r="AE33" i="758"/>
  <c r="AC12" i="729"/>
  <c r="AB13" i="729"/>
  <c r="O19" i="729"/>
  <c r="AB14" i="729"/>
  <c r="AF5" i="729"/>
  <c r="AC5" i="729"/>
  <c r="AB6" i="729"/>
  <c r="AD12" i="729"/>
  <c r="AB15" i="729"/>
  <c r="AF19" i="729"/>
  <c r="AE19" i="729"/>
  <c r="AB22" i="729"/>
  <c r="M7" i="729"/>
  <c r="AD5" i="729"/>
  <c r="AB7" i="729"/>
  <c r="AE12" i="729"/>
  <c r="AC19" i="729"/>
  <c r="AB20" i="729"/>
  <c r="M14" i="729"/>
  <c r="AE5" i="729"/>
  <c r="AB8" i="729"/>
  <c r="AF12" i="729"/>
  <c r="AD19" i="729"/>
  <c r="AB21" i="729"/>
  <c r="O5" i="729"/>
  <c r="N19" i="729"/>
  <c r="M20" i="729"/>
  <c r="M22" i="729"/>
  <c r="P5" i="729"/>
  <c r="N5" i="729"/>
  <c r="M6" i="729"/>
  <c r="M8" i="729"/>
  <c r="Q19" i="729"/>
  <c r="P12" i="729"/>
  <c r="Q5" i="729"/>
  <c r="AG33" i="758" l="1"/>
  <c r="AE34" i="758"/>
  <c r="AG34" i="758" l="1"/>
  <c r="AE35" i="758"/>
  <c r="AG35" i="758" l="1"/>
  <c r="AE36" i="758"/>
  <c r="AG36" i="758" l="1"/>
  <c r="AE37" i="758"/>
  <c r="AG37" i="758" s="1"/>
  <c r="P15" i="729" l="1"/>
  <c r="AE8" i="729"/>
  <c r="P8" i="729"/>
  <c r="AE15" i="729"/>
  <c r="AE22" i="729"/>
  <c r="P22" i="729"/>
  <c r="N9" i="729"/>
  <c r="N23" i="729"/>
  <c r="R6" i="729"/>
  <c r="R20" i="729"/>
  <c r="N6" i="729"/>
  <c r="R23" i="729"/>
  <c r="W10" i="729" s="1"/>
  <c r="N13" i="729"/>
  <c r="AC20" i="729"/>
  <c r="AC23" i="729"/>
  <c r="AG20" i="729"/>
  <c r="AC13" i="729"/>
  <c r="AC16" i="729"/>
  <c r="AC9" i="729"/>
  <c r="N16" i="729"/>
  <c r="AG9" i="729"/>
  <c r="AK10" i="729" s="1"/>
  <c r="AG13" i="729"/>
  <c r="N20" i="729"/>
  <c r="AC6" i="729"/>
  <c r="R13" i="729"/>
  <c r="R16" i="729"/>
  <c r="R9" i="729"/>
  <c r="V10" i="729" s="1"/>
  <c r="AG6" i="729"/>
  <c r="AG23" i="729"/>
  <c r="AL10" i="729" s="1"/>
  <c r="AJ10" i="729" s="1"/>
  <c r="AG16" i="729"/>
  <c r="AX17" i="729"/>
  <c r="AE6" i="729"/>
  <c r="AE23" i="729"/>
  <c r="P6" i="729"/>
  <c r="AE20" i="729"/>
  <c r="AE16" i="729"/>
  <c r="AE13" i="729"/>
  <c r="AE9" i="729"/>
  <c r="P23" i="729"/>
  <c r="P20" i="729"/>
  <c r="P16" i="729"/>
  <c r="P13" i="729"/>
  <c r="P9" i="729"/>
  <c r="BC17" i="729"/>
  <c r="BB17" i="729"/>
  <c r="BA17" i="729"/>
  <c r="AY17" i="729"/>
  <c r="AR17" i="729"/>
  <c r="AE14" i="729"/>
  <c r="P14" i="729"/>
  <c r="P21" i="729"/>
  <c r="P7" i="729"/>
  <c r="AE21" i="729"/>
  <c r="AE7" i="729"/>
  <c r="N8" i="729"/>
  <c r="AG15" i="729"/>
  <c r="N15" i="729"/>
  <c r="AC8" i="729"/>
  <c r="R8" i="729"/>
  <c r="AC15" i="729"/>
  <c r="AC22" i="729"/>
  <c r="R15" i="729"/>
  <c r="AG22" i="729"/>
  <c r="R22" i="729"/>
  <c r="AG8" i="729"/>
  <c r="N22" i="729"/>
  <c r="AW17" i="729"/>
  <c r="Q22" i="729"/>
  <c r="Q8" i="729"/>
  <c r="AF22" i="729"/>
  <c r="AF8" i="729"/>
  <c r="AF15" i="729"/>
  <c r="Q15" i="729"/>
  <c r="AZ17" i="729"/>
  <c r="AS17" i="729"/>
  <c r="Q7" i="729"/>
  <c r="AF21" i="729"/>
  <c r="Q21" i="729"/>
  <c r="Q14" i="729"/>
  <c r="AF14" i="729"/>
  <c r="AF7" i="729"/>
  <c r="N7" i="729"/>
  <c r="R7" i="729"/>
  <c r="N21" i="729"/>
  <c r="R21" i="729"/>
  <c r="AG21" i="729"/>
  <c r="R14" i="729"/>
  <c r="N14" i="729"/>
  <c r="AC7" i="729"/>
  <c r="AG7" i="729"/>
  <c r="AC14" i="729"/>
  <c r="AC21" i="729"/>
  <c r="AG14" i="729"/>
  <c r="AD16" i="729"/>
  <c r="AD9" i="729"/>
  <c r="O9" i="729"/>
  <c r="O16" i="729"/>
  <c r="AD13" i="729"/>
  <c r="O23" i="729"/>
  <c r="AD20" i="729"/>
  <c r="O13" i="729"/>
  <c r="O20" i="729"/>
  <c r="O6" i="729"/>
  <c r="AD6" i="729"/>
  <c r="AD23" i="729"/>
  <c r="AV17" i="729"/>
  <c r="AF20" i="729"/>
  <c r="Q20" i="729"/>
  <c r="Q13" i="729"/>
  <c r="AF13" i="729"/>
  <c r="Q23" i="729"/>
  <c r="Q9" i="729"/>
  <c r="AF16" i="729"/>
  <c r="Q16" i="729"/>
  <c r="AF9" i="729"/>
  <c r="AF6" i="729"/>
  <c r="Q6" i="729"/>
  <c r="AF23" i="729"/>
  <c r="AU17" i="729"/>
  <c r="AD15" i="729"/>
  <c r="O15" i="729"/>
  <c r="O8" i="729"/>
  <c r="AD8" i="729"/>
  <c r="AD22" i="729"/>
  <c r="O22" i="729"/>
  <c r="AT17" i="729"/>
  <c r="O7" i="729"/>
  <c r="O14" i="729"/>
  <c r="AD14" i="729"/>
  <c r="AD7" i="729"/>
  <c r="AD21" i="729"/>
  <c r="O21" i="729"/>
  <c r="U6" i="729" l="1"/>
  <c r="N4" i="729"/>
  <c r="AK6" i="729"/>
  <c r="AJ7" i="729"/>
  <c r="AJ9" i="729"/>
  <c r="U7" i="729"/>
  <c r="AJ6" i="729"/>
  <c r="AC4" i="729"/>
  <c r="V7" i="729"/>
  <c r="U10" i="729"/>
  <c r="AK7" i="729"/>
  <c r="AK8" i="729" s="1"/>
  <c r="AK9" i="729" s="1"/>
  <c r="V6" i="729"/>
  <c r="U9" i="729"/>
  <c r="AO6" i="729" l="1"/>
  <c r="AO7" i="729"/>
  <c r="X7" i="729"/>
  <c r="Y7" i="729" s="1"/>
  <c r="Z7" i="729"/>
  <c r="X6" i="729"/>
  <c r="Y6" i="729" s="1"/>
  <c r="Z6" i="729"/>
  <c r="AL6" i="729"/>
  <c r="U8" i="729"/>
  <c r="V8" i="729"/>
  <c r="V9" i="729" s="1"/>
  <c r="AJ8" i="729"/>
  <c r="AL9" i="729"/>
  <c r="AL7" i="729"/>
  <c r="X8" i="729" l="1"/>
  <c r="Z8" i="729"/>
  <c r="AL8" i="729"/>
  <c r="AM8" i="729" s="1"/>
  <c r="AN8" i="729" s="1"/>
  <c r="AO8" i="729"/>
  <c r="AM6" i="729"/>
  <c r="AN6" i="729" s="1"/>
  <c r="AM7" i="729"/>
  <c r="AN7" i="729" s="1"/>
  <c r="Y8" i="729"/>
  <c r="BB6" i="694" l="1"/>
  <c r="BC6" i="694"/>
  <c r="BD6" i="694"/>
  <c r="BE6" i="694"/>
  <c r="BF6" i="694"/>
  <c r="BB7" i="694"/>
  <c r="BC7" i="694"/>
  <c r="BD7" i="694"/>
  <c r="BE7" i="694"/>
  <c r="BF7" i="694"/>
  <c r="BB8" i="694"/>
  <c r="BC8" i="694"/>
  <c r="BD8" i="694"/>
  <c r="BE8" i="694"/>
  <c r="BF8" i="694"/>
  <c r="BB9" i="694"/>
  <c r="BC9" i="694"/>
  <c r="BD9" i="694"/>
  <c r="BE9" i="694"/>
  <c r="BF9" i="694"/>
  <c r="BB10" i="694"/>
  <c r="BC10" i="694"/>
  <c r="BD10" i="694"/>
  <c r="BE10" i="694"/>
  <c r="BF10" i="694"/>
  <c r="BB11" i="694"/>
  <c r="BC11" i="694"/>
  <c r="BD11" i="694"/>
  <c r="BE11" i="694"/>
  <c r="BF11" i="694"/>
  <c r="BB12" i="694"/>
  <c r="BC12" i="694"/>
  <c r="BD12" i="694"/>
  <c r="BE12" i="694"/>
  <c r="BF12" i="694"/>
  <c r="BB13" i="694"/>
  <c r="BC13" i="694"/>
  <c r="BD13" i="694"/>
  <c r="BE13" i="694"/>
  <c r="BF13" i="694"/>
  <c r="BB15" i="694"/>
  <c r="BC15" i="694"/>
  <c r="BD15" i="694"/>
  <c r="BE15" i="694"/>
  <c r="BF15" i="694"/>
  <c r="BB16" i="694"/>
  <c r="BC16" i="694"/>
  <c r="BD16" i="694"/>
  <c r="BE16" i="694"/>
  <c r="BF16" i="694"/>
  <c r="BB17" i="694"/>
  <c r="BC17" i="694"/>
  <c r="BD17" i="694"/>
  <c r="BE17" i="694"/>
  <c r="BF17" i="694"/>
  <c r="BB18" i="694"/>
  <c r="BC18" i="694"/>
  <c r="BD18" i="694"/>
  <c r="BE18" i="694"/>
  <c r="BF18" i="694"/>
  <c r="BB19" i="694"/>
  <c r="BC19" i="694"/>
  <c r="BD19" i="694"/>
  <c r="BE19" i="694"/>
  <c r="BF19" i="694"/>
  <c r="BB20" i="694"/>
  <c r="BC20" i="694"/>
  <c r="BD20" i="694"/>
  <c r="BE20" i="694"/>
  <c r="BF20" i="694"/>
  <c r="BB21" i="694"/>
  <c r="BC21" i="694"/>
  <c r="BD21" i="694"/>
  <c r="BE21" i="694"/>
  <c r="BF21" i="694"/>
  <c r="BA21" i="694"/>
  <c r="BA20" i="694"/>
  <c r="BA19" i="694"/>
  <c r="BA18" i="694"/>
  <c r="BA17" i="694"/>
  <c r="BA16" i="694"/>
  <c r="BA15" i="694"/>
  <c r="BA13" i="694"/>
  <c r="BA12" i="694"/>
  <c r="BA11" i="694"/>
  <c r="BA10" i="694"/>
  <c r="BA9" i="694"/>
  <c r="BA8" i="694"/>
  <c r="BA7" i="694"/>
  <c r="BA6" i="694"/>
  <c r="BB5" i="694"/>
  <c r="BC5" i="694"/>
  <c r="BD5" i="694"/>
  <c r="BE5" i="694"/>
  <c r="BF5" i="694"/>
  <c r="BA5" i="694"/>
  <c r="AR12" i="694"/>
  <c r="AR13" i="694" s="1"/>
  <c r="AR14" i="694" s="1"/>
  <c r="AR15" i="694" s="1"/>
  <c r="AR16" i="694" s="1"/>
  <c r="AR17" i="694" s="1"/>
  <c r="AR18" i="694" s="1"/>
  <c r="AR19" i="694" s="1"/>
  <c r="AR20" i="694" s="1"/>
  <c r="AT6" i="694"/>
  <c r="AU6" i="694"/>
  <c r="AV6" i="694"/>
  <c r="AW6" i="694"/>
  <c r="AX6" i="694"/>
  <c r="AT7" i="694"/>
  <c r="AU7" i="694"/>
  <c r="AV7" i="694"/>
  <c r="AW7" i="694"/>
  <c r="AX7" i="694"/>
  <c r="AS7" i="694"/>
  <c r="AS6" i="694"/>
  <c r="AT5" i="694"/>
  <c r="AU5" i="694"/>
  <c r="AV5" i="694"/>
  <c r="AW5" i="694"/>
  <c r="AX5" i="694"/>
  <c r="AS5" i="694"/>
  <c r="AL5" i="694"/>
  <c r="AM5" i="694"/>
  <c r="AN5" i="694"/>
  <c r="AO5" i="694"/>
  <c r="AP5" i="694"/>
  <c r="AK5" i="694"/>
  <c r="AD6" i="694"/>
  <c r="AD7" i="694" s="1"/>
  <c r="AE6" i="694"/>
  <c r="AE7" i="694" s="1"/>
  <c r="AF6" i="694"/>
  <c r="AF7" i="694" s="1"/>
  <c r="AG6" i="694"/>
  <c r="AG7" i="694" s="1"/>
  <c r="AH6" i="694"/>
  <c r="AH7" i="694" s="1"/>
  <c r="AD8" i="694"/>
  <c r="AE8" i="694"/>
  <c r="AF8" i="694"/>
  <c r="AG8" i="694"/>
  <c r="AH8" i="694"/>
  <c r="AD9" i="694"/>
  <c r="AE9" i="694"/>
  <c r="AF9" i="694"/>
  <c r="AG9" i="694"/>
  <c r="AH9" i="694"/>
  <c r="AD10" i="694"/>
  <c r="AE10" i="694"/>
  <c r="AF10" i="694"/>
  <c r="AG10" i="694"/>
  <c r="AH10" i="694"/>
  <c r="AC10" i="694"/>
  <c r="AC9" i="694"/>
  <c r="AC8" i="694"/>
  <c r="AC6" i="694"/>
  <c r="AC7" i="694" s="1"/>
  <c r="AD5" i="694"/>
  <c r="AE5" i="694"/>
  <c r="AF5" i="694"/>
  <c r="AG5" i="694"/>
  <c r="AH5" i="694"/>
  <c r="AC5" i="694"/>
  <c r="K21" i="694"/>
  <c r="P11" i="694" s="1"/>
  <c r="I21" i="694"/>
  <c r="J21" i="694"/>
  <c r="H21" i="694"/>
  <c r="K20" i="694"/>
  <c r="I20" i="694"/>
  <c r="J20" i="694"/>
  <c r="H20" i="694"/>
  <c r="G20" i="694"/>
  <c r="K19" i="694"/>
  <c r="I19" i="694"/>
  <c r="J19" i="694"/>
  <c r="H19" i="694"/>
  <c r="G19" i="694"/>
  <c r="I18" i="694"/>
  <c r="J18" i="694"/>
  <c r="H18" i="694"/>
  <c r="K15" i="694"/>
  <c r="I15" i="694"/>
  <c r="J15" i="694"/>
  <c r="H15" i="694"/>
  <c r="K14" i="694"/>
  <c r="I14" i="694"/>
  <c r="J14" i="694"/>
  <c r="H14" i="694"/>
  <c r="G14" i="694"/>
  <c r="K13" i="694"/>
  <c r="I13" i="694"/>
  <c r="J13" i="694"/>
  <c r="H13" i="694"/>
  <c r="G13" i="694"/>
  <c r="I12" i="694"/>
  <c r="J12" i="694"/>
  <c r="H12" i="694"/>
  <c r="K9" i="694"/>
  <c r="O11" i="694" s="1"/>
  <c r="I9" i="694"/>
  <c r="J9" i="694"/>
  <c r="H9" i="694"/>
  <c r="K8" i="694"/>
  <c r="I8" i="694"/>
  <c r="J8" i="694"/>
  <c r="H8" i="694"/>
  <c r="G8" i="694"/>
  <c r="K7" i="694"/>
  <c r="I7" i="694"/>
  <c r="J7" i="694"/>
  <c r="H7" i="694"/>
  <c r="G7" i="694"/>
  <c r="I6" i="694"/>
  <c r="J6" i="694"/>
  <c r="H6" i="694"/>
  <c r="AU18" i="694" l="1"/>
  <c r="BD14" i="694"/>
  <c r="AX15" i="694"/>
  <c r="AT11" i="694"/>
  <c r="AW13" i="694"/>
  <c r="AS18" i="694"/>
  <c r="AV14" i="694"/>
  <c r="AW20" i="694"/>
  <c r="AX19" i="694"/>
  <c r="AT15" i="694"/>
  <c r="AW18" i="694"/>
  <c r="AU11" i="694"/>
  <c r="AX12" i="694"/>
  <c r="AT12" i="694"/>
  <c r="AT19" i="694"/>
  <c r="AW12" i="694"/>
  <c r="AS15" i="694"/>
  <c r="AW16" i="694"/>
  <c r="AX11" i="694"/>
  <c r="AU14" i="694"/>
  <c r="AS17" i="694"/>
  <c r="AS13" i="694"/>
  <c r="AV20" i="694"/>
  <c r="AW19" i="694"/>
  <c r="AX18" i="694"/>
  <c r="AT18" i="694"/>
  <c r="AU17" i="694"/>
  <c r="AV16" i="694"/>
  <c r="AW15" i="694"/>
  <c r="AX14" i="694"/>
  <c r="AT14" i="694"/>
  <c r="AU13" i="694"/>
  <c r="AV12" i="694"/>
  <c r="AW11" i="694"/>
  <c r="BE14" i="694"/>
  <c r="AS14" i="694"/>
  <c r="AV17" i="694"/>
  <c r="AV13" i="694"/>
  <c r="O7" i="694"/>
  <c r="AS20" i="694"/>
  <c r="AS16" i="694"/>
  <c r="AS12" i="694"/>
  <c r="AU20" i="694"/>
  <c r="AV19" i="694"/>
  <c r="AX17" i="694"/>
  <c r="AT17" i="694"/>
  <c r="AU16" i="694"/>
  <c r="AV15" i="694"/>
  <c r="AW14" i="694"/>
  <c r="AX13" i="694"/>
  <c r="AT13" i="694"/>
  <c r="AU12" i="694"/>
  <c r="AV11" i="694"/>
  <c r="AS11" i="694"/>
  <c r="AS19" i="694"/>
  <c r="AX20" i="694"/>
  <c r="AT20" i="694"/>
  <c r="AU19" i="694"/>
  <c r="AV18" i="694"/>
  <c r="AW17" i="694"/>
  <c r="AX16" i="694"/>
  <c r="AT16" i="694"/>
  <c r="AU15" i="694"/>
  <c r="BF14" i="694"/>
  <c r="BB14" i="694"/>
  <c r="BC14" i="694"/>
  <c r="N10" i="694"/>
  <c r="H5" i="694"/>
  <c r="N8" i="694"/>
  <c r="R7" i="695"/>
  <c r="L7" i="695"/>
  <c r="M7" i="695"/>
  <c r="N7" i="695"/>
  <c r="R6" i="695"/>
  <c r="L6" i="695"/>
  <c r="S7" i="695"/>
  <c r="N6" i="695"/>
  <c r="O7" i="695"/>
  <c r="S6" i="695"/>
  <c r="Q7" i="695"/>
  <c r="K7" i="695"/>
  <c r="P6" i="695"/>
  <c r="O6" i="695"/>
  <c r="P7" i="695"/>
  <c r="Q6" i="695"/>
  <c r="K6" i="695"/>
  <c r="M6" i="695"/>
  <c r="AK9" i="694"/>
  <c r="BA14" i="694"/>
  <c r="AN9" i="694"/>
  <c r="AM9" i="694"/>
  <c r="AP9" i="694"/>
  <c r="AL9" i="694"/>
  <c r="AO9" i="694"/>
  <c r="N7" i="694"/>
  <c r="O8" i="694"/>
  <c r="N11" i="694"/>
  <c r="P8" i="694" l="1"/>
  <c r="AY12" i="694"/>
  <c r="N9" i="694"/>
  <c r="AY15" i="694"/>
  <c r="AY19" i="694"/>
  <c r="AT9" i="694"/>
  <c r="AT8" i="694"/>
  <c r="AX9" i="694"/>
  <c r="AY18" i="694"/>
  <c r="AY16" i="694"/>
  <c r="AU10" i="694"/>
  <c r="AX8" i="694"/>
  <c r="AU8" i="694"/>
  <c r="AU9" i="694"/>
  <c r="AV9" i="694"/>
  <c r="AV8" i="694"/>
  <c r="AV10" i="694"/>
  <c r="AW8" i="694"/>
  <c r="AW10" i="694"/>
  <c r="AW9" i="694"/>
  <c r="AX10" i="694"/>
  <c r="AY11" i="694"/>
  <c r="AS10" i="694"/>
  <c r="AS9" i="694"/>
  <c r="AS8" i="694"/>
  <c r="AY20" i="694"/>
  <c r="AY17" i="694"/>
  <c r="AT10" i="694"/>
  <c r="AY13" i="694"/>
  <c r="AY14" i="694"/>
  <c r="R5" i="695"/>
  <c r="Q5" i="695"/>
  <c r="S5" i="695"/>
  <c r="P5" i="695"/>
  <c r="O5" i="695"/>
  <c r="N5" i="695"/>
  <c r="K5" i="695"/>
  <c r="L5" i="695"/>
  <c r="M5" i="695"/>
  <c r="O9" i="694"/>
  <c r="O10" i="694" s="1"/>
  <c r="P10" i="694" s="1"/>
  <c r="Q8" i="694" s="1"/>
  <c r="R8" i="694" s="1"/>
  <c r="P7" i="694"/>
  <c r="Q7" i="694" l="1"/>
  <c r="R7" i="694" s="1"/>
  <c r="P9" i="694"/>
  <c r="Q9" i="694" s="1"/>
  <c r="R9" i="694" s="1"/>
  <c r="L22" i="691" l="1"/>
  <c r="Q9" i="691" s="1"/>
  <c r="K22" i="691"/>
  <c r="J22" i="691"/>
  <c r="I22" i="691"/>
  <c r="H22" i="691"/>
  <c r="L21" i="691"/>
  <c r="K21" i="691"/>
  <c r="J21" i="691"/>
  <c r="I21" i="691"/>
  <c r="H21" i="691"/>
  <c r="G21" i="691"/>
  <c r="L20" i="691"/>
  <c r="K20" i="691"/>
  <c r="J20" i="691"/>
  <c r="I20" i="691"/>
  <c r="H20" i="691"/>
  <c r="G20" i="691"/>
  <c r="L19" i="691"/>
  <c r="K19" i="691"/>
  <c r="J19" i="691"/>
  <c r="I19" i="691"/>
  <c r="H19" i="691"/>
  <c r="G19" i="691"/>
  <c r="K18" i="691"/>
  <c r="J18" i="691"/>
  <c r="I18" i="691"/>
  <c r="H18" i="691"/>
  <c r="L15" i="691"/>
  <c r="K15" i="691"/>
  <c r="J15" i="691"/>
  <c r="I15" i="691"/>
  <c r="H15" i="691"/>
  <c r="L14" i="691"/>
  <c r="K14" i="691"/>
  <c r="J14" i="691"/>
  <c r="I14" i="691"/>
  <c r="H14" i="691"/>
  <c r="G14" i="691"/>
  <c r="V7" i="691" s="1"/>
  <c r="L13" i="691"/>
  <c r="K13" i="691"/>
  <c r="J13" i="691"/>
  <c r="I13" i="691"/>
  <c r="H13" i="691"/>
  <c r="G13" i="691"/>
  <c r="V6" i="691" s="1"/>
  <c r="L12" i="691"/>
  <c r="K12" i="691"/>
  <c r="J12" i="691"/>
  <c r="I12" i="691"/>
  <c r="H12" i="691"/>
  <c r="G12" i="691"/>
  <c r="V5" i="691" s="1"/>
  <c r="K11" i="691"/>
  <c r="V18" i="691" s="1"/>
  <c r="J11" i="691"/>
  <c r="V17" i="691" s="1"/>
  <c r="I11" i="691"/>
  <c r="V16" i="691" s="1"/>
  <c r="H11" i="691"/>
  <c r="V15" i="691" s="1"/>
  <c r="L8" i="691"/>
  <c r="P9" i="691" s="1"/>
  <c r="K8" i="691"/>
  <c r="J8" i="691"/>
  <c r="I8" i="691"/>
  <c r="H8" i="691"/>
  <c r="L7" i="691"/>
  <c r="K7" i="691"/>
  <c r="J7" i="691"/>
  <c r="I7" i="691"/>
  <c r="H7" i="691"/>
  <c r="G7" i="691"/>
  <c r="L6" i="691"/>
  <c r="K6" i="691"/>
  <c r="J6" i="691"/>
  <c r="I6" i="691"/>
  <c r="H6" i="691"/>
  <c r="G6" i="691"/>
  <c r="L5" i="691"/>
  <c r="K5" i="691"/>
  <c r="J5" i="691"/>
  <c r="I5" i="691"/>
  <c r="H5" i="691"/>
  <c r="G5" i="691"/>
  <c r="K4" i="691"/>
  <c r="J4" i="691"/>
  <c r="I4" i="691"/>
  <c r="H4" i="691"/>
  <c r="P6" i="691" l="1"/>
  <c r="W18" i="691"/>
  <c r="W7" i="691"/>
  <c r="O8" i="691"/>
  <c r="O5" i="691"/>
  <c r="X17" i="691"/>
  <c r="W8" i="691"/>
  <c r="X18" i="691"/>
  <c r="X16" i="691"/>
  <c r="X6" i="691"/>
  <c r="P5" i="691"/>
  <c r="W16" i="691"/>
  <c r="W6" i="691"/>
  <c r="W17" i="691"/>
  <c r="X5" i="691"/>
  <c r="W19" i="691"/>
  <c r="W15" i="691"/>
  <c r="X19" i="691"/>
  <c r="W5" i="691"/>
  <c r="X7" i="691"/>
  <c r="H3" i="691"/>
  <c r="O6" i="691"/>
  <c r="X8" i="691"/>
  <c r="X15" i="691"/>
  <c r="O9" i="691"/>
  <c r="AG28" i="689" a="1"/>
  <c r="AG28" i="689" s="1"/>
  <c r="AG29" i="689" a="1"/>
  <c r="AG29" i="689" s="1"/>
  <c r="AC18" i="689"/>
  <c r="AC7" i="689"/>
  <c r="Y16" i="691" l="1"/>
  <c r="Y18" i="691"/>
  <c r="Y6" i="691"/>
  <c r="Y17" i="691"/>
  <c r="Q5" i="691"/>
  <c r="Y8" i="691"/>
  <c r="P7" i="691"/>
  <c r="P8" i="691" s="1"/>
  <c r="Q8" i="691" s="1"/>
  <c r="Q6" i="691"/>
  <c r="Y7" i="691"/>
  <c r="Y5" i="691"/>
  <c r="Y19" i="691"/>
  <c r="Z18" i="691" s="1"/>
  <c r="AA18" i="691" s="1"/>
  <c r="O7" i="691"/>
  <c r="Y15" i="691"/>
  <c r="J23" i="689"/>
  <c r="O10" i="689" s="1"/>
  <c r="H23" i="689"/>
  <c r="I23" i="689"/>
  <c r="G23" i="689"/>
  <c r="J22" i="689"/>
  <c r="H22" i="689"/>
  <c r="I22" i="689"/>
  <c r="G22" i="689"/>
  <c r="F22" i="689"/>
  <c r="J21" i="689"/>
  <c r="H21" i="689"/>
  <c r="I21" i="689"/>
  <c r="G21" i="689"/>
  <c r="F21" i="689"/>
  <c r="J20" i="689"/>
  <c r="H20" i="689"/>
  <c r="I20" i="689"/>
  <c r="G20" i="689"/>
  <c r="F20" i="689"/>
  <c r="H19" i="689"/>
  <c r="I19" i="689"/>
  <c r="G19" i="689"/>
  <c r="J16" i="689"/>
  <c r="H16" i="689"/>
  <c r="I16" i="689"/>
  <c r="G16" i="689"/>
  <c r="J15" i="689"/>
  <c r="AD6" i="689" s="1"/>
  <c r="H15" i="689"/>
  <c r="I15" i="689"/>
  <c r="G15" i="689"/>
  <c r="F15" i="689"/>
  <c r="J14" i="689"/>
  <c r="AD5" i="689" s="1"/>
  <c r="H14" i="689"/>
  <c r="I14" i="689"/>
  <c r="G14" i="689"/>
  <c r="F14" i="689"/>
  <c r="J13" i="689"/>
  <c r="H13" i="689"/>
  <c r="I13" i="689"/>
  <c r="G13" i="689"/>
  <c r="F13" i="689"/>
  <c r="H12" i="689"/>
  <c r="T16" i="689" s="1"/>
  <c r="I12" i="689"/>
  <c r="T17" i="689" s="1"/>
  <c r="G12" i="689"/>
  <c r="J9" i="689"/>
  <c r="N10" i="689" s="1"/>
  <c r="H9" i="689"/>
  <c r="I9" i="689"/>
  <c r="G9" i="689"/>
  <c r="J8" i="689"/>
  <c r="AE6" i="689" s="1"/>
  <c r="H8" i="689"/>
  <c r="I8" i="689"/>
  <c r="G8" i="689"/>
  <c r="F8" i="689"/>
  <c r="J7" i="689"/>
  <c r="AE5" i="689" s="1"/>
  <c r="H7" i="689"/>
  <c r="I7" i="689"/>
  <c r="G7" i="689"/>
  <c r="F7" i="689"/>
  <c r="J6" i="689"/>
  <c r="H6" i="689"/>
  <c r="I6" i="689"/>
  <c r="G6" i="689"/>
  <c r="F6" i="689"/>
  <c r="H5" i="689"/>
  <c r="I5" i="689"/>
  <c r="G5" i="689"/>
  <c r="R6" i="691" l="1"/>
  <c r="S6" i="691" s="1"/>
  <c r="Z6" i="691"/>
  <c r="AA6" i="691" s="1"/>
  <c r="Z5" i="691"/>
  <c r="AA5" i="691" s="1"/>
  <c r="Z17" i="691"/>
  <c r="AA17" i="691" s="1"/>
  <c r="Z7" i="691"/>
  <c r="AA7" i="691" s="1"/>
  <c r="Z16" i="691"/>
  <c r="AA16" i="691" s="1"/>
  <c r="R5" i="691"/>
  <c r="S5" i="691" s="1"/>
  <c r="Q7" i="691"/>
  <c r="R7" i="691" s="1"/>
  <c r="S7" i="691" s="1"/>
  <c r="Z15" i="691"/>
  <c r="AA15" i="691" s="1"/>
  <c r="M9" i="689"/>
  <c r="M6" i="689"/>
  <c r="AE4" i="689"/>
  <c r="AE7" i="689" s="1"/>
  <c r="AC59" i="689" a="1"/>
  <c r="AC49" i="689" a="1"/>
  <c r="AC37" i="689" a="1"/>
  <c r="AC25" i="689" a="1"/>
  <c r="AB15" i="689" a="1"/>
  <c r="T15" i="689"/>
  <c r="AB5" i="689"/>
  <c r="T7" i="689"/>
  <c r="V17" i="689"/>
  <c r="U17" i="689"/>
  <c r="U7" i="689"/>
  <c r="V7" i="689"/>
  <c r="N7" i="689"/>
  <c r="AD15" i="689" a="1"/>
  <c r="U18" i="689"/>
  <c r="U9" i="689"/>
  <c r="AI65" i="689"/>
  <c r="AK65" i="689" s="1"/>
  <c r="AI55" i="689"/>
  <c r="AK55" i="689" s="1"/>
  <c r="U15" i="689"/>
  <c r="V6" i="689"/>
  <c r="U6" i="689"/>
  <c r="AD10" i="689"/>
  <c r="AF10" i="689" s="1"/>
  <c r="V18" i="689"/>
  <c r="V9" i="689"/>
  <c r="AI45" i="689"/>
  <c r="AK45" i="689" s="1"/>
  <c r="AI33" i="689"/>
  <c r="AK33" i="689" s="1"/>
  <c r="V15" i="689"/>
  <c r="AD21" i="689"/>
  <c r="AF21" i="689" s="1"/>
  <c r="AB6" i="689"/>
  <c r="T8" i="689"/>
  <c r="V16" i="689"/>
  <c r="U16" i="689"/>
  <c r="V8" i="689"/>
  <c r="U8" i="689"/>
  <c r="M7" i="689"/>
  <c r="AE15" i="689" a="1"/>
  <c r="G4" i="689"/>
  <c r="AB60" i="689" a="1"/>
  <c r="AB4" i="689"/>
  <c r="AB50" i="689" a="1"/>
  <c r="AB38" i="689" a="1"/>
  <c r="AB26" i="689" a="1"/>
  <c r="T6" i="689"/>
  <c r="N6" i="689"/>
  <c r="AD4" i="689"/>
  <c r="AD7" i="689" s="1"/>
  <c r="M10" i="689"/>
  <c r="W8" i="689" l="1"/>
  <c r="AB10" i="689"/>
  <c r="AH10" i="689" s="1"/>
  <c r="W7" i="689"/>
  <c r="N8" i="689"/>
  <c r="N9" i="689" s="1"/>
  <c r="O9" i="689" s="1"/>
  <c r="O7" i="689"/>
  <c r="W15" i="689"/>
  <c r="W17" i="689"/>
  <c r="AC49" i="689"/>
  <c r="AE49" i="689"/>
  <c r="AD49" i="689"/>
  <c r="AB60" i="689"/>
  <c r="AB62" i="689"/>
  <c r="AB61" i="689"/>
  <c r="AB15" i="689"/>
  <c r="AB16" i="689"/>
  <c r="AB17" i="689"/>
  <c r="AC59" i="689"/>
  <c r="AD59" i="689"/>
  <c r="AE59" i="689"/>
  <c r="W18" i="689"/>
  <c r="AC25" i="689"/>
  <c r="AE25" i="689"/>
  <c r="AD25" i="689"/>
  <c r="AB26" i="689"/>
  <c r="AB27" i="689"/>
  <c r="AB28" i="689"/>
  <c r="AG27" i="689" s="1" a="1"/>
  <c r="AG27" i="689" s="1"/>
  <c r="W9" i="689"/>
  <c r="X8" i="689" s="1"/>
  <c r="Y8" i="689" s="1"/>
  <c r="Z8" i="689" s="1"/>
  <c r="AB38" i="689"/>
  <c r="AB39" i="689"/>
  <c r="AB40" i="689"/>
  <c r="M8" i="689"/>
  <c r="AB50" i="689"/>
  <c r="AG50" i="689" s="1" a="1"/>
  <c r="AG50" i="689" s="1"/>
  <c r="AB51" i="689"/>
  <c r="AB52" i="689"/>
  <c r="AG51" i="689" s="1" a="1"/>
  <c r="AG51" i="689" s="1"/>
  <c r="AE15" i="689"/>
  <c r="AE16" i="689"/>
  <c r="AE17" i="689"/>
  <c r="W16" i="689"/>
  <c r="W6" i="689"/>
  <c r="AD15" i="689"/>
  <c r="AD17" i="689"/>
  <c r="AD16" i="689"/>
  <c r="AC37" i="689"/>
  <c r="AE37" i="689"/>
  <c r="AD37" i="689"/>
  <c r="O6" i="689"/>
  <c r="O8" i="689" l="1"/>
  <c r="P7" i="689"/>
  <c r="Q7" i="689" s="1"/>
  <c r="X17" i="689"/>
  <c r="Y17" i="689" s="1"/>
  <c r="Z17" i="689" s="1"/>
  <c r="X7" i="689"/>
  <c r="Y7" i="689" s="1"/>
  <c r="Z7" i="689" s="1"/>
  <c r="X6" i="689"/>
  <c r="Y6" i="689" s="1"/>
  <c r="Z6" i="689" s="1"/>
  <c r="AC10" i="689"/>
  <c r="AK10" i="689" s="1"/>
  <c r="X16" i="689"/>
  <c r="Y16" i="689" s="1"/>
  <c r="Z16" i="689" s="1"/>
  <c r="X15" i="689"/>
  <c r="Y15" i="689" s="1"/>
  <c r="Z15" i="689" s="1"/>
  <c r="AG40" i="689" a="1"/>
  <c r="AG40" i="689" s="1"/>
  <c r="AG41" i="689" a="1"/>
  <c r="AG41" i="689" s="1"/>
  <c r="AD18" i="689"/>
  <c r="P6" i="689"/>
  <c r="Q6" i="689" s="1"/>
  <c r="AE18" i="689"/>
  <c r="AB21" i="689" s="1"/>
  <c r="P8" i="689"/>
  <c r="Q8" i="689" s="1"/>
  <c r="AG39" i="689" a="1"/>
  <c r="AG39" i="689" s="1"/>
  <c r="AG38" i="689" a="1"/>
  <c r="AG38" i="689" s="1"/>
  <c r="AJ10" i="689"/>
  <c r="AG61" i="689" a="1"/>
  <c r="AG61" i="689" s="1"/>
  <c r="AG60" i="689" a="1"/>
  <c r="AG60" i="689" s="1"/>
  <c r="AH50" i="689" a="1"/>
  <c r="AH50" i="689" s="1"/>
  <c r="AJ50" i="689" s="1"/>
  <c r="AG10" i="689"/>
  <c r="AH51" i="689" a="1"/>
  <c r="AH51" i="689" s="1"/>
  <c r="AJ51" i="689" s="1"/>
  <c r="AG26" i="689" a="1"/>
  <c r="AG26" i="689" s="1"/>
  <c r="AE10" i="689" l="1"/>
  <c r="AI10" i="689" s="1"/>
  <c r="AI51" i="689"/>
  <c r="AH26" i="689" a="1"/>
  <c r="AH26" i="689" s="1"/>
  <c r="AI26" i="689" s="1"/>
  <c r="AH39" i="689" a="1"/>
  <c r="AH39" i="689" s="1"/>
  <c r="AI39" i="689" s="1"/>
  <c r="AH60" i="689" a="1"/>
  <c r="AH60" i="689" s="1"/>
  <c r="AK60" i="689" s="1"/>
  <c r="AC21" i="689"/>
  <c r="AH21" i="689"/>
  <c r="AJ21" i="689"/>
  <c r="AG21" i="689"/>
  <c r="AH28" i="689" a="1"/>
  <c r="AH28" i="689" s="1"/>
  <c r="AK51" i="689"/>
  <c r="AI50" i="689"/>
  <c r="AH61" i="689" a="1"/>
  <c r="AH61" i="689" s="1"/>
  <c r="AJ61" i="689" s="1"/>
  <c r="AH41" i="689" a="1"/>
  <c r="AH41" i="689" s="1"/>
  <c r="AJ41" i="689" s="1"/>
  <c r="AH27" i="689" a="1"/>
  <c r="AH27" i="689" s="1"/>
  <c r="AH29" i="689" a="1"/>
  <c r="AH29" i="689" s="1"/>
  <c r="AK50" i="689"/>
  <c r="AH38" i="689" a="1"/>
  <c r="AH38" i="689" s="1"/>
  <c r="AI38" i="689" s="1"/>
  <c r="AH40" i="689" a="1"/>
  <c r="AH40" i="689" s="1"/>
  <c r="AI40" i="689" s="1"/>
  <c r="AJ40" i="689" l="1"/>
  <c r="AJ60" i="689"/>
  <c r="AJ39" i="689"/>
  <c r="AJ26" i="689"/>
  <c r="AI60" i="689"/>
  <c r="AK40" i="689"/>
  <c r="AK61" i="689"/>
  <c r="AK26" i="689"/>
  <c r="AI41" i="689"/>
  <c r="AI42" i="689" s="1"/>
  <c r="AJ38" i="689"/>
  <c r="AK41" i="689"/>
  <c r="AJ27" i="689"/>
  <c r="AI27" i="689"/>
  <c r="AK27" i="689"/>
  <c r="AJ52" i="689"/>
  <c r="AK52" i="689"/>
  <c r="AG55" i="689" s="1"/>
  <c r="AI52" i="689"/>
  <c r="AJ28" i="689"/>
  <c r="AK28" i="689"/>
  <c r="AI28" i="689"/>
  <c r="AE21" i="689"/>
  <c r="AI21" i="689" s="1"/>
  <c r="AK21" i="689"/>
  <c r="AK38" i="689"/>
  <c r="AI29" i="689"/>
  <c r="AJ29" i="689"/>
  <c r="AK29" i="689"/>
  <c r="AI61" i="689"/>
  <c r="AK39" i="689"/>
  <c r="AI30" i="689" l="1"/>
  <c r="AK62" i="689"/>
  <c r="AG65" i="689" s="1"/>
  <c r="AK42" i="689"/>
  <c r="AG45" i="689" s="1"/>
  <c r="AK30" i="689"/>
  <c r="AG33" i="689" s="1"/>
  <c r="AJ42" i="689"/>
  <c r="AI62" i="689"/>
  <c r="AJ30" i="689"/>
  <c r="AJ62" i="689"/>
  <c r="AM55" i="689"/>
  <c r="AO55" i="689"/>
  <c r="AH55" i="689"/>
  <c r="AL55" i="689"/>
  <c r="AO45" i="689" l="1"/>
  <c r="AM45" i="689"/>
  <c r="AH45" i="689"/>
  <c r="AP45" i="689" s="1"/>
  <c r="AL45" i="689"/>
  <c r="AP55" i="689"/>
  <c r="AJ55" i="689"/>
  <c r="AN55" i="689" s="1"/>
  <c r="AL33" i="689"/>
  <c r="AM33" i="689"/>
  <c r="AH33" i="689"/>
  <c r="AO65" i="689"/>
  <c r="AH65" i="689"/>
  <c r="AL65" i="689"/>
  <c r="AM65" i="689"/>
  <c r="AO33" i="689"/>
  <c r="AJ45" i="689" l="1"/>
  <c r="AN45" i="689" s="1"/>
  <c r="AP65" i="689"/>
  <c r="AJ65" i="689"/>
  <c r="AN65" i="689" s="1"/>
  <c r="AP33" i="689"/>
  <c r="AJ33" i="689"/>
  <c r="AN33" i="689" s="1"/>
  <c r="M14" i="675" l="1"/>
  <c r="H13" i="675"/>
  <c r="E13" i="675"/>
  <c r="D13" i="675"/>
  <c r="C13" i="675"/>
  <c r="B13" i="675"/>
  <c r="E12" i="675"/>
  <c r="J11" i="675" s="1"/>
  <c r="D12" i="675"/>
  <c r="I9" i="675" s="1"/>
  <c r="C12" i="675"/>
  <c r="H9" i="675" s="1"/>
  <c r="B12" i="675"/>
  <c r="G11" i="675" s="1"/>
  <c r="J4" i="675" l="1"/>
  <c r="G6" i="675"/>
  <c r="G8" i="675"/>
  <c r="G9" i="675"/>
  <c r="G5" i="675"/>
  <c r="G10" i="675"/>
  <c r="G4" i="675"/>
  <c r="G7" i="675"/>
  <c r="H6" i="675"/>
  <c r="H8" i="675"/>
  <c r="H11" i="675"/>
  <c r="H10" i="675"/>
  <c r="H7" i="675"/>
  <c r="I7" i="675"/>
  <c r="I11" i="675"/>
  <c r="H4" i="675"/>
  <c r="H5" i="675"/>
  <c r="I6" i="675"/>
  <c r="I10" i="675"/>
  <c r="I8" i="675"/>
  <c r="I4" i="675"/>
  <c r="I5" i="675"/>
  <c r="J5" i="675"/>
  <c r="J6" i="675"/>
  <c r="J7" i="675"/>
  <c r="J8" i="675"/>
  <c r="J9" i="675"/>
  <c r="J10" i="675"/>
  <c r="S11" i="675" l="1"/>
  <c r="T11" i="675"/>
  <c r="S8" i="675"/>
  <c r="R5" i="675"/>
  <c r="R4" i="675"/>
  <c r="T9" i="675"/>
  <c r="S6" i="675"/>
  <c r="R7" i="675"/>
  <c r="S4" i="675"/>
  <c r="T5" i="675"/>
  <c r="Q4" i="675"/>
  <c r="Q7" i="675"/>
  <c r="Q9" i="675"/>
  <c r="R11" i="675"/>
  <c r="Q8" i="675"/>
  <c r="Q11" i="675"/>
  <c r="T4" i="675"/>
  <c r="S7" i="675"/>
  <c r="Q5" i="675"/>
  <c r="S9" i="675"/>
  <c r="T10" i="675"/>
  <c r="S10" i="675"/>
  <c r="R6" i="675"/>
  <c r="T8" i="675"/>
  <c r="S5" i="675"/>
  <c r="R9" i="675"/>
  <c r="T6" i="675"/>
  <c r="Q6" i="675"/>
  <c r="R8" i="675"/>
  <c r="T7" i="675"/>
  <c r="Q10" i="675"/>
  <c r="R10" i="675"/>
  <c r="T12" i="675" l="1"/>
  <c r="Q13" i="675"/>
  <c r="S13" i="675"/>
  <c r="Q12" i="675"/>
  <c r="U14" i="675"/>
  <c r="R13" i="675"/>
  <c r="T13" i="675"/>
  <c r="S12" i="675"/>
  <c r="R12" i="675"/>
  <c r="U13" i="675"/>
  <c r="U12" i="675" l="1"/>
  <c r="T15" i="675"/>
  <c r="S15" i="675"/>
  <c r="Q15" i="675"/>
  <c r="R15" i="675"/>
  <c r="U15" i="675" l="1"/>
  <c r="M13" i="675" s="1"/>
  <c r="M15" i="675" s="1"/>
  <c r="AA6" i="633" l="1"/>
  <c r="AA7" i="633" s="1"/>
  <c r="Z28" i="633"/>
  <c r="AB6" i="633" s="1"/>
  <c r="Y7" i="633"/>
  <c r="Y8" i="633" s="1"/>
  <c r="Y9" i="633" s="1"/>
  <c r="Y10" i="633" s="1"/>
  <c r="Y11" i="633" s="1"/>
  <c r="Y12" i="633" s="1"/>
  <c r="Y13" i="633" s="1"/>
  <c r="Y14" i="633" s="1"/>
  <c r="Y15" i="633" s="1"/>
  <c r="Y16" i="633" s="1"/>
  <c r="Y17" i="633" s="1"/>
  <c r="Y18" i="633" s="1"/>
  <c r="Y19" i="633" s="1"/>
  <c r="Y20" i="633" s="1"/>
  <c r="Y21" i="633" s="1"/>
  <c r="Y22" i="633" s="1"/>
  <c r="Y23" i="633" s="1"/>
  <c r="Y24" i="633" s="1"/>
  <c r="Y25" i="633" s="1"/>
  <c r="Y26" i="633" s="1"/>
  <c r="AB18" i="633" l="1"/>
  <c r="AB12" i="633"/>
  <c r="AB26" i="633"/>
  <c r="AB10" i="633"/>
  <c r="AB20" i="633"/>
  <c r="AB24" i="633"/>
  <c r="AB16" i="633"/>
  <c r="AB8" i="633"/>
  <c r="AB22" i="633"/>
  <c r="AB14" i="633"/>
  <c r="AC7" i="633"/>
  <c r="AA8" i="633"/>
  <c r="AB27" i="633"/>
  <c r="AB25" i="633"/>
  <c r="AB23" i="633"/>
  <c r="AB21" i="633"/>
  <c r="AB19" i="633"/>
  <c r="AB17" i="633"/>
  <c r="AB15" i="633"/>
  <c r="AB13" i="633"/>
  <c r="AB11" i="633"/>
  <c r="AB9" i="633"/>
  <c r="AB7" i="633"/>
  <c r="AC6" i="633"/>
  <c r="AA9" i="633" l="1"/>
  <c r="AC8" i="633"/>
  <c r="AA10" i="633" l="1"/>
  <c r="AC9" i="633"/>
  <c r="AA11" i="633" l="1"/>
  <c r="AC10" i="633"/>
  <c r="AA12" i="633" l="1"/>
  <c r="AC11" i="633"/>
  <c r="U6" i="633"/>
  <c r="T88" i="633"/>
  <c r="V9" i="633" s="1"/>
  <c r="S7" i="633"/>
  <c r="S8" i="633" s="1"/>
  <c r="S9" i="633" s="1"/>
  <c r="S10" i="633" s="1"/>
  <c r="S11" i="633" s="1"/>
  <c r="S12" i="633" s="1"/>
  <c r="S13" i="633" s="1"/>
  <c r="S14" i="633" s="1"/>
  <c r="S15" i="633" s="1"/>
  <c r="S16" i="633" s="1"/>
  <c r="S17" i="633" s="1"/>
  <c r="S18" i="633" s="1"/>
  <c r="S19" i="633" s="1"/>
  <c r="S20" i="633" s="1"/>
  <c r="S21" i="633" s="1"/>
  <c r="S22" i="633" s="1"/>
  <c r="S23" i="633" s="1"/>
  <c r="S24" i="633" s="1"/>
  <c r="S25" i="633" s="1"/>
  <c r="S26" i="633" s="1"/>
  <c r="S27" i="633" s="1"/>
  <c r="S28" i="633" s="1"/>
  <c r="S29" i="633" s="1"/>
  <c r="S30" i="633" s="1"/>
  <c r="S31" i="633" s="1"/>
  <c r="S32" i="633" s="1"/>
  <c r="S33" i="633" s="1"/>
  <c r="S34" i="633" s="1"/>
  <c r="S35" i="633" s="1"/>
  <c r="S36" i="633" s="1"/>
  <c r="S37" i="633" s="1"/>
  <c r="S38" i="633" s="1"/>
  <c r="S39" i="633" s="1"/>
  <c r="S40" i="633" s="1"/>
  <c r="S41" i="633" s="1"/>
  <c r="S42" i="633" s="1"/>
  <c r="S43" i="633" s="1"/>
  <c r="S44" i="633" s="1"/>
  <c r="S45" i="633" s="1"/>
  <c r="S46" i="633" s="1"/>
  <c r="S47" i="633" s="1"/>
  <c r="S48" i="633" s="1"/>
  <c r="S49" i="633" s="1"/>
  <c r="S50" i="633" s="1"/>
  <c r="S51" i="633" s="1"/>
  <c r="S52" i="633" s="1"/>
  <c r="S53" i="633" s="1"/>
  <c r="S54" i="633" s="1"/>
  <c r="S55" i="633" s="1"/>
  <c r="S56" i="633" s="1"/>
  <c r="S57" i="633" s="1"/>
  <c r="S58" i="633" s="1"/>
  <c r="S59" i="633" s="1"/>
  <c r="S60" i="633" s="1"/>
  <c r="S61" i="633" s="1"/>
  <c r="S62" i="633" s="1"/>
  <c r="S63" i="633" s="1"/>
  <c r="S64" i="633" s="1"/>
  <c r="S65" i="633" s="1"/>
  <c r="S66" i="633" s="1"/>
  <c r="S67" i="633" s="1"/>
  <c r="S68" i="633" s="1"/>
  <c r="S69" i="633" s="1"/>
  <c r="S70" i="633" s="1"/>
  <c r="S71" i="633" s="1"/>
  <c r="S72" i="633" s="1"/>
  <c r="S73" i="633" s="1"/>
  <c r="S74" i="633" s="1"/>
  <c r="S75" i="633" s="1"/>
  <c r="S76" i="633" s="1"/>
  <c r="S77" i="633" s="1"/>
  <c r="S78" i="633" s="1"/>
  <c r="S79" i="633" s="1"/>
  <c r="S80" i="633" s="1"/>
  <c r="S81" i="633" s="1"/>
  <c r="S82" i="633" s="1"/>
  <c r="S83" i="633" s="1"/>
  <c r="S84" i="633" s="1"/>
  <c r="S85" i="633" s="1"/>
  <c r="S86" i="633" s="1"/>
  <c r="G6" i="633"/>
  <c r="F38" i="633"/>
  <c r="H7" i="633" s="1"/>
  <c r="E7" i="633"/>
  <c r="E8" i="633" s="1"/>
  <c r="E9" i="633" s="1"/>
  <c r="E10" i="633" s="1"/>
  <c r="E11" i="633" s="1"/>
  <c r="E12" i="633" s="1"/>
  <c r="E13" i="633" s="1"/>
  <c r="E14" i="633" s="1"/>
  <c r="E15" i="633" s="1"/>
  <c r="E16" i="633" s="1"/>
  <c r="E17" i="633" s="1"/>
  <c r="E18" i="633" s="1"/>
  <c r="E19" i="633" s="1"/>
  <c r="E20" i="633" s="1"/>
  <c r="E21" i="633" s="1"/>
  <c r="E22" i="633" s="1"/>
  <c r="E23" i="633" s="1"/>
  <c r="E24" i="633" s="1"/>
  <c r="E25" i="633" s="1"/>
  <c r="E26" i="633" s="1"/>
  <c r="E27" i="633" s="1"/>
  <c r="E28" i="633" s="1"/>
  <c r="E29" i="633" s="1"/>
  <c r="E30" i="633" s="1"/>
  <c r="E31" i="633" s="1"/>
  <c r="E32" i="633" s="1"/>
  <c r="E33" i="633" s="1"/>
  <c r="E34" i="633" s="1"/>
  <c r="E35" i="633" s="1"/>
  <c r="E36" i="633" s="1"/>
  <c r="AA13" i="633" l="1"/>
  <c r="AC12" i="633"/>
  <c r="H26" i="633"/>
  <c r="H10" i="633"/>
  <c r="I6" i="633"/>
  <c r="H24" i="633"/>
  <c r="H8" i="633"/>
  <c r="H34" i="633"/>
  <c r="H18" i="633"/>
  <c r="H32" i="633"/>
  <c r="H16" i="633"/>
  <c r="G7" i="633"/>
  <c r="G8" i="633" s="1"/>
  <c r="I8" i="633" s="1"/>
  <c r="H36" i="633"/>
  <c r="H28" i="633"/>
  <c r="H20" i="633"/>
  <c r="H12" i="633"/>
  <c r="V81" i="633"/>
  <c r="V69" i="633"/>
  <c r="V53" i="633"/>
  <c r="V37" i="633"/>
  <c r="V21" i="633"/>
  <c r="V87" i="633"/>
  <c r="V79" i="633"/>
  <c r="V65" i="633"/>
  <c r="V49" i="633"/>
  <c r="V33" i="633"/>
  <c r="V17" i="633"/>
  <c r="W6" i="633"/>
  <c r="V85" i="633"/>
  <c r="V77" i="633"/>
  <c r="V61" i="633"/>
  <c r="V45" i="633"/>
  <c r="V29" i="633"/>
  <c r="V13" i="633"/>
  <c r="H30" i="633"/>
  <c r="H22" i="633"/>
  <c r="H14" i="633"/>
  <c r="U7" i="633"/>
  <c r="V83" i="633"/>
  <c r="V73" i="633"/>
  <c r="V57" i="633"/>
  <c r="V41" i="633"/>
  <c r="V25" i="633"/>
  <c r="V8" i="633"/>
  <c r="V10" i="633"/>
  <c r="V12" i="633"/>
  <c r="V14" i="633"/>
  <c r="V16" i="633"/>
  <c r="V18" i="633"/>
  <c r="V20" i="633"/>
  <c r="V22" i="633"/>
  <c r="V24" i="633"/>
  <c r="V26" i="633"/>
  <c r="V28" i="633"/>
  <c r="V30" i="633"/>
  <c r="V32" i="633"/>
  <c r="V34" i="633"/>
  <c r="V36" i="633"/>
  <c r="V38" i="633"/>
  <c r="V40" i="633"/>
  <c r="V42" i="633"/>
  <c r="V44" i="633"/>
  <c r="V46" i="633"/>
  <c r="V48" i="633"/>
  <c r="V50" i="633"/>
  <c r="V52" i="633"/>
  <c r="V54" i="633"/>
  <c r="V56" i="633"/>
  <c r="V58" i="633"/>
  <c r="V60" i="633"/>
  <c r="V62" i="633"/>
  <c r="V64" i="633"/>
  <c r="V66" i="633"/>
  <c r="V68" i="633"/>
  <c r="V70" i="633"/>
  <c r="V72" i="633"/>
  <c r="V74" i="633"/>
  <c r="V76" i="633"/>
  <c r="V78" i="633"/>
  <c r="V80" i="633"/>
  <c r="V82" i="633"/>
  <c r="V84" i="633"/>
  <c r="V86" i="633"/>
  <c r="V6" i="633"/>
  <c r="V75" i="633"/>
  <c r="V71" i="633"/>
  <c r="V67" i="633"/>
  <c r="V63" i="633"/>
  <c r="V59" i="633"/>
  <c r="V55" i="633"/>
  <c r="V51" i="633"/>
  <c r="V47" i="633"/>
  <c r="V43" i="633"/>
  <c r="V39" i="633"/>
  <c r="V35" i="633"/>
  <c r="V31" i="633"/>
  <c r="V27" i="633"/>
  <c r="V23" i="633"/>
  <c r="V19" i="633"/>
  <c r="V15" i="633"/>
  <c r="V11" i="633"/>
  <c r="V7" i="633"/>
  <c r="H6" i="633"/>
  <c r="H37" i="633"/>
  <c r="H35" i="633"/>
  <c r="H33" i="633"/>
  <c r="H31" i="633"/>
  <c r="H29" i="633"/>
  <c r="H27" i="633"/>
  <c r="H25" i="633"/>
  <c r="H23" i="633"/>
  <c r="H21" i="633"/>
  <c r="H19" i="633"/>
  <c r="H17" i="633"/>
  <c r="H15" i="633"/>
  <c r="H13" i="633"/>
  <c r="H11" i="633"/>
  <c r="H9" i="633"/>
  <c r="AA14" i="633" l="1"/>
  <c r="AC13" i="633"/>
  <c r="I7" i="633"/>
  <c r="G9" i="633"/>
  <c r="I9" i="633" s="1"/>
  <c r="W7" i="633"/>
  <c r="U8" i="633"/>
  <c r="AA15" i="633" l="1"/>
  <c r="AC14" i="633"/>
  <c r="G10" i="633"/>
  <c r="I10" i="633" s="1"/>
  <c r="U9" i="633"/>
  <c r="W8" i="633"/>
  <c r="G11" i="633" l="1"/>
  <c r="G12" i="633" s="1"/>
  <c r="AA16" i="633"/>
  <c r="AC15" i="633"/>
  <c r="W9" i="633"/>
  <c r="U10" i="633"/>
  <c r="I11" i="633" l="1"/>
  <c r="AA17" i="633"/>
  <c r="AC16" i="633"/>
  <c r="U11" i="633"/>
  <c r="W10" i="633"/>
  <c r="G13" i="633"/>
  <c r="I12" i="633"/>
  <c r="AA18" i="633" l="1"/>
  <c r="AC17" i="633"/>
  <c r="U12" i="633"/>
  <c r="W11" i="633"/>
  <c r="G14" i="633"/>
  <c r="I13" i="633"/>
  <c r="AA19" i="633" l="1"/>
  <c r="AC18" i="633"/>
  <c r="W12" i="633"/>
  <c r="U13" i="633"/>
  <c r="G15" i="633"/>
  <c r="I14" i="633"/>
  <c r="AA20" i="633" l="1"/>
  <c r="AC19" i="633"/>
  <c r="W13" i="633"/>
  <c r="U14" i="633"/>
  <c r="G16" i="633"/>
  <c r="I15" i="633"/>
  <c r="AA21" i="633" l="1"/>
  <c r="AC20" i="633"/>
  <c r="W14" i="633"/>
  <c r="U15" i="633"/>
  <c r="G17" i="633"/>
  <c r="I16" i="633"/>
  <c r="AA22" i="633" l="1"/>
  <c r="AC21" i="633"/>
  <c r="U16" i="633"/>
  <c r="W15" i="633"/>
  <c r="G18" i="633"/>
  <c r="I17" i="633"/>
  <c r="AA23" i="633" l="1"/>
  <c r="AC22" i="633"/>
  <c r="W16" i="633"/>
  <c r="U17" i="633"/>
  <c r="G19" i="633"/>
  <c r="I18" i="633"/>
  <c r="AA24" i="633" l="1"/>
  <c r="AC23" i="633"/>
  <c r="W17" i="633"/>
  <c r="U18" i="633"/>
  <c r="G20" i="633"/>
  <c r="I19" i="633"/>
  <c r="AA25" i="633" l="1"/>
  <c r="AC24" i="633"/>
  <c r="W18" i="633"/>
  <c r="U19" i="633"/>
  <c r="G21" i="633"/>
  <c r="I20" i="633"/>
  <c r="AA26" i="633" l="1"/>
  <c r="AC25" i="633"/>
  <c r="U20" i="633"/>
  <c r="W19" i="633"/>
  <c r="G22" i="633"/>
  <c r="I21" i="633"/>
  <c r="AA27" i="633" l="1"/>
  <c r="AC27" i="633" s="1"/>
  <c r="AC26" i="633"/>
  <c r="U21" i="633"/>
  <c r="W20" i="633"/>
  <c r="G23" i="633"/>
  <c r="I22" i="633"/>
  <c r="U22" i="633" l="1"/>
  <c r="W21" i="633"/>
  <c r="G24" i="633"/>
  <c r="I23" i="633"/>
  <c r="U23" i="633" l="1"/>
  <c r="W22" i="633"/>
  <c r="G25" i="633"/>
  <c r="I24" i="633"/>
  <c r="U24" i="633" l="1"/>
  <c r="W23" i="633"/>
  <c r="G26" i="633"/>
  <c r="I25" i="633"/>
  <c r="U25" i="633" l="1"/>
  <c r="W24" i="633"/>
  <c r="G27" i="633"/>
  <c r="I26" i="633"/>
  <c r="U26" i="633" l="1"/>
  <c r="W25" i="633"/>
  <c r="G28" i="633"/>
  <c r="I27" i="633"/>
  <c r="U27" i="633" l="1"/>
  <c r="W26" i="633"/>
  <c r="G29" i="633"/>
  <c r="I28" i="633"/>
  <c r="U28" i="633" l="1"/>
  <c r="W27" i="633"/>
  <c r="G30" i="633"/>
  <c r="I29" i="633"/>
  <c r="W28" i="633" l="1"/>
  <c r="U29" i="633"/>
  <c r="G31" i="633"/>
  <c r="I30" i="633"/>
  <c r="U30" i="633" l="1"/>
  <c r="W29" i="633"/>
  <c r="G32" i="633"/>
  <c r="I31" i="633"/>
  <c r="U31" i="633" l="1"/>
  <c r="W30" i="633"/>
  <c r="G33" i="633"/>
  <c r="I32" i="633"/>
  <c r="U32" i="633" l="1"/>
  <c r="W31" i="633"/>
  <c r="G34" i="633"/>
  <c r="I33" i="633"/>
  <c r="U33" i="633" l="1"/>
  <c r="W32" i="633"/>
  <c r="G35" i="633"/>
  <c r="I34" i="633"/>
  <c r="U34" i="633" l="1"/>
  <c r="W33" i="633"/>
  <c r="G36" i="633"/>
  <c r="I35" i="633"/>
  <c r="U35" i="633" l="1"/>
  <c r="W34" i="633"/>
  <c r="G37" i="633"/>
  <c r="I37" i="633" s="1"/>
  <c r="I36" i="633"/>
  <c r="U36" i="633" l="1"/>
  <c r="W35" i="633"/>
  <c r="W36" i="633" l="1"/>
  <c r="U37" i="633"/>
  <c r="U38" i="633" l="1"/>
  <c r="W37" i="633"/>
  <c r="U39" i="633" l="1"/>
  <c r="W38" i="633"/>
  <c r="U40" i="633" l="1"/>
  <c r="W39" i="633"/>
  <c r="U41" i="633" l="1"/>
  <c r="W40" i="633"/>
  <c r="W41" i="633" l="1"/>
  <c r="U42" i="633"/>
  <c r="W42" i="633" l="1"/>
  <c r="U43" i="633"/>
  <c r="U44" i="633" l="1"/>
  <c r="W43" i="633"/>
  <c r="U45" i="633" l="1"/>
  <c r="W44" i="633"/>
  <c r="W45" i="633" l="1"/>
  <c r="U46" i="633"/>
  <c r="U47" i="633" l="1"/>
  <c r="W46" i="633"/>
  <c r="U48" i="633" l="1"/>
  <c r="W47" i="633"/>
  <c r="W48" i="633" l="1"/>
  <c r="U49" i="633"/>
  <c r="U50" i="633" l="1"/>
  <c r="W49" i="633"/>
  <c r="W50" i="633" l="1"/>
  <c r="U51" i="633"/>
  <c r="U52" i="633" l="1"/>
  <c r="W51" i="633"/>
  <c r="N9" i="576"/>
  <c r="N7" i="576"/>
  <c r="W52" i="633" l="1"/>
  <c r="U53" i="633"/>
  <c r="U54" i="633" l="1"/>
  <c r="W53" i="633"/>
  <c r="W54" i="633" l="1"/>
  <c r="U55" i="633"/>
  <c r="W55" i="633" l="1"/>
  <c r="U56" i="633"/>
  <c r="U57" i="633" l="1"/>
  <c r="W56" i="633"/>
  <c r="U58" i="633" l="1"/>
  <c r="W57" i="633"/>
  <c r="U59" i="633" l="1"/>
  <c r="W58" i="633"/>
  <c r="U60" i="633" l="1"/>
  <c r="W59" i="633"/>
  <c r="U61" i="633" l="1"/>
  <c r="W60" i="633"/>
  <c r="U62" i="633" l="1"/>
  <c r="W61" i="633"/>
  <c r="W62" i="633" l="1"/>
  <c r="U63" i="633"/>
  <c r="W63" i="633" l="1"/>
  <c r="U64" i="633"/>
  <c r="W64" i="633" l="1"/>
  <c r="U65" i="633"/>
  <c r="W65" i="633" l="1"/>
  <c r="U66" i="633"/>
  <c r="U67" i="633" l="1"/>
  <c r="W66" i="633"/>
  <c r="U68" i="633" l="1"/>
  <c r="W67" i="633"/>
  <c r="U69" i="633" l="1"/>
  <c r="W68" i="633"/>
  <c r="U70" i="633" l="1"/>
  <c r="W69" i="633"/>
  <c r="W70" i="633" l="1"/>
  <c r="U71" i="633"/>
  <c r="W71" i="633" l="1"/>
  <c r="U72" i="633"/>
  <c r="W72" i="633" l="1"/>
  <c r="U73" i="633"/>
  <c r="U74" i="633" l="1"/>
  <c r="W73" i="633"/>
  <c r="U75" i="633" l="1"/>
  <c r="W74" i="633"/>
  <c r="U76" i="633" l="1"/>
  <c r="W75" i="633"/>
  <c r="U77" i="633" l="1"/>
  <c r="W76" i="633"/>
  <c r="U78" i="633" l="1"/>
  <c r="W77" i="633"/>
  <c r="U79" i="633" l="1"/>
  <c r="W78" i="633"/>
  <c r="U80" i="633" l="1"/>
  <c r="W79" i="633"/>
  <c r="W80" i="633" l="1"/>
  <c r="U81" i="633"/>
  <c r="W81" i="633" l="1"/>
  <c r="U82" i="633"/>
  <c r="U83" i="633" l="1"/>
  <c r="W82" i="633"/>
  <c r="W83" i="633" l="1"/>
  <c r="U84" i="633"/>
  <c r="U85" i="633" l="1"/>
  <c r="W84" i="633"/>
  <c r="W85" i="633" l="1"/>
  <c r="U86" i="633"/>
  <c r="U87" i="633" l="1"/>
  <c r="W87" i="633" s="1"/>
  <c r="W86" i="633"/>
  <c r="N10" i="576" l="1"/>
  <c r="N11" i="576" s="1"/>
  <c r="I13" i="586"/>
  <c r="U12" i="211" l="1"/>
  <c r="X11" i="584"/>
  <c r="O19" i="584"/>
  <c r="N19" i="584"/>
  <c r="R13" i="584"/>
  <c r="Q13" i="584"/>
  <c r="P13" i="584"/>
  <c r="O13" i="584"/>
  <c r="N13" i="584"/>
  <c r="M13" i="584"/>
  <c r="R12" i="584"/>
  <c r="Q12" i="584"/>
  <c r="P12" i="584"/>
  <c r="O12" i="584"/>
  <c r="N12" i="584"/>
  <c r="M12" i="584"/>
  <c r="R11" i="584"/>
  <c r="Q11" i="584"/>
  <c r="P11" i="584"/>
  <c r="O11" i="584"/>
  <c r="N11" i="584"/>
  <c r="M11" i="584"/>
  <c r="O17" i="584" l="1"/>
  <c r="O18" i="584" s="1"/>
  <c r="N18" i="584"/>
  <c r="N17" i="584" s="1"/>
  <c r="P19" i="584"/>
  <c r="P17" i="584" l="1"/>
  <c r="P18" i="584"/>
  <c r="U17" i="584" s="1"/>
  <c r="S12" i="584" l="1"/>
  <c r="T12" i="584" s="1"/>
  <c r="T17" i="584"/>
  <c r="S13" i="584"/>
  <c r="U13" i="584" s="1"/>
  <c r="S11" i="584"/>
  <c r="U11" i="584" s="1"/>
  <c r="Q17" i="584"/>
  <c r="R17" i="584" s="1"/>
  <c r="T13" i="584" l="1"/>
  <c r="U12" i="584"/>
  <c r="T11" i="584"/>
  <c r="G33" i="584"/>
  <c r="F33" i="584"/>
  <c r="E33" i="584"/>
  <c r="G32" i="584"/>
  <c r="F32" i="584"/>
  <c r="E32" i="584"/>
  <c r="G31" i="584"/>
  <c r="F31" i="584"/>
  <c r="E31" i="584"/>
  <c r="E39" i="584"/>
  <c r="E41" i="584" s="1"/>
  <c r="J20" i="585"/>
  <c r="J22" i="585" s="1"/>
  <c r="F30" i="585"/>
  <c r="G30" i="585"/>
  <c r="F31" i="585"/>
  <c r="G31" i="585"/>
  <c r="F32" i="585"/>
  <c r="G32" i="585"/>
  <c r="E32" i="585"/>
  <c r="E31" i="585"/>
  <c r="E30" i="585"/>
  <c r="G15" i="585"/>
  <c r="F15" i="585"/>
  <c r="J9" i="585"/>
  <c r="I9" i="585"/>
  <c r="H9" i="585"/>
  <c r="G9" i="585"/>
  <c r="F9" i="585"/>
  <c r="E9" i="585"/>
  <c r="J8" i="585"/>
  <c r="I8" i="585"/>
  <c r="H8" i="585"/>
  <c r="G8" i="585"/>
  <c r="F8" i="585"/>
  <c r="E8" i="585"/>
  <c r="J7" i="585"/>
  <c r="I7" i="585"/>
  <c r="H7" i="585"/>
  <c r="G7" i="585"/>
  <c r="F7" i="585"/>
  <c r="E7" i="585"/>
  <c r="D15" i="584"/>
  <c r="C15" i="584"/>
  <c r="B15" i="584"/>
  <c r="D14" i="584"/>
  <c r="C14" i="584"/>
  <c r="B14" i="584"/>
  <c r="G33" i="585" l="1"/>
  <c r="G34" i="585" s="1"/>
  <c r="G13" i="585"/>
  <c r="G14" i="585" s="1"/>
  <c r="E33" i="585"/>
  <c r="F33" i="585"/>
  <c r="F34" i="585" s="1"/>
  <c r="F14" i="585"/>
  <c r="F13" i="585" s="1"/>
  <c r="H15" i="585"/>
  <c r="F34" i="584"/>
  <c r="F35" i="584" s="1"/>
  <c r="G34" i="584"/>
  <c r="G35" i="584" s="1"/>
  <c r="E34" i="584"/>
  <c r="H13" i="585" l="1"/>
  <c r="H33" i="585"/>
  <c r="E36" i="585" s="1"/>
  <c r="E34" i="585"/>
  <c r="H34" i="584"/>
  <c r="F37" i="584" s="1"/>
  <c r="E35" i="584"/>
  <c r="H14" i="585"/>
  <c r="H34" i="585" l="1"/>
  <c r="E35" i="585" s="1"/>
  <c r="F36" i="585"/>
  <c r="G36" i="585"/>
  <c r="H35" i="584"/>
  <c r="F36" i="584" s="1"/>
  <c r="G37" i="584"/>
  <c r="E37" i="584"/>
  <c r="K7" i="585"/>
  <c r="K8" i="585"/>
  <c r="L13" i="585"/>
  <c r="K9" i="585"/>
  <c r="I13" i="585"/>
  <c r="J13" i="585" s="1"/>
  <c r="M13" i="585"/>
  <c r="G35" i="585" l="1"/>
  <c r="F35" i="585"/>
  <c r="H36" i="585"/>
  <c r="J23" i="585" s="1"/>
  <c r="G36" i="584"/>
  <c r="E36" i="584"/>
  <c r="H37" i="584"/>
  <c r="E42" i="584" s="1"/>
  <c r="L9" i="585"/>
  <c r="M9" i="585"/>
  <c r="M8" i="585"/>
  <c r="L8" i="585"/>
  <c r="M7" i="585"/>
  <c r="L7" i="585"/>
  <c r="H35" i="585" l="1"/>
  <c r="J21" i="585" s="1"/>
  <c r="J24" i="585" s="1"/>
  <c r="H36" i="584"/>
  <c r="E40" i="584" s="1"/>
  <c r="F3" i="576" l="1"/>
  <c r="G6" i="576" s="1"/>
  <c r="G7" i="576" s="1"/>
  <c r="F6" i="576" l="1"/>
  <c r="F7" i="576" s="1"/>
  <c r="H6" i="576"/>
  <c r="H7" i="576" s="1"/>
  <c r="V6" i="550" l="1"/>
  <c r="V5" i="550"/>
  <c r="V13" i="550"/>
  <c r="Q15" i="550"/>
  <c r="H16" i="550"/>
  <c r="G16" i="550"/>
  <c r="K10" i="550"/>
  <c r="J10" i="550"/>
  <c r="I10" i="550"/>
  <c r="H10" i="550"/>
  <c r="G10" i="550"/>
  <c r="F10" i="550"/>
  <c r="K9" i="550"/>
  <c r="J9" i="550"/>
  <c r="I9" i="550"/>
  <c r="H9" i="550"/>
  <c r="G9" i="550"/>
  <c r="F9" i="550"/>
  <c r="K8" i="550"/>
  <c r="J8" i="550"/>
  <c r="I8" i="550"/>
  <c r="H8" i="550"/>
  <c r="G8" i="550"/>
  <c r="F8" i="550"/>
  <c r="K7" i="550"/>
  <c r="J7" i="550"/>
  <c r="I7" i="550"/>
  <c r="H7" i="550"/>
  <c r="G7" i="550"/>
  <c r="F7" i="550"/>
  <c r="I16" i="550" l="1"/>
  <c r="H14" i="550"/>
  <c r="G15" i="550"/>
  <c r="G14" i="550" s="1"/>
  <c r="AA8" i="550" s="1"/>
  <c r="V14" i="550"/>
  <c r="Q5" i="550" l="1"/>
  <c r="Q10" i="550" s="1"/>
  <c r="AA6" i="550"/>
  <c r="H15" i="550"/>
  <c r="I14" i="550"/>
  <c r="Q7" i="550"/>
  <c r="V11" i="550"/>
  <c r="V10" i="550"/>
  <c r="Q6" i="550" l="1"/>
  <c r="Q9" i="550" s="1"/>
  <c r="AA7" i="550"/>
  <c r="AA11" i="550" s="1"/>
  <c r="AA10" i="550"/>
  <c r="I15" i="550"/>
  <c r="AA9" i="550" s="1"/>
  <c r="V16" i="550"/>
  <c r="Q16" i="550" l="1"/>
  <c r="AA16" i="550"/>
  <c r="Q8" i="550"/>
  <c r="Q11" i="550" s="1"/>
  <c r="L8" i="550"/>
  <c r="M14" i="550"/>
  <c r="N14" i="550"/>
  <c r="L10" i="550"/>
  <c r="L7" i="550"/>
  <c r="L9" i="550"/>
  <c r="J14" i="550"/>
  <c r="AA13" i="550" l="1"/>
  <c r="AA19" i="550"/>
  <c r="K14" i="550"/>
  <c r="AA5" i="550"/>
  <c r="N7" i="550"/>
  <c r="M7" i="550"/>
  <c r="M9" i="550"/>
  <c r="N9" i="550"/>
  <c r="M8" i="550"/>
  <c r="N8" i="550"/>
  <c r="M10" i="550"/>
  <c r="N10" i="550"/>
  <c r="Q12" i="550"/>
  <c r="Q13" i="550"/>
  <c r="AA17" i="550" l="1"/>
  <c r="AA18" i="550"/>
  <c r="Q18" i="550"/>
  <c r="AA21" i="550" l="1"/>
  <c r="AA20" i="550"/>
  <c r="AA24" i="215" l="1"/>
  <c r="AF11" i="215" s="1"/>
  <c r="X24" i="215"/>
  <c r="Y24" i="215"/>
  <c r="Z24" i="215"/>
  <c r="W24" i="215"/>
  <c r="AA23" i="215"/>
  <c r="X23" i="215"/>
  <c r="Y23" i="215"/>
  <c r="Z23" i="215"/>
  <c r="W23" i="215"/>
  <c r="V23" i="215"/>
  <c r="AA22" i="215"/>
  <c r="X22" i="215"/>
  <c r="Y22" i="215"/>
  <c r="Z22" i="215"/>
  <c r="W22" i="215"/>
  <c r="V22" i="215"/>
  <c r="AA21" i="215"/>
  <c r="X21" i="215"/>
  <c r="Y21" i="215"/>
  <c r="Z21" i="215"/>
  <c r="W21" i="215"/>
  <c r="V21" i="215"/>
  <c r="X20" i="215"/>
  <c r="Y20" i="215"/>
  <c r="Z20" i="215"/>
  <c r="W20" i="215"/>
  <c r="AA17" i="215"/>
  <c r="X17" i="215"/>
  <c r="Y17" i="215"/>
  <c r="Z17" i="215"/>
  <c r="W17" i="215"/>
  <c r="AA16" i="215"/>
  <c r="X16" i="215"/>
  <c r="Y16" i="215"/>
  <c r="Z16" i="215"/>
  <c r="W16" i="215"/>
  <c r="V16" i="215"/>
  <c r="AA15" i="215"/>
  <c r="X15" i="215"/>
  <c r="Y15" i="215"/>
  <c r="Z15" i="215"/>
  <c r="W15" i="215"/>
  <c r="V15" i="215"/>
  <c r="AA14" i="215"/>
  <c r="X14" i="215"/>
  <c r="Y14" i="215"/>
  <c r="Z14" i="215"/>
  <c r="W14" i="215"/>
  <c r="V14" i="215"/>
  <c r="X13" i="215"/>
  <c r="Y13" i="215"/>
  <c r="Z13" i="215"/>
  <c r="W13" i="215"/>
  <c r="AA10" i="215"/>
  <c r="AE11" i="215" s="1"/>
  <c r="X10" i="215"/>
  <c r="Y10" i="215"/>
  <c r="Z10" i="215"/>
  <c r="W10" i="215"/>
  <c r="AA9" i="215"/>
  <c r="X9" i="215"/>
  <c r="Y9" i="215"/>
  <c r="Z9" i="215"/>
  <c r="W9" i="215"/>
  <c r="V9" i="215"/>
  <c r="AA8" i="215"/>
  <c r="X8" i="215"/>
  <c r="Y8" i="215"/>
  <c r="Z8" i="215"/>
  <c r="W8" i="215"/>
  <c r="V8" i="215"/>
  <c r="AA7" i="215"/>
  <c r="X7" i="215"/>
  <c r="Y7" i="215"/>
  <c r="Z7" i="215"/>
  <c r="W7" i="215"/>
  <c r="V7" i="215"/>
  <c r="X6" i="215"/>
  <c r="Y6" i="215"/>
  <c r="Z6" i="215"/>
  <c r="W6" i="215"/>
  <c r="AE7" i="215" l="1"/>
  <c r="AE8" i="215"/>
  <c r="AD8" i="215"/>
  <c r="AD7" i="215"/>
  <c r="AD11" i="215"/>
  <c r="AE9" i="215" l="1"/>
  <c r="AF7" i="215"/>
  <c r="AF8" i="215"/>
  <c r="AD9" i="215"/>
  <c r="AF9" i="215" l="1"/>
  <c r="AG8" i="215" s="1"/>
  <c r="AH8" i="215" s="1"/>
  <c r="AG7" i="215" l="1"/>
  <c r="AH7" i="215" s="1"/>
  <c r="Z31" i="459" l="1"/>
  <c r="AC13" i="459" s="1"/>
  <c r="Z31" i="458"/>
  <c r="AC13" i="458" s="1"/>
  <c r="W19" i="459" l="1"/>
  <c r="W12" i="459"/>
  <c r="W10" i="459"/>
  <c r="W18" i="459"/>
  <c r="V16" i="459"/>
  <c r="V27" i="459"/>
  <c r="V28" i="459"/>
  <c r="V29" i="459"/>
  <c r="V26" i="459"/>
  <c r="V12" i="459"/>
  <c r="V17" i="459"/>
  <c r="V13" i="459"/>
  <c r="X21" i="459"/>
  <c r="X25" i="459" s="1"/>
  <c r="X29" i="459" s="1"/>
  <c r="X19" i="459"/>
  <c r="X23" i="459" s="1"/>
  <c r="X27" i="459" s="1"/>
  <c r="X17" i="459"/>
  <c r="X15" i="459"/>
  <c r="V22" i="459"/>
  <c r="V10" i="459"/>
  <c r="V23" i="459"/>
  <c r="V15" i="459"/>
  <c r="V11" i="459"/>
  <c r="V24" i="459"/>
  <c r="V25" i="459"/>
  <c r="V14" i="459"/>
  <c r="X20" i="459"/>
  <c r="X24" i="459" s="1"/>
  <c r="X28" i="459" s="1"/>
  <c r="X18" i="459"/>
  <c r="X22" i="459" s="1"/>
  <c r="X26" i="459" s="1"/>
  <c r="X16" i="459"/>
  <c r="X14" i="459"/>
  <c r="W13" i="459"/>
  <c r="W11" i="459"/>
  <c r="W20" i="459"/>
  <c r="W21" i="459"/>
  <c r="W13" i="458"/>
  <c r="W20" i="458"/>
  <c r="W21" i="458"/>
  <c r="W11" i="458"/>
  <c r="W12" i="458"/>
  <c r="W10" i="458"/>
  <c r="W18" i="458"/>
  <c r="W19" i="458"/>
  <c r="X21" i="458"/>
  <c r="X25" i="458" s="1"/>
  <c r="X29" i="458" s="1"/>
  <c r="X17" i="458"/>
  <c r="X19" i="458"/>
  <c r="X23" i="458" s="1"/>
  <c r="X27" i="458" s="1"/>
  <c r="X15" i="458"/>
  <c r="V25" i="458"/>
  <c r="V22" i="458"/>
  <c r="V14" i="458"/>
  <c r="V10" i="458"/>
  <c r="V23" i="458"/>
  <c r="V15" i="458"/>
  <c r="V11" i="458"/>
  <c r="V24" i="458"/>
  <c r="X20" i="458"/>
  <c r="X24" i="458" s="1"/>
  <c r="X28" i="458" s="1"/>
  <c r="X18" i="458"/>
  <c r="X22" i="458" s="1"/>
  <c r="X26" i="458" s="1"/>
  <c r="X16" i="458"/>
  <c r="X14" i="458"/>
  <c r="V29" i="458"/>
  <c r="V28" i="458"/>
  <c r="V26" i="458"/>
  <c r="V16" i="458"/>
  <c r="V12" i="458"/>
  <c r="V27" i="458"/>
  <c r="V17" i="458"/>
  <c r="V13" i="458"/>
  <c r="W23" i="459" l="1"/>
  <c r="W27" i="459" s="1"/>
  <c r="Y27" i="459" s="1"/>
  <c r="W24" i="459"/>
  <c r="W28" i="459" s="1"/>
  <c r="Y28" i="459" s="1"/>
  <c r="Z28" i="459" s="1"/>
  <c r="W22" i="459"/>
  <c r="W25" i="459"/>
  <c r="W29" i="459" s="1"/>
  <c r="Y29" i="459" s="1"/>
  <c r="Z29" i="459" s="1"/>
  <c r="W22" i="458"/>
  <c r="W24" i="458"/>
  <c r="W28" i="458" s="1"/>
  <c r="Y28" i="458" s="1"/>
  <c r="Z28" i="458" s="1"/>
  <c r="W23" i="458"/>
  <c r="W27" i="458" s="1"/>
  <c r="Y27" i="458" s="1"/>
  <c r="Z27" i="458" s="1"/>
  <c r="W25" i="458"/>
  <c r="W29" i="458" s="1"/>
  <c r="Y29" i="458" s="1"/>
  <c r="Z29" i="458" s="1"/>
  <c r="Y24" i="458" l="1"/>
  <c r="Z24" i="458" s="1"/>
  <c r="Y23" i="459"/>
  <c r="Z23" i="459" s="1"/>
  <c r="Z27" i="459"/>
  <c r="Y25" i="459"/>
  <c r="Z25" i="459" s="1"/>
  <c r="W26" i="459"/>
  <c r="Y24" i="459"/>
  <c r="Z24" i="459" s="1"/>
  <c r="Y22" i="459"/>
  <c r="W26" i="458"/>
  <c r="Y22" i="458"/>
  <c r="Y23" i="458"/>
  <c r="Y25" i="458"/>
  <c r="Z22" i="459" l="1"/>
  <c r="Y26" i="459"/>
  <c r="Y17" i="459" s="1"/>
  <c r="Y26" i="458"/>
  <c r="Y8" i="458" s="1"/>
  <c r="Z22" i="458"/>
  <c r="Z25" i="458"/>
  <c r="Z23" i="458"/>
  <c r="Y19" i="458" l="1"/>
  <c r="Z19" i="458" s="1"/>
  <c r="Y4" i="458"/>
  <c r="Z4" i="458" s="1"/>
  <c r="Y20" i="459"/>
  <c r="Z20" i="459" s="1"/>
  <c r="Y13" i="459"/>
  <c r="Z13" i="459" s="1"/>
  <c r="Y11" i="458"/>
  <c r="Z11" i="458" s="1"/>
  <c r="Y13" i="458"/>
  <c r="Z13" i="458" s="1"/>
  <c r="Z17" i="459"/>
  <c r="Y14" i="459"/>
  <c r="Z14" i="459" s="1"/>
  <c r="Y15" i="459"/>
  <c r="Z15" i="459" s="1"/>
  <c r="Y15" i="458"/>
  <c r="Z15" i="458" s="1"/>
  <c r="Y7" i="458"/>
  <c r="Z7" i="458" s="1"/>
  <c r="Y10" i="459"/>
  <c r="Z10" i="459" s="1"/>
  <c r="Y21" i="459"/>
  <c r="Z21" i="459" s="1"/>
  <c r="Y19" i="459"/>
  <c r="Z19" i="459" s="1"/>
  <c r="Y17" i="458"/>
  <c r="Z17" i="458" s="1"/>
  <c r="Y9" i="458"/>
  <c r="Z9" i="458" s="1"/>
  <c r="Y14" i="458"/>
  <c r="Z14" i="458" s="1"/>
  <c r="Y4" i="459"/>
  <c r="Z4" i="459" s="1"/>
  <c r="Y20" i="458"/>
  <c r="Z20" i="458" s="1"/>
  <c r="Y21" i="458"/>
  <c r="Z21" i="458" s="1"/>
  <c r="Y9" i="459"/>
  <c r="Z9" i="459" s="1"/>
  <c r="Y11" i="459"/>
  <c r="Z11" i="459" s="1"/>
  <c r="Y7" i="459"/>
  <c r="Z7" i="459" s="1"/>
  <c r="Y10" i="458"/>
  <c r="Z10" i="458" s="1"/>
  <c r="Y18" i="458"/>
  <c r="Y12" i="458"/>
  <c r="Y30" i="458"/>
  <c r="AD13" i="458" s="1"/>
  <c r="AE13" i="458" s="1"/>
  <c r="Y6" i="458"/>
  <c r="Z26" i="459"/>
  <c r="Z30" i="459" s="1"/>
  <c r="Y5" i="459"/>
  <c r="Y16" i="459"/>
  <c r="Y8" i="459"/>
  <c r="Y12" i="459"/>
  <c r="Y6" i="459"/>
  <c r="Y18" i="459"/>
  <c r="Y30" i="459"/>
  <c r="Z26" i="458"/>
  <c r="Z8" i="458" s="1"/>
  <c r="Y16" i="458"/>
  <c r="Y5" i="458"/>
  <c r="I10" i="451"/>
  <c r="I11" i="451"/>
  <c r="I12" i="451"/>
  <c r="I9" i="451"/>
  <c r="I19" i="450"/>
  <c r="N9" i="450" s="1"/>
  <c r="Y20" i="449"/>
  <c r="Y21" i="449"/>
  <c r="Y22" i="449"/>
  <c r="Y23" i="449"/>
  <c r="Y19" i="449"/>
  <c r="X20" i="449"/>
  <c r="X21" i="449"/>
  <c r="X22" i="449"/>
  <c r="X23" i="449"/>
  <c r="X19" i="449"/>
  <c r="W20" i="449"/>
  <c r="W21" i="449"/>
  <c r="W22" i="449"/>
  <c r="W23" i="449"/>
  <c r="W19" i="449"/>
  <c r="Y15" i="449"/>
  <c r="Y16" i="449"/>
  <c r="Y17" i="449"/>
  <c r="Y18" i="449"/>
  <c r="Y14" i="449"/>
  <c r="X15" i="449"/>
  <c r="X16" i="449"/>
  <c r="X17" i="449"/>
  <c r="X18" i="449"/>
  <c r="X14" i="449"/>
  <c r="W15" i="449"/>
  <c r="W16" i="449"/>
  <c r="W17" i="449"/>
  <c r="W18" i="449"/>
  <c r="W14" i="449"/>
  <c r="Y10" i="449"/>
  <c r="Y11" i="449"/>
  <c r="Y12" i="449"/>
  <c r="Y13" i="449"/>
  <c r="Y9" i="449"/>
  <c r="X10" i="449"/>
  <c r="X11" i="449"/>
  <c r="X12" i="449"/>
  <c r="X13" i="449"/>
  <c r="X9" i="449"/>
  <c r="W10" i="449"/>
  <c r="W11" i="449"/>
  <c r="W12" i="449"/>
  <c r="W13" i="449"/>
  <c r="W9" i="449"/>
  <c r="Y5" i="449"/>
  <c r="Y6" i="449"/>
  <c r="Y7" i="449"/>
  <c r="Y8" i="449"/>
  <c r="Y4" i="449"/>
  <c r="X5" i="449"/>
  <c r="X6" i="449"/>
  <c r="X7" i="449"/>
  <c r="X8" i="449"/>
  <c r="X4" i="449"/>
  <c r="W5" i="449"/>
  <c r="W6" i="449"/>
  <c r="W7" i="449"/>
  <c r="W8" i="449"/>
  <c r="W4" i="449"/>
  <c r="Y3" i="449"/>
  <c r="X3" i="449"/>
  <c r="W3" i="449"/>
  <c r="V19" i="449"/>
  <c r="V14" i="449"/>
  <c r="V9" i="449"/>
  <c r="V4" i="449"/>
  <c r="L22" i="449"/>
  <c r="Q9" i="449" s="1"/>
  <c r="I22" i="449"/>
  <c r="J22" i="449"/>
  <c r="K22" i="449"/>
  <c r="H22" i="449"/>
  <c r="L21" i="449"/>
  <c r="I21" i="449"/>
  <c r="J21" i="449"/>
  <c r="K21" i="449"/>
  <c r="H21" i="449"/>
  <c r="G21" i="449"/>
  <c r="L20" i="449"/>
  <c r="I20" i="449"/>
  <c r="J20" i="449"/>
  <c r="K20" i="449"/>
  <c r="H20" i="449"/>
  <c r="G20" i="449"/>
  <c r="L19" i="449"/>
  <c r="I19" i="449"/>
  <c r="J19" i="449"/>
  <c r="K19" i="449"/>
  <c r="H19" i="449"/>
  <c r="G19" i="449"/>
  <c r="I18" i="449"/>
  <c r="J18" i="449"/>
  <c r="K18" i="449"/>
  <c r="H18" i="449"/>
  <c r="L15" i="449"/>
  <c r="I15" i="449"/>
  <c r="J15" i="449"/>
  <c r="K15" i="449"/>
  <c r="H15" i="449"/>
  <c r="L14" i="449"/>
  <c r="I14" i="449"/>
  <c r="J14" i="449"/>
  <c r="K14" i="449"/>
  <c r="H14" i="449"/>
  <c r="G14" i="449"/>
  <c r="L13" i="449"/>
  <c r="I13" i="449"/>
  <c r="J13" i="449"/>
  <c r="K13" i="449"/>
  <c r="H13" i="449"/>
  <c r="G13" i="449"/>
  <c r="L12" i="449"/>
  <c r="I12" i="449"/>
  <c r="J12" i="449"/>
  <c r="K12" i="449"/>
  <c r="H12" i="449"/>
  <c r="G12" i="449"/>
  <c r="I11" i="449"/>
  <c r="J11" i="449"/>
  <c r="K11" i="449"/>
  <c r="H11" i="449"/>
  <c r="L8" i="449"/>
  <c r="P9" i="449" s="1"/>
  <c r="I8" i="449"/>
  <c r="J8" i="449"/>
  <c r="K8" i="449"/>
  <c r="H8" i="449"/>
  <c r="L7" i="449"/>
  <c r="I7" i="449"/>
  <c r="J7" i="449"/>
  <c r="K7" i="449"/>
  <c r="H7" i="449"/>
  <c r="G7" i="449"/>
  <c r="L6" i="449"/>
  <c r="I6" i="449"/>
  <c r="J6" i="449"/>
  <c r="K6" i="449"/>
  <c r="H6" i="449"/>
  <c r="G6" i="449"/>
  <c r="L5" i="449"/>
  <c r="I5" i="449"/>
  <c r="J5" i="449"/>
  <c r="K5" i="449"/>
  <c r="H5" i="449"/>
  <c r="G5" i="449"/>
  <c r="I4" i="449"/>
  <c r="J4" i="449"/>
  <c r="K4" i="449"/>
  <c r="H4" i="449"/>
  <c r="Z15" i="448"/>
  <c r="Z16" i="448"/>
  <c r="Z17" i="448"/>
  <c r="Z18" i="448"/>
  <c r="Z14" i="448"/>
  <c r="Y15" i="448"/>
  <c r="Y16" i="448"/>
  <c r="Y17" i="448"/>
  <c r="Y18" i="448"/>
  <c r="Y14" i="448"/>
  <c r="Z10" i="448"/>
  <c r="Z11" i="448"/>
  <c r="Z12" i="448"/>
  <c r="Z13" i="448"/>
  <c r="Z9" i="448"/>
  <c r="Y10" i="448"/>
  <c r="Y11" i="448"/>
  <c r="Y12" i="448"/>
  <c r="Y13" i="448"/>
  <c r="Y9" i="448"/>
  <c r="Z5" i="448"/>
  <c r="Z6" i="448"/>
  <c r="Z7" i="448"/>
  <c r="Z8" i="448"/>
  <c r="Z4" i="448"/>
  <c r="Y5" i="448"/>
  <c r="Y6" i="448"/>
  <c r="Y7" i="448"/>
  <c r="Y8" i="448"/>
  <c r="Y4" i="448"/>
  <c r="Z3" i="448"/>
  <c r="Y3" i="448"/>
  <c r="X14" i="448"/>
  <c r="X9" i="448"/>
  <c r="X4" i="448"/>
  <c r="H3" i="449" l="1"/>
  <c r="O5" i="449"/>
  <c r="O6" i="449"/>
  <c r="P5" i="449"/>
  <c r="P6" i="449"/>
  <c r="O8" i="449"/>
  <c r="Z12" i="459"/>
  <c r="Z6" i="458"/>
  <c r="AD6" i="458" s="1"/>
  <c r="AE6" i="458" s="1"/>
  <c r="Z16" i="458"/>
  <c r="Z16" i="459"/>
  <c r="AD13" i="459"/>
  <c r="AE13" i="459" s="1"/>
  <c r="Z5" i="459"/>
  <c r="AD5" i="459" s="1"/>
  <c r="AE5" i="459" s="1"/>
  <c r="Z18" i="459"/>
  <c r="Z6" i="459"/>
  <c r="AD6" i="459" s="1"/>
  <c r="Z8" i="459"/>
  <c r="AD7" i="459" s="1"/>
  <c r="AD7" i="458"/>
  <c r="Z30" i="458"/>
  <c r="Z18" i="458"/>
  <c r="Z5" i="458"/>
  <c r="AD5" i="458" s="1"/>
  <c r="Z12" i="458"/>
  <c r="N9" i="451"/>
  <c r="J9" i="451"/>
  <c r="K18" i="451"/>
  <c r="M9" i="451"/>
  <c r="J18" i="451"/>
  <c r="L9" i="451"/>
  <c r="K9" i="451"/>
  <c r="N11" i="451"/>
  <c r="J11" i="451"/>
  <c r="M11" i="451"/>
  <c r="L11" i="451"/>
  <c r="K11" i="451"/>
  <c r="L10" i="451"/>
  <c r="K10" i="451"/>
  <c r="N10" i="451"/>
  <c r="J10" i="451"/>
  <c r="M10" i="451"/>
  <c r="K16" i="451"/>
  <c r="L12" i="451"/>
  <c r="K12" i="451"/>
  <c r="N12" i="451"/>
  <c r="J12" i="451"/>
  <c r="M12" i="451"/>
  <c r="F19" i="450" a="1"/>
  <c r="F19" i="450" s="1"/>
  <c r="G19" i="450" a="1"/>
  <c r="G19" i="450" s="1"/>
  <c r="H19" i="450" a="1"/>
  <c r="H19" i="450" s="1"/>
  <c r="O9" i="449"/>
  <c r="O7" i="449" l="1"/>
  <c r="P7" i="449"/>
  <c r="P8" i="449" s="1"/>
  <c r="Q8" i="449" s="1"/>
  <c r="Q5" i="449"/>
  <c r="Q6" i="449"/>
  <c r="H6" i="450" a="1"/>
  <c r="H6" i="450" s="1"/>
  <c r="F6" i="450" a="1"/>
  <c r="F6" i="450" s="1"/>
  <c r="G6" i="450" a="1"/>
  <c r="G6" i="450" s="1"/>
  <c r="G5" i="450" a="1"/>
  <c r="G5" i="450" s="1"/>
  <c r="H5" i="450" a="1"/>
  <c r="H5" i="450" s="1"/>
  <c r="F5" i="450" a="1"/>
  <c r="F5" i="450" s="1"/>
  <c r="H12" i="450" a="1"/>
  <c r="H12" i="450" s="1"/>
  <c r="F12" i="450" a="1"/>
  <c r="F12" i="450" s="1"/>
  <c r="G12" i="450" a="1"/>
  <c r="G12" i="450" s="1"/>
  <c r="G11" i="450" a="1"/>
  <c r="G11" i="450" s="1"/>
  <c r="H11" i="450" a="1"/>
  <c r="H11" i="450" s="1"/>
  <c r="F11" i="450" a="1"/>
  <c r="F11" i="450" s="1"/>
  <c r="AD8" i="458"/>
  <c r="AE8" i="458" s="1"/>
  <c r="AD10" i="458"/>
  <c r="AE10" i="458" s="1"/>
  <c r="AD9" i="458"/>
  <c r="AE9" i="458" s="1"/>
  <c r="AD11" i="459"/>
  <c r="AE11" i="459" s="1"/>
  <c r="AD9" i="459"/>
  <c r="AE9" i="459" s="1"/>
  <c r="AD10" i="459"/>
  <c r="AE10" i="459" s="1"/>
  <c r="AE7" i="459"/>
  <c r="AD12" i="459"/>
  <c r="AE12" i="459" s="1"/>
  <c r="AF5" i="459" s="1"/>
  <c r="AG5" i="459" s="1"/>
  <c r="AD8" i="459"/>
  <c r="AE8" i="459" s="1"/>
  <c r="AE6" i="459"/>
  <c r="AE7" i="458"/>
  <c r="AE5" i="458"/>
  <c r="AD12" i="458"/>
  <c r="AE12" i="458" s="1"/>
  <c r="AD11" i="458"/>
  <c r="AE11" i="458" s="1"/>
  <c r="K17" i="451"/>
  <c r="L18" i="451"/>
  <c r="J17" i="451"/>
  <c r="F18" i="450" a="1"/>
  <c r="F18" i="450" s="1"/>
  <c r="I18" i="450" a="1"/>
  <c r="I18" i="450" s="1"/>
  <c r="H18" i="450" a="1"/>
  <c r="H18" i="450" s="1"/>
  <c r="G18" i="450" a="1"/>
  <c r="G18" i="450" s="1"/>
  <c r="I17" i="450" a="1"/>
  <c r="I17" i="450" s="1"/>
  <c r="F17" i="450" a="1"/>
  <c r="F17" i="450" s="1"/>
  <c r="G17" i="450" a="1"/>
  <c r="G17" i="450" s="1"/>
  <c r="H17" i="450" a="1"/>
  <c r="H17" i="450" s="1"/>
  <c r="L19" i="448" a="1"/>
  <c r="L19" i="448" s="1"/>
  <c r="M19" i="448" a="1"/>
  <c r="M19" i="448" s="1"/>
  <c r="K19" i="448" a="1"/>
  <c r="K19" i="448" s="1"/>
  <c r="K18" i="448" a="1"/>
  <c r="K18" i="448" s="1"/>
  <c r="N19" i="448"/>
  <c r="S9" i="448" s="1"/>
  <c r="F3" i="450" l="1"/>
  <c r="R5" i="449"/>
  <c r="S5" i="449" s="1"/>
  <c r="Q7" i="449"/>
  <c r="R7" i="449" s="1"/>
  <c r="S7" i="449" s="1"/>
  <c r="R6" i="449"/>
  <c r="S6" i="449" s="1"/>
  <c r="H13" i="450" a="1"/>
  <c r="H13" i="450" s="1"/>
  <c r="G13" i="450" a="1"/>
  <c r="G13" i="450" s="1"/>
  <c r="I12" i="450" a="1"/>
  <c r="I12" i="450" s="1"/>
  <c r="G7" i="450" a="1"/>
  <c r="G7" i="450" s="1"/>
  <c r="I6" i="450" a="1"/>
  <c r="I6" i="450" s="1"/>
  <c r="L6" i="448" a="1"/>
  <c r="L6" i="448" s="1"/>
  <c r="M6" i="448" a="1"/>
  <c r="M6" i="448" s="1"/>
  <c r="K6" i="448" a="1"/>
  <c r="K6" i="448" s="1"/>
  <c r="I5" i="450" a="1"/>
  <c r="I5" i="450" s="1"/>
  <c r="F7" i="450" a="1"/>
  <c r="F7" i="450" s="1"/>
  <c r="L12" i="448" a="1"/>
  <c r="L12" i="448" s="1"/>
  <c r="M12" i="448" a="1"/>
  <c r="M12" i="448" s="1"/>
  <c r="K12" i="448" a="1"/>
  <c r="K12" i="448" s="1"/>
  <c r="I11" i="450" a="1"/>
  <c r="I11" i="450" s="1"/>
  <c r="F13" i="450" a="1"/>
  <c r="F13" i="450" s="1"/>
  <c r="K5" i="448" a="1"/>
  <c r="K5" i="448" s="1"/>
  <c r="M5" i="448" a="1"/>
  <c r="M5" i="448" s="1"/>
  <c r="L5" i="448" a="1"/>
  <c r="L5" i="448" s="1"/>
  <c r="K11" i="448" a="1"/>
  <c r="K11" i="448" s="1"/>
  <c r="M11" i="448" a="1"/>
  <c r="M11" i="448" s="1"/>
  <c r="L11" i="448" a="1"/>
  <c r="L11" i="448" s="1"/>
  <c r="H7" i="450" a="1"/>
  <c r="H7" i="450" s="1"/>
  <c r="AF9" i="458"/>
  <c r="AG9" i="458" s="1"/>
  <c r="AF6" i="459"/>
  <c r="AG6" i="459" s="1"/>
  <c r="AF10" i="459"/>
  <c r="AG10" i="459" s="1"/>
  <c r="AF8" i="459"/>
  <c r="AG8" i="459" s="1"/>
  <c r="AF9" i="459"/>
  <c r="AG9" i="459" s="1"/>
  <c r="AF11" i="459"/>
  <c r="AG11" i="459" s="1"/>
  <c r="AF7" i="459"/>
  <c r="AG7" i="459" s="1"/>
  <c r="AF8" i="458"/>
  <c r="AG8" i="458" s="1"/>
  <c r="AF10" i="458"/>
  <c r="AG10" i="458" s="1"/>
  <c r="AF5" i="458"/>
  <c r="AG5" i="458" s="1"/>
  <c r="AF6" i="458"/>
  <c r="AG6" i="458" s="1"/>
  <c r="AF7" i="458"/>
  <c r="AG7" i="458" s="1"/>
  <c r="AF11" i="458"/>
  <c r="AG11" i="458" s="1"/>
  <c r="L17" i="451"/>
  <c r="O12" i="451" s="1"/>
  <c r="J16" i="451"/>
  <c r="L17" i="448" a="1"/>
  <c r="L17" i="448" s="1"/>
  <c r="N17" i="448" a="1"/>
  <c r="N17" i="448" s="1"/>
  <c r="N18" i="448" a="1"/>
  <c r="N18" i="448" s="1"/>
  <c r="L8" i="450"/>
  <c r="M18" i="448" a="1"/>
  <c r="M18" i="448" s="1"/>
  <c r="L18" i="448" a="1"/>
  <c r="L18" i="448" s="1"/>
  <c r="K17" i="448" a="1"/>
  <c r="K17" i="448" s="1"/>
  <c r="M17" i="448" a="1"/>
  <c r="M17" i="448" s="1"/>
  <c r="L16" i="451" l="1"/>
  <c r="O16" i="451"/>
  <c r="Q12" i="451"/>
  <c r="P12" i="451"/>
  <c r="K3" i="448"/>
  <c r="L7" i="448" a="1"/>
  <c r="L7" i="448" s="1"/>
  <c r="I13" i="450" a="1"/>
  <c r="I13" i="450" s="1"/>
  <c r="M7" i="448" a="1"/>
  <c r="M7" i="448" s="1"/>
  <c r="N6" i="448" a="1"/>
  <c r="N6" i="448" s="1"/>
  <c r="N12" i="448" a="1"/>
  <c r="N12" i="448" s="1"/>
  <c r="L13" i="448" a="1"/>
  <c r="L13" i="448" s="1"/>
  <c r="K13" i="448" a="1"/>
  <c r="K13" i="448" s="1"/>
  <c r="N11" i="448" a="1"/>
  <c r="N11" i="448" s="1"/>
  <c r="M13" i="448" a="1"/>
  <c r="M13" i="448" s="1"/>
  <c r="I7" i="450" a="1"/>
  <c r="I7" i="450" s="1"/>
  <c r="M9" i="450" s="1"/>
  <c r="L9" i="450" s="1"/>
  <c r="K7" i="448" a="1"/>
  <c r="K7" i="448" s="1"/>
  <c r="N5" i="448" a="1"/>
  <c r="N5" i="448" s="1"/>
  <c r="O9" i="451"/>
  <c r="O10" i="451"/>
  <c r="P16" i="451"/>
  <c r="M16" i="451"/>
  <c r="N16" i="451" s="1"/>
  <c r="O11" i="451"/>
  <c r="Q16" i="451"/>
  <c r="M6" i="450"/>
  <c r="L6" i="450"/>
  <c r="Q6" i="450" s="1"/>
  <c r="M5" i="450"/>
  <c r="L5" i="450"/>
  <c r="Q5" i="450" s="1"/>
  <c r="Q10" i="451" l="1"/>
  <c r="P10" i="451"/>
  <c r="Q11" i="451"/>
  <c r="P11" i="451"/>
  <c r="Q9" i="451"/>
  <c r="P9" i="451"/>
  <c r="N13" i="448" a="1"/>
  <c r="N13" i="448" s="1"/>
  <c r="N7" i="448" a="1"/>
  <c r="N7" i="448" s="1"/>
  <c r="R9" i="448" s="1"/>
  <c r="Q9" i="448" s="1"/>
  <c r="N6" i="450"/>
  <c r="N5" i="450"/>
  <c r="L7" i="450"/>
  <c r="Q7" i="450" s="1"/>
  <c r="M7" i="450"/>
  <c r="M8" i="450" s="1"/>
  <c r="N8" i="450" s="1"/>
  <c r="R5" i="448"/>
  <c r="S5" i="448" s="1"/>
  <c r="R6" i="448"/>
  <c r="O5" i="450" l="1"/>
  <c r="P5" i="450" s="1"/>
  <c r="N7" i="450"/>
  <c r="O7" i="450" s="1"/>
  <c r="P7" i="450" s="1"/>
  <c r="O6" i="450"/>
  <c r="P6" i="450" s="1"/>
  <c r="R7" i="448"/>
  <c r="S7" i="448" s="1"/>
  <c r="S6" i="448"/>
  <c r="R8" i="448" l="1"/>
  <c r="S8" i="448" s="1"/>
  <c r="T5" i="448" s="1"/>
  <c r="U5" i="448" s="1"/>
  <c r="V5" i="448" s="1"/>
  <c r="T7" i="448" l="1"/>
  <c r="U7" i="448" s="1"/>
  <c r="V7" i="448" s="1"/>
  <c r="T6" i="448"/>
  <c r="U6" i="448" s="1"/>
  <c r="V6" i="448" s="1"/>
  <c r="C68" i="192" l="1"/>
  <c r="D68" i="192"/>
  <c r="E68" i="192"/>
  <c r="B68" i="192"/>
  <c r="E69" i="192"/>
  <c r="D69" i="192"/>
  <c r="C69" i="192"/>
  <c r="B69" i="192"/>
  <c r="O11" i="203" l="1"/>
  <c r="O4" i="220" l="1"/>
  <c r="N7" i="211" l="1"/>
  <c r="Q13" i="187"/>
  <c r="O15" i="211"/>
  <c r="O42" i="219" l="1"/>
  <c r="H16" i="190"/>
  <c r="G16" i="190"/>
  <c r="H14" i="190"/>
  <c r="K10" i="190"/>
  <c r="J10" i="190"/>
  <c r="I10" i="190"/>
  <c r="H10" i="190"/>
  <c r="G10" i="190"/>
  <c r="K9" i="190"/>
  <c r="J9" i="190"/>
  <c r="I9" i="190"/>
  <c r="H9" i="190"/>
  <c r="G9" i="190"/>
  <c r="K8" i="190"/>
  <c r="J8" i="190"/>
  <c r="I8" i="190"/>
  <c r="H8" i="190"/>
  <c r="G8" i="190"/>
  <c r="K7" i="190"/>
  <c r="J7" i="190"/>
  <c r="I7" i="190"/>
  <c r="H7" i="190"/>
  <c r="G7" i="190"/>
  <c r="O17" i="187"/>
  <c r="H15" i="190" l="1"/>
  <c r="G15" i="190"/>
  <c r="I16" i="190"/>
  <c r="I15" i="190" l="1"/>
  <c r="G14" i="190"/>
  <c r="I14" i="190" s="1"/>
  <c r="N14" i="190" l="1"/>
  <c r="M14" i="190"/>
  <c r="J14" i="190"/>
  <c r="K14" i="190" s="1"/>
  <c r="L9" i="190"/>
  <c r="L10" i="190"/>
  <c r="L7" i="190"/>
  <c r="L8" i="190"/>
  <c r="N9" i="190" l="1"/>
  <c r="M9" i="190"/>
  <c r="N8" i="190"/>
  <c r="M8" i="190"/>
  <c r="N7" i="190"/>
  <c r="M7" i="190"/>
  <c r="N10" i="190"/>
  <c r="M10" i="190"/>
  <c r="R4" i="208" l="1"/>
  <c r="R5" i="208" s="1"/>
  <c r="O117" i="221"/>
  <c r="N117" i="221"/>
  <c r="N115" i="221"/>
  <c r="O115" i="221"/>
  <c r="P102" i="221"/>
  <c r="P101" i="221"/>
  <c r="P100" i="221"/>
  <c r="P99" i="221"/>
  <c r="O99" i="221"/>
  <c r="O100" i="221"/>
  <c r="O101" i="221"/>
  <c r="O102" i="221"/>
  <c r="N102" i="221"/>
  <c r="N100" i="221"/>
  <c r="N101" i="221"/>
  <c r="N99" i="221"/>
  <c r="J75" i="221"/>
  <c r="I75" i="221"/>
  <c r="J74" i="221"/>
  <c r="I74" i="221"/>
  <c r="J73" i="221"/>
  <c r="I73" i="221"/>
  <c r="J72" i="221"/>
  <c r="I72" i="221"/>
  <c r="J71" i="221"/>
  <c r="I71" i="221"/>
  <c r="J70" i="221"/>
  <c r="I70" i="221"/>
  <c r="J69" i="221"/>
  <c r="I69" i="221"/>
  <c r="J68" i="221"/>
  <c r="I68" i="221"/>
  <c r="J67" i="221"/>
  <c r="I67" i="221"/>
  <c r="J66" i="221"/>
  <c r="I66" i="221"/>
  <c r="J65" i="221"/>
  <c r="I65" i="221"/>
  <c r="J64" i="221"/>
  <c r="I64" i="221"/>
  <c r="J63" i="221"/>
  <c r="I63" i="221"/>
  <c r="J62" i="221"/>
  <c r="I62" i="221"/>
  <c r="J61" i="221"/>
  <c r="I61" i="221"/>
  <c r="J60" i="221"/>
  <c r="I60" i="221"/>
  <c r="J59" i="221"/>
  <c r="I59" i="221"/>
  <c r="J58" i="221"/>
  <c r="I58" i="221"/>
  <c r="J57" i="221"/>
  <c r="I57" i="221"/>
  <c r="J56" i="221"/>
  <c r="I56" i="221"/>
  <c r="J55" i="221"/>
  <c r="I55" i="221"/>
  <c r="J54" i="221"/>
  <c r="I54" i="221"/>
  <c r="J53" i="221"/>
  <c r="I53" i="221"/>
  <c r="J52" i="221"/>
  <c r="I52" i="221"/>
  <c r="J51" i="221"/>
  <c r="I51" i="221"/>
  <c r="J50" i="221"/>
  <c r="I50" i="221"/>
  <c r="J49" i="221"/>
  <c r="I49" i="221"/>
  <c r="H36" i="221"/>
  <c r="I36" i="221"/>
  <c r="G36" i="221"/>
  <c r="H35" i="221"/>
  <c r="I35" i="221"/>
  <c r="G35" i="221"/>
  <c r="I8" i="221"/>
  <c r="J8" i="221"/>
  <c r="O105" i="221" l="1"/>
  <c r="N114" i="221" s="1"/>
  <c r="P105" i="221"/>
  <c r="R105" i="221" s="1"/>
  <c r="N105" i="221"/>
  <c r="O114" i="221" s="1"/>
  <c r="H37" i="221"/>
  <c r="P115" i="221"/>
  <c r="N103" i="221"/>
  <c r="O112" i="221" s="1"/>
  <c r="N104" i="221"/>
  <c r="O113" i="221" s="1"/>
  <c r="O103" i="221"/>
  <c r="N112" i="221" s="1"/>
  <c r="O104" i="221"/>
  <c r="N113" i="221" s="1"/>
  <c r="P103" i="221"/>
  <c r="R103" i="221" s="1"/>
  <c r="P104" i="221"/>
  <c r="R104" i="221" s="1"/>
  <c r="I37" i="221"/>
  <c r="J36" i="221"/>
  <c r="J35" i="221"/>
  <c r="G37" i="221"/>
  <c r="P114" i="221" l="1"/>
  <c r="Q114" i="221"/>
  <c r="R114" i="221" s="1"/>
  <c r="P112" i="221"/>
  <c r="Q112" i="221" s="1"/>
  <c r="R112" i="221" s="1"/>
  <c r="N119" i="221"/>
  <c r="P113" i="221"/>
  <c r="Q113" i="221" s="1"/>
  <c r="R113" i="221" s="1"/>
  <c r="J37" i="221"/>
  <c r="G42" i="221" s="1"/>
  <c r="G45" i="221" l="1"/>
  <c r="G46" i="221"/>
  <c r="G43" i="221"/>
  <c r="G41" i="221"/>
  <c r="G44" i="221"/>
  <c r="W35" i="221" l="1"/>
  <c r="W34" i="221"/>
  <c r="J30" i="221"/>
  <c r="I30" i="221"/>
  <c r="J29" i="221"/>
  <c r="I29" i="221"/>
  <c r="J28" i="221"/>
  <c r="I28" i="221"/>
  <c r="J27" i="221"/>
  <c r="I27" i="221"/>
  <c r="J26" i="221"/>
  <c r="I26" i="221"/>
  <c r="J25" i="221"/>
  <c r="I25" i="221"/>
  <c r="J24" i="221"/>
  <c r="I24" i="221"/>
  <c r="J23" i="221"/>
  <c r="I23" i="221"/>
  <c r="J22" i="221"/>
  <c r="I22" i="221"/>
  <c r="J21" i="221"/>
  <c r="I21" i="221"/>
  <c r="J20" i="221"/>
  <c r="I20" i="221"/>
  <c r="J19" i="221"/>
  <c r="I19" i="221"/>
  <c r="J18" i="221"/>
  <c r="I18" i="221"/>
  <c r="J17" i="221"/>
  <c r="I17" i="221"/>
  <c r="J16" i="221"/>
  <c r="I16" i="221"/>
  <c r="J15" i="221"/>
  <c r="I15" i="221"/>
  <c r="J14" i="221"/>
  <c r="I14" i="221"/>
  <c r="J13" i="221"/>
  <c r="I13" i="221"/>
  <c r="J12" i="221"/>
  <c r="I12" i="221"/>
  <c r="J11" i="221"/>
  <c r="I11" i="221"/>
  <c r="J10" i="221"/>
  <c r="I10" i="221"/>
  <c r="J9" i="221"/>
  <c r="I9" i="221"/>
  <c r="J7" i="221"/>
  <c r="I7" i="221"/>
  <c r="J6" i="221"/>
  <c r="I6" i="221"/>
  <c r="J5" i="221"/>
  <c r="I5" i="221"/>
  <c r="J4" i="221"/>
  <c r="I4" i="221"/>
  <c r="O38" i="219" l="1"/>
  <c r="W26" i="219"/>
  <c r="O37" i="219"/>
  <c r="K39" i="219"/>
  <c r="K40" i="219"/>
  <c r="K41" i="219"/>
  <c r="K42" i="219"/>
  <c r="K43" i="219"/>
  <c r="K38" i="219"/>
  <c r="G45" i="219" s="1"/>
  <c r="J43" i="219"/>
  <c r="I43" i="219"/>
  <c r="J42" i="219"/>
  <c r="I42" i="219"/>
  <c r="J41" i="219"/>
  <c r="I41" i="219"/>
  <c r="J40" i="219"/>
  <c r="I40" i="219"/>
  <c r="J39" i="219"/>
  <c r="I39" i="219"/>
  <c r="J38" i="219"/>
  <c r="I38" i="219"/>
  <c r="G48" i="219" l="1"/>
  <c r="G46" i="219"/>
  <c r="G47" i="219"/>
  <c r="Q47" i="220"/>
  <c r="R47" i="220" s="1"/>
  <c r="Q46" i="220"/>
  <c r="R46" i="220" s="1"/>
  <c r="Q45" i="220"/>
  <c r="R45" i="220" s="1"/>
  <c r="P47" i="220"/>
  <c r="S47" i="220" s="1"/>
  <c r="P46" i="220"/>
  <c r="S46" i="220" s="1"/>
  <c r="P45" i="220"/>
  <c r="S45" i="220" s="1"/>
  <c r="P51" i="220"/>
  <c r="Q36" i="220"/>
  <c r="R36" i="220" s="1"/>
  <c r="Q35" i="220"/>
  <c r="R35" i="220" s="1"/>
  <c r="Q34" i="220"/>
  <c r="R34" i="220" s="1"/>
  <c r="P36" i="220"/>
  <c r="S36" i="220" s="1"/>
  <c r="P35" i="220"/>
  <c r="S35" i="220" s="1"/>
  <c r="P34" i="220"/>
  <c r="S34" i="220" s="1"/>
  <c r="P40" i="220"/>
  <c r="Q25" i="220"/>
  <c r="R25" i="220" s="1"/>
  <c r="Q24" i="220"/>
  <c r="R24" i="220" s="1"/>
  <c r="Q23" i="220"/>
  <c r="R23" i="220" s="1"/>
  <c r="P25" i="220"/>
  <c r="S25" i="220" s="1"/>
  <c r="P24" i="220"/>
  <c r="S24" i="220" s="1"/>
  <c r="P23" i="220"/>
  <c r="S23" i="220" s="1"/>
  <c r="P29" i="220"/>
  <c r="P18" i="220"/>
  <c r="Q14" i="220"/>
  <c r="R14" i="220" s="1"/>
  <c r="Q13" i="220"/>
  <c r="R13" i="220" s="1"/>
  <c r="Q12" i="220"/>
  <c r="R12" i="220" s="1"/>
  <c r="P14" i="220"/>
  <c r="S14" i="220" s="1"/>
  <c r="P13" i="220"/>
  <c r="S13" i="220" s="1"/>
  <c r="P12" i="220"/>
  <c r="S12" i="220" s="1"/>
  <c r="P4" i="220"/>
  <c r="Q4" i="220"/>
  <c r="P5" i="220"/>
  <c r="Q5" i="220"/>
  <c r="P6" i="220"/>
  <c r="Q6" i="220"/>
  <c r="O6" i="220"/>
  <c r="O5" i="220"/>
  <c r="J33" i="219"/>
  <c r="I33" i="219"/>
  <c r="J32" i="219"/>
  <c r="I32" i="219"/>
  <c r="J31" i="219"/>
  <c r="I31" i="219"/>
  <c r="J30" i="219"/>
  <c r="I30" i="219"/>
  <c r="J29" i="219"/>
  <c r="I29" i="219"/>
  <c r="J28" i="219"/>
  <c r="I28" i="219"/>
  <c r="J27" i="219"/>
  <c r="I27" i="219"/>
  <c r="J26" i="219"/>
  <c r="I26" i="219"/>
  <c r="J25" i="219"/>
  <c r="I25" i="219"/>
  <c r="J24" i="219"/>
  <c r="I24" i="219"/>
  <c r="J23" i="219"/>
  <c r="I23" i="219"/>
  <c r="J22" i="219"/>
  <c r="I22" i="219"/>
  <c r="J21" i="219"/>
  <c r="I21" i="219"/>
  <c r="J20" i="219"/>
  <c r="I20" i="219"/>
  <c r="J19" i="219"/>
  <c r="I19" i="219"/>
  <c r="J18" i="219"/>
  <c r="I18" i="219"/>
  <c r="J17" i="219"/>
  <c r="I17" i="219"/>
  <c r="J16" i="219"/>
  <c r="I16" i="219"/>
  <c r="J15" i="219"/>
  <c r="I15" i="219"/>
  <c r="J14" i="219"/>
  <c r="I14" i="219"/>
  <c r="J13" i="219"/>
  <c r="I13" i="219"/>
  <c r="J12" i="219"/>
  <c r="I12" i="219"/>
  <c r="J11" i="219"/>
  <c r="I11" i="219"/>
  <c r="J10" i="219"/>
  <c r="I10" i="219"/>
  <c r="J9" i="219"/>
  <c r="I9" i="219"/>
  <c r="J8" i="219"/>
  <c r="I8" i="219"/>
  <c r="J7" i="219"/>
  <c r="I7" i="219"/>
  <c r="J6" i="219"/>
  <c r="I6" i="219"/>
  <c r="J5" i="219"/>
  <c r="I5" i="219"/>
  <c r="J4" i="219"/>
  <c r="I4" i="219"/>
  <c r="G49" i="219" l="1"/>
  <c r="R4" i="220"/>
  <c r="G50" i="219"/>
  <c r="R5" i="220"/>
  <c r="R48" i="220"/>
  <c r="N51" i="220" s="1"/>
  <c r="S48" i="220"/>
  <c r="R37" i="220"/>
  <c r="N40" i="220" s="1"/>
  <c r="S37" i="220"/>
  <c r="S26" i="220"/>
  <c r="R26" i="220"/>
  <c r="N29" i="220" s="1"/>
  <c r="R15" i="220"/>
  <c r="N18" i="220" s="1"/>
  <c r="S15" i="220"/>
  <c r="Q7" i="220"/>
  <c r="O7" i="220"/>
  <c r="R6" i="220"/>
  <c r="P7" i="220"/>
  <c r="O40" i="220" l="1"/>
  <c r="Q40" i="220" s="1"/>
  <c r="R40" i="220" s="1"/>
  <c r="O51" i="220"/>
  <c r="Q51" i="220" s="1"/>
  <c r="R51" i="220" s="1"/>
  <c r="O29" i="220"/>
  <c r="Q29" i="220" s="1"/>
  <c r="R29" i="220" s="1"/>
  <c r="O18" i="220"/>
  <c r="Q18" i="220" s="1"/>
  <c r="R18" i="220" s="1"/>
  <c r="Q9" i="218"/>
  <c r="Q5" i="218"/>
  <c r="V4" i="218"/>
  <c r="U4" i="218"/>
  <c r="AA7" i="218" s="1"/>
  <c r="AA22" i="218" s="1"/>
  <c r="T4" i="218"/>
  <c r="AA6" i="218" s="1"/>
  <c r="AA21" i="218" s="1"/>
  <c r="Z5" i="218" l="1"/>
  <c r="Z30" i="218" s="1"/>
  <c r="Q11" i="218"/>
  <c r="U15" i="218" s="1"/>
  <c r="Q7" i="218"/>
  <c r="U14" i="218" s="1"/>
  <c r="Q8" i="218"/>
  <c r="T10" i="218" s="1"/>
  <c r="Q10" i="218"/>
  <c r="Q6" i="218"/>
  <c r="T20" i="218"/>
  <c r="S4" i="218"/>
  <c r="Y15" i="218" s="1"/>
  <c r="Q4" i="218"/>
  <c r="AA8" i="218"/>
  <c r="AA23" i="218" s="1"/>
  <c r="AA13" i="218"/>
  <c r="AA15" i="218"/>
  <c r="AA11" i="218"/>
  <c r="AA9" i="218"/>
  <c r="AA10" i="218" s="1"/>
  <c r="AA24" i="218" s="1"/>
  <c r="AA12" i="218" l="1"/>
  <c r="AA25" i="218" s="1"/>
  <c r="U19" i="218"/>
  <c r="Y7" i="218"/>
  <c r="Y8" i="218"/>
  <c r="AA5" i="218"/>
  <c r="AB5" i="218" s="1"/>
  <c r="T19" i="218"/>
  <c r="T21" i="218" s="1"/>
  <c r="Y6" i="218"/>
  <c r="Y9" i="218"/>
  <c r="U16" i="218"/>
  <c r="Z15" i="218"/>
  <c r="AB15" i="218" s="1"/>
  <c r="T14" i="218"/>
  <c r="V14" i="218" s="1"/>
  <c r="T9" i="218"/>
  <c r="T11" i="218" s="1"/>
  <c r="U9" i="218"/>
  <c r="T15" i="218"/>
  <c r="V15" i="218" s="1"/>
  <c r="Y11" i="218"/>
  <c r="Y13" i="218"/>
  <c r="U20" i="218"/>
  <c r="V20" i="218" s="1"/>
  <c r="U10" i="218"/>
  <c r="V10" i="218" s="1"/>
  <c r="AA14" i="218"/>
  <c r="AA26" i="218" s="1"/>
  <c r="AA30" i="218" l="1"/>
  <c r="Z11" i="218"/>
  <c r="AB11" i="218" s="1"/>
  <c r="U11" i="218"/>
  <c r="V11" i="218" s="1"/>
  <c r="T16" i="218"/>
  <c r="V16" i="218" s="1"/>
  <c r="V19" i="218"/>
  <c r="Z8" i="218" s="1"/>
  <c r="V9" i="218"/>
  <c r="Z6" i="218" s="1"/>
  <c r="Z21" i="218" s="1"/>
  <c r="AB21" i="218" s="1"/>
  <c r="U21" i="218"/>
  <c r="V21" i="218" s="1"/>
  <c r="Z9" i="218"/>
  <c r="AB9" i="218" s="1"/>
  <c r="Z13" i="218"/>
  <c r="AB13" i="218" s="1"/>
  <c r="AA16" i="218"/>
  <c r="AA27" i="218" s="1"/>
  <c r="Z7" i="218" l="1"/>
  <c r="Z10" i="218" s="1"/>
  <c r="AB10" i="218" s="1"/>
  <c r="Z23" i="218"/>
  <c r="AB23" i="218" s="1"/>
  <c r="Z12" i="218"/>
  <c r="AB12" i="218" s="1"/>
  <c r="AB8" i="218"/>
  <c r="AB6" i="218"/>
  <c r="AA17" i="218"/>
  <c r="AA28" i="218" s="1"/>
  <c r="Z22" i="218" l="1"/>
  <c r="AB22" i="218" s="1"/>
  <c r="AB7" i="218"/>
  <c r="Z14" i="218"/>
  <c r="Z26" i="218" s="1"/>
  <c r="AB26" i="218" s="1"/>
  <c r="Z25" i="218"/>
  <c r="AB25" i="218" s="1"/>
  <c r="Z24" i="218"/>
  <c r="AB24" i="218" s="1"/>
  <c r="AB14" i="218" l="1"/>
  <c r="Z16" i="218"/>
  <c r="Z27" i="218" s="1"/>
  <c r="AB27" i="218" s="1"/>
  <c r="Z17" i="218" l="1"/>
  <c r="AB17" i="218" s="1"/>
  <c r="AB16" i="218"/>
  <c r="Z28" i="218" l="1"/>
  <c r="AB28" i="218" s="1"/>
  <c r="AC22" i="218" s="1"/>
  <c r="AD22" i="218" s="1"/>
  <c r="AC24" i="218" l="1"/>
  <c r="AD24" i="218" s="1"/>
  <c r="AC21" i="218"/>
  <c r="AD21" i="218" s="1"/>
  <c r="AC26" i="218"/>
  <c r="AD26" i="218" s="1"/>
  <c r="AC27" i="218"/>
  <c r="AD27" i="218" s="1"/>
  <c r="AC23" i="218"/>
  <c r="AD23" i="218" s="1"/>
  <c r="AC25" i="218"/>
  <c r="AD25" i="218" s="1"/>
  <c r="P10" i="217" l="1"/>
  <c r="K39" i="216"/>
  <c r="M5" i="217"/>
  <c r="M6" i="217"/>
  <c r="M7" i="217"/>
  <c r="M8" i="217"/>
  <c r="M9" i="217"/>
  <c r="M10" i="217"/>
  <c r="M11" i="217"/>
  <c r="M12" i="217"/>
  <c r="M13" i="217"/>
  <c r="M14" i="217"/>
  <c r="M15" i="217"/>
  <c r="M4" i="217"/>
  <c r="Q8" i="217"/>
  <c r="Q6" i="217"/>
  <c r="Q5" i="217"/>
  <c r="Q10" i="217"/>
  <c r="I5" i="217"/>
  <c r="J5" i="217"/>
  <c r="K5" i="217"/>
  <c r="J27" i="217" s="1"/>
  <c r="L5" i="217"/>
  <c r="I6" i="217"/>
  <c r="J6" i="217"/>
  <c r="K6" i="217"/>
  <c r="K27" i="217" s="1"/>
  <c r="L6" i="217"/>
  <c r="I7" i="217"/>
  <c r="J7" i="217"/>
  <c r="K7" i="217"/>
  <c r="L27" i="217" s="1"/>
  <c r="L7" i="217"/>
  <c r="I8" i="217"/>
  <c r="J8" i="217"/>
  <c r="K8" i="217"/>
  <c r="I28" i="217" s="1"/>
  <c r="L8" i="217"/>
  <c r="I9" i="217"/>
  <c r="J9" i="217"/>
  <c r="K9" i="217"/>
  <c r="J28" i="217" s="1"/>
  <c r="L9" i="217"/>
  <c r="I10" i="217"/>
  <c r="J10" i="217"/>
  <c r="K10" i="217"/>
  <c r="K28" i="217" s="1"/>
  <c r="L10" i="217"/>
  <c r="I11" i="217"/>
  <c r="J11" i="217"/>
  <c r="K11" i="217"/>
  <c r="L28" i="217" s="1"/>
  <c r="L11" i="217"/>
  <c r="I12" i="217"/>
  <c r="J12" i="217"/>
  <c r="K12" i="217"/>
  <c r="I29" i="217" s="1"/>
  <c r="L12" i="217"/>
  <c r="I13" i="217"/>
  <c r="J13" i="217"/>
  <c r="K13" i="217"/>
  <c r="J29" i="217" s="1"/>
  <c r="L13" i="217"/>
  <c r="I14" i="217"/>
  <c r="J14" i="217"/>
  <c r="K14" i="217"/>
  <c r="K29" i="217" s="1"/>
  <c r="L14" i="217"/>
  <c r="I15" i="217"/>
  <c r="J15" i="217"/>
  <c r="K15" i="217"/>
  <c r="L29" i="217" s="1"/>
  <c r="L15" i="217"/>
  <c r="L4" i="217"/>
  <c r="K4" i="217"/>
  <c r="I27" i="217" s="1"/>
  <c r="J4" i="217"/>
  <c r="I4" i="217"/>
  <c r="L6" i="216"/>
  <c r="L26" i="216"/>
  <c r="L25" i="216"/>
  <c r="L20" i="216"/>
  <c r="L19" i="216"/>
  <c r="L18" i="216"/>
  <c r="L8" i="216"/>
  <c r="L7" i="216"/>
  <c r="L12" i="216"/>
  <c r="L13" i="216"/>
  <c r="L14" i="216"/>
  <c r="L44" i="216"/>
  <c r="M44" i="216"/>
  <c r="N44" i="216"/>
  <c r="L45" i="216"/>
  <c r="M45" i="216"/>
  <c r="N45" i="216"/>
  <c r="L46" i="216"/>
  <c r="M46" i="216"/>
  <c r="N46" i="216"/>
  <c r="K46" i="216"/>
  <c r="K45" i="216"/>
  <c r="N39" i="216"/>
  <c r="N40" i="216"/>
  <c r="N41" i="216"/>
  <c r="K44" i="216"/>
  <c r="I31" i="216"/>
  <c r="H35" i="216"/>
  <c r="Q40" i="216" s="1"/>
  <c r="I33" i="216"/>
  <c r="I35" i="216"/>
  <c r="I30" i="216"/>
  <c r="L39" i="216"/>
  <c r="M39" i="216"/>
  <c r="L40" i="216"/>
  <c r="M40" i="216"/>
  <c r="L41" i="216"/>
  <c r="M41" i="216"/>
  <c r="K41" i="216"/>
  <c r="K40" i="216"/>
  <c r="H41" i="216"/>
  <c r="H40" i="216"/>
  <c r="H39" i="216"/>
  <c r="H47" i="216"/>
  <c r="H46" i="216"/>
  <c r="H45" i="216"/>
  <c r="H44" i="216"/>
  <c r="I23" i="216"/>
  <c r="J23" i="216"/>
  <c r="K23" i="216"/>
  <c r="I24" i="216"/>
  <c r="J24" i="216"/>
  <c r="K24" i="216"/>
  <c r="I25" i="216"/>
  <c r="J25" i="216"/>
  <c r="K25" i="216"/>
  <c r="I26" i="216"/>
  <c r="J26" i="216"/>
  <c r="K26" i="216"/>
  <c r="H26" i="216"/>
  <c r="H25" i="216"/>
  <c r="H24" i="216"/>
  <c r="H23" i="216"/>
  <c r="I17" i="216"/>
  <c r="J17" i="216"/>
  <c r="K17" i="216"/>
  <c r="I18" i="216"/>
  <c r="J18" i="216"/>
  <c r="K18" i="216"/>
  <c r="I19" i="216"/>
  <c r="J19" i="216"/>
  <c r="K19" i="216"/>
  <c r="I20" i="216"/>
  <c r="J20" i="216"/>
  <c r="K20" i="216"/>
  <c r="H20" i="216"/>
  <c r="H19" i="216"/>
  <c r="H18" i="216"/>
  <c r="H17" i="216"/>
  <c r="K14" i="216"/>
  <c r="K13" i="216"/>
  <c r="K12" i="216"/>
  <c r="K11" i="216"/>
  <c r="K8" i="216"/>
  <c r="K7" i="216"/>
  <c r="K6" i="216"/>
  <c r="K5" i="216"/>
  <c r="J5" i="216"/>
  <c r="J6" i="216"/>
  <c r="J7" i="216"/>
  <c r="J8" i="216"/>
  <c r="J11" i="216"/>
  <c r="J12" i="216"/>
  <c r="J13" i="216"/>
  <c r="J14" i="216"/>
  <c r="I6" i="216"/>
  <c r="I14" i="216"/>
  <c r="H14" i="216"/>
  <c r="I13" i="216"/>
  <c r="H13" i="216"/>
  <c r="I12" i="216"/>
  <c r="H12" i="216"/>
  <c r="I11" i="216"/>
  <c r="H11" i="216"/>
  <c r="I8" i="216"/>
  <c r="H8" i="216"/>
  <c r="I7" i="216"/>
  <c r="H7" i="216"/>
  <c r="H6" i="216"/>
  <c r="I5" i="216"/>
  <c r="H5" i="216"/>
  <c r="H22" i="215"/>
  <c r="K13" i="215"/>
  <c r="J13" i="215"/>
  <c r="I13" i="215"/>
  <c r="K8" i="215"/>
  <c r="K7" i="215"/>
  <c r="K6" i="215"/>
  <c r="J8" i="215"/>
  <c r="J7" i="215"/>
  <c r="J6" i="215"/>
  <c r="I8" i="215"/>
  <c r="I7" i="215"/>
  <c r="I6" i="215"/>
  <c r="H13" i="215"/>
  <c r="H7" i="215"/>
  <c r="H8" i="215"/>
  <c r="H6" i="215"/>
  <c r="I19" i="215" s="1"/>
  <c r="K12" i="215"/>
  <c r="J12" i="215"/>
  <c r="I12" i="215"/>
  <c r="H12" i="215"/>
  <c r="K11" i="215"/>
  <c r="J11" i="215"/>
  <c r="I11" i="215"/>
  <c r="H11" i="215"/>
  <c r="K10" i="215"/>
  <c r="J10" i="215"/>
  <c r="I10" i="215"/>
  <c r="H10" i="215"/>
  <c r="H19" i="215" l="1"/>
  <c r="I22" i="215"/>
  <c r="J19" i="217"/>
  <c r="J18" i="217"/>
  <c r="I18" i="215"/>
  <c r="I20" i="215" s="1"/>
  <c r="H18" i="215"/>
  <c r="P8" i="217"/>
  <c r="R8" i="217" s="1"/>
  <c r="Q39" i="216"/>
  <c r="Q41" i="216" s="1"/>
  <c r="J24" i="217"/>
  <c r="J23" i="217"/>
  <c r="J22" i="217"/>
  <c r="J17" i="217"/>
  <c r="I19" i="217"/>
  <c r="I21" i="217"/>
  <c r="I24" i="217"/>
  <c r="I23" i="217"/>
  <c r="I22" i="217"/>
  <c r="I17" i="217"/>
  <c r="J21" i="217"/>
  <c r="I18" i="217"/>
  <c r="H33" i="216"/>
  <c r="Q7" i="217"/>
  <c r="I32" i="216"/>
  <c r="H31" i="216"/>
  <c r="L17" i="216"/>
  <c r="L23" i="216"/>
  <c r="L5" i="216"/>
  <c r="H30" i="216" s="1"/>
  <c r="L11" i="216"/>
  <c r="M31" i="216"/>
  <c r="L24" i="216"/>
  <c r="C25" i="214"/>
  <c r="C26" i="214" s="1"/>
  <c r="D25" i="214"/>
  <c r="D26" i="214" s="1"/>
  <c r="E25" i="214"/>
  <c r="E26" i="214" s="1"/>
  <c r="F25" i="214"/>
  <c r="F26" i="214" s="1"/>
  <c r="C27" i="214"/>
  <c r="D27" i="214"/>
  <c r="E27" i="214"/>
  <c r="F27" i="214"/>
  <c r="C28" i="214"/>
  <c r="D28" i="214"/>
  <c r="E28" i="214"/>
  <c r="F28" i="214"/>
  <c r="C29" i="214"/>
  <c r="D29" i="214"/>
  <c r="E29" i="214"/>
  <c r="F29" i="214"/>
  <c r="B29" i="214"/>
  <c r="B28" i="214"/>
  <c r="B27" i="214"/>
  <c r="B25" i="214"/>
  <c r="B26" i="214" s="1"/>
  <c r="K15" i="214"/>
  <c r="I6" i="214"/>
  <c r="I7" i="214"/>
  <c r="K23" i="217" l="1"/>
  <c r="M18" i="215"/>
  <c r="H20" i="215"/>
  <c r="J20" i="215" s="1"/>
  <c r="K17" i="217"/>
  <c r="K24" i="217"/>
  <c r="K18" i="217"/>
  <c r="K19" i="217"/>
  <c r="P6" i="217"/>
  <c r="R6" i="217" s="1"/>
  <c r="S6" i="217" s="1"/>
  <c r="T6" i="217" s="1"/>
  <c r="K22" i="217"/>
  <c r="K21" i="217"/>
  <c r="P5" i="217"/>
  <c r="H32" i="216"/>
  <c r="M30" i="216"/>
  <c r="M32" i="216"/>
  <c r="J33" i="216"/>
  <c r="J19" i="215"/>
  <c r="J18" i="215"/>
  <c r="M19" i="215"/>
  <c r="M6" i="214"/>
  <c r="M7" i="214"/>
  <c r="M8" i="214"/>
  <c r="M9" i="214"/>
  <c r="M10" i="214"/>
  <c r="M11" i="214"/>
  <c r="M12" i="214"/>
  <c r="M13" i="214"/>
  <c r="M14" i="214"/>
  <c r="F41" i="214" l="1"/>
  <c r="F42" i="214" s="1"/>
  <c r="F43" i="214"/>
  <c r="F44" i="214"/>
  <c r="F45" i="214"/>
  <c r="P7" i="217"/>
  <c r="R7" i="217" s="1"/>
  <c r="S7" i="217" s="1"/>
  <c r="T7" i="217" s="1"/>
  <c r="J30" i="216"/>
  <c r="K30" i="216" s="1"/>
  <c r="L30" i="216" s="1"/>
  <c r="J31" i="216"/>
  <c r="K31" i="216" s="1"/>
  <c r="L31" i="216" s="1"/>
  <c r="K19" i="215"/>
  <c r="L19" i="215" s="1"/>
  <c r="K18" i="215"/>
  <c r="L18" i="215" s="1"/>
  <c r="M17" i="214"/>
  <c r="M16" i="214"/>
  <c r="M19" i="214"/>
  <c r="U35" i="214" s="1"/>
  <c r="M18" i="214"/>
  <c r="U32" i="214" l="1"/>
  <c r="U29" i="214"/>
  <c r="U33" i="214"/>
  <c r="U30" i="214"/>
  <c r="U31" i="214"/>
  <c r="U37" i="214"/>
  <c r="U34" i="214"/>
  <c r="U36" i="214"/>
  <c r="R5" i="217"/>
  <c r="S5" i="217" s="1"/>
  <c r="T5" i="217" s="1"/>
  <c r="J32" i="216"/>
  <c r="K32" i="216" s="1"/>
  <c r="L32" i="216" s="1"/>
  <c r="F19" i="214"/>
  <c r="E19" i="214"/>
  <c r="D19" i="214"/>
  <c r="C19" i="214"/>
  <c r="B19" i="214"/>
  <c r="F18" i="214"/>
  <c r="E18" i="214"/>
  <c r="D18" i="214"/>
  <c r="C18" i="214"/>
  <c r="B18" i="214"/>
  <c r="F17" i="214"/>
  <c r="E17" i="214"/>
  <c r="D17" i="214"/>
  <c r="C17" i="214"/>
  <c r="B17" i="214"/>
  <c r="F16" i="214"/>
  <c r="E16" i="214"/>
  <c r="D16" i="214"/>
  <c r="C16" i="214"/>
  <c r="B16" i="214"/>
  <c r="J15" i="214"/>
  <c r="I15" i="214"/>
  <c r="K14" i="214"/>
  <c r="J14" i="214"/>
  <c r="I14" i="214"/>
  <c r="L13" i="214"/>
  <c r="K13" i="214"/>
  <c r="J13" i="214"/>
  <c r="I13" i="214"/>
  <c r="L12" i="214"/>
  <c r="K12" i="214"/>
  <c r="J12" i="214"/>
  <c r="I12" i="214"/>
  <c r="L11" i="214"/>
  <c r="K11" i="214"/>
  <c r="J11" i="214"/>
  <c r="I11" i="214"/>
  <c r="L10" i="214"/>
  <c r="K10" i="214"/>
  <c r="J10" i="214"/>
  <c r="I10" i="214"/>
  <c r="L9" i="214"/>
  <c r="K9" i="214"/>
  <c r="J9" i="214"/>
  <c r="I9" i="214"/>
  <c r="L8" i="214"/>
  <c r="K8" i="214"/>
  <c r="J8" i="214"/>
  <c r="I8" i="214"/>
  <c r="L7" i="214"/>
  <c r="K7" i="214"/>
  <c r="J7" i="214"/>
  <c r="L6" i="214"/>
  <c r="K6" i="214"/>
  <c r="J6" i="214"/>
  <c r="O18" i="187"/>
  <c r="D43" i="214" l="1"/>
  <c r="D45" i="214"/>
  <c r="D41" i="214"/>
  <c r="D42" i="214" s="1"/>
  <c r="D44" i="214"/>
  <c r="E43" i="214"/>
  <c r="E45" i="214"/>
  <c r="E41" i="214"/>
  <c r="E42" i="214" s="1"/>
  <c r="E44" i="214"/>
  <c r="R11" i="214"/>
  <c r="R15" i="214"/>
  <c r="R10" i="214"/>
  <c r="R17" i="214"/>
  <c r="R9" i="214"/>
  <c r="R13" i="214"/>
  <c r="R8" i="214"/>
  <c r="R12" i="214"/>
  <c r="R14" i="214"/>
  <c r="R16" i="214"/>
  <c r="T12" i="214"/>
  <c r="T11" i="214"/>
  <c r="T15" i="214"/>
  <c r="T10" i="214"/>
  <c r="T14" i="214"/>
  <c r="T9" i="214"/>
  <c r="T13" i="214"/>
  <c r="T8" i="214"/>
  <c r="B41" i="214"/>
  <c r="B42" i="214" s="1"/>
  <c r="B43" i="214"/>
  <c r="B45" i="214"/>
  <c r="B44" i="214"/>
  <c r="U9" i="214"/>
  <c r="U13" i="214"/>
  <c r="U16" i="214"/>
  <c r="U8" i="214"/>
  <c r="U12" i="214"/>
  <c r="U11" i="214"/>
  <c r="U15" i="214"/>
  <c r="U10" i="214"/>
  <c r="U14" i="214"/>
  <c r="C41" i="214"/>
  <c r="C42" i="214" s="1"/>
  <c r="C43" i="214"/>
  <c r="C44" i="214"/>
  <c r="C45" i="214"/>
  <c r="Q9" i="214"/>
  <c r="Q10" i="214"/>
  <c r="Q11" i="214"/>
  <c r="Q12" i="214"/>
  <c r="Q13" i="214"/>
  <c r="Q14" i="214"/>
  <c r="Q15" i="214"/>
  <c r="Q16" i="214"/>
  <c r="Q8" i="214"/>
  <c r="Q17" i="214"/>
  <c r="S12" i="214"/>
  <c r="S16" i="214"/>
  <c r="S17" i="214"/>
  <c r="S9" i="214"/>
  <c r="S13" i="214"/>
  <c r="S10" i="214"/>
  <c r="S14" i="214"/>
  <c r="S8" i="214"/>
  <c r="S11" i="214"/>
  <c r="S15" i="214"/>
  <c r="L16" i="214"/>
  <c r="L18" i="214"/>
  <c r="L17" i="214"/>
  <c r="L19" i="214"/>
  <c r="T34" i="214" s="1"/>
  <c r="K18" i="214"/>
  <c r="K17" i="214"/>
  <c r="K16" i="214"/>
  <c r="K19" i="214"/>
  <c r="J17" i="214"/>
  <c r="J19" i="214"/>
  <c r="R32" i="214" s="1"/>
  <c r="J16" i="214"/>
  <c r="J18" i="214"/>
  <c r="B21" i="214"/>
  <c r="R35" i="214" l="1"/>
  <c r="R31" i="214"/>
  <c r="T35" i="214"/>
  <c r="T32" i="214"/>
  <c r="T33" i="214"/>
  <c r="R34" i="214"/>
  <c r="R30" i="214"/>
  <c r="T29" i="214"/>
  <c r="T31" i="214"/>
  <c r="R38" i="214"/>
  <c r="T30" i="214"/>
  <c r="R37" i="214"/>
  <c r="R33" i="214"/>
  <c r="T36" i="214"/>
  <c r="R29" i="214"/>
  <c r="R36" i="214"/>
  <c r="S38" i="214"/>
  <c r="S31" i="214"/>
  <c r="S35" i="214"/>
  <c r="S32" i="214"/>
  <c r="S36" i="214"/>
  <c r="S33" i="214"/>
  <c r="S30" i="214"/>
  <c r="S34" i="214"/>
  <c r="S29" i="214"/>
  <c r="S37" i="214"/>
  <c r="N10" i="211" l="1"/>
  <c r="N15" i="211"/>
  <c r="N8" i="211"/>
  <c r="N9" i="211"/>
  <c r="G11" i="210"/>
  <c r="N9" i="210" s="1"/>
  <c r="N15" i="210"/>
  <c r="S11" i="209"/>
  <c r="T11" i="209"/>
  <c r="R11" i="209"/>
  <c r="N7" i="203"/>
  <c r="X7" i="203"/>
  <c r="X6" i="203"/>
  <c r="O7" i="203"/>
  <c r="AA7" i="203"/>
  <c r="AA12" i="203"/>
  <c r="AA11" i="203"/>
  <c r="AA10" i="203"/>
  <c r="AA9" i="203"/>
  <c r="AA8" i="203"/>
  <c r="N11" i="203"/>
  <c r="N11" i="211" l="1"/>
  <c r="O7" i="211" s="1"/>
  <c r="P7" i="211" s="1"/>
  <c r="P11" i="203"/>
  <c r="U11" i="209"/>
  <c r="T12" i="209" s="1"/>
  <c r="P7" i="203"/>
  <c r="N10" i="210"/>
  <c r="N8" i="210"/>
  <c r="N7" i="210"/>
  <c r="R12" i="209" l="1"/>
  <c r="O9" i="211"/>
  <c r="P9" i="211" s="1"/>
  <c r="S12" i="209"/>
  <c r="O10" i="211"/>
  <c r="P10" i="211" s="1"/>
  <c r="N16" i="211"/>
  <c r="P15" i="211" s="1"/>
  <c r="O8" i="211"/>
  <c r="P8" i="211" s="1"/>
  <c r="N11" i="210"/>
  <c r="O9" i="210" s="1"/>
  <c r="P9" i="210" s="1"/>
  <c r="P11" i="211" l="1"/>
  <c r="O16" i="211" s="1"/>
  <c r="N16" i="210"/>
  <c r="P15" i="210" s="1"/>
  <c r="O7" i="210"/>
  <c r="P7" i="210" s="1"/>
  <c r="O10" i="210"/>
  <c r="P10" i="210" s="1"/>
  <c r="O8" i="210"/>
  <c r="P8" i="210" s="1"/>
  <c r="R15" i="211" l="1"/>
  <c r="P11" i="210"/>
  <c r="O16" i="210" s="1"/>
  <c r="X18" i="203"/>
  <c r="AB7" i="203" s="1"/>
  <c r="Q7" i="203"/>
  <c r="R7" i="203" s="1"/>
  <c r="S7" i="203" s="1"/>
  <c r="R15" i="210" l="1"/>
  <c r="AB9" i="203"/>
  <c r="AC9" i="203" s="1"/>
  <c r="AB8" i="203"/>
  <c r="AC8" i="203" s="1"/>
  <c r="AB11" i="203"/>
  <c r="AC11" i="203" s="1"/>
  <c r="AC7" i="203"/>
  <c r="AB10" i="203"/>
  <c r="AC10" i="203" s="1"/>
  <c r="AB12" i="203"/>
  <c r="AC12" i="203" s="1"/>
  <c r="Q11" i="203"/>
  <c r="R11" i="203" s="1"/>
  <c r="S11" i="203" s="1"/>
  <c r="U7" i="203" l="1"/>
  <c r="T7" i="203"/>
  <c r="U11" i="203"/>
  <c r="T11" i="203"/>
  <c r="H15" i="198" l="1"/>
  <c r="S101" i="198" s="1"/>
  <c r="K7" i="198"/>
  <c r="K8" i="198"/>
  <c r="K9" i="198"/>
  <c r="K10" i="198"/>
  <c r="H18" i="198"/>
  <c r="G18" i="198"/>
  <c r="J10" i="198"/>
  <c r="I10" i="198"/>
  <c r="P52" i="198" s="1"/>
  <c r="S52" i="198" s="1"/>
  <c r="H10" i="198"/>
  <c r="G10" i="198"/>
  <c r="Q10" i="198" s="1"/>
  <c r="J9" i="198"/>
  <c r="I9" i="198"/>
  <c r="P30" i="198" s="1"/>
  <c r="S30" i="198" s="1"/>
  <c r="H9" i="198"/>
  <c r="G9" i="198"/>
  <c r="Q72" i="198" s="1"/>
  <c r="R72" i="198" s="1"/>
  <c r="J8" i="198"/>
  <c r="I8" i="198"/>
  <c r="P29" i="198" s="1"/>
  <c r="S29" i="198" s="1"/>
  <c r="H8" i="198"/>
  <c r="G8" i="198"/>
  <c r="Q71" i="198" s="1"/>
  <c r="R71" i="198" s="1"/>
  <c r="J7" i="198"/>
  <c r="I7" i="198"/>
  <c r="P70" i="198" s="1"/>
  <c r="S70" i="198" s="1"/>
  <c r="H7" i="198"/>
  <c r="G7" i="198"/>
  <c r="Q28" i="198" s="1"/>
  <c r="R28" i="198" s="1"/>
  <c r="N9" i="196"/>
  <c r="N6" i="196"/>
  <c r="N7" i="196" s="1"/>
  <c r="N5" i="196"/>
  <c r="C13" i="195"/>
  <c r="D13" i="195"/>
  <c r="E13" i="195"/>
  <c r="B13" i="195"/>
  <c r="E14" i="195"/>
  <c r="D14" i="195"/>
  <c r="C14" i="195"/>
  <c r="B14" i="195"/>
  <c r="E12" i="195"/>
  <c r="D12" i="195"/>
  <c r="C12" i="195"/>
  <c r="B12" i="195"/>
  <c r="C41" i="192"/>
  <c r="C48" i="192" s="1"/>
  <c r="D41" i="192"/>
  <c r="D47" i="192" s="1"/>
  <c r="E41" i="192"/>
  <c r="E47" i="192" s="1"/>
  <c r="B41" i="192"/>
  <c r="B47" i="192" s="1"/>
  <c r="E42" i="192"/>
  <c r="D42" i="192"/>
  <c r="C42" i="192"/>
  <c r="B42" i="192"/>
  <c r="E32" i="194"/>
  <c r="E33" i="194" s="1"/>
  <c r="D32" i="194"/>
  <c r="D33" i="194" s="1"/>
  <c r="C32" i="194"/>
  <c r="C33" i="194" s="1"/>
  <c r="B32" i="194"/>
  <c r="B33" i="194" s="1"/>
  <c r="E30" i="194"/>
  <c r="E31" i="194" s="1"/>
  <c r="D30" i="194"/>
  <c r="D31" i="194" s="1"/>
  <c r="C30" i="194"/>
  <c r="C31" i="194" s="1"/>
  <c r="B30" i="194"/>
  <c r="B31" i="194" s="1"/>
  <c r="E29" i="194"/>
  <c r="D29" i="194"/>
  <c r="C29" i="194"/>
  <c r="B29" i="194"/>
  <c r="I20" i="194"/>
  <c r="I3" i="194"/>
  <c r="I10" i="194" s="1"/>
  <c r="C15" i="194"/>
  <c r="C16" i="194" s="1"/>
  <c r="D15" i="194"/>
  <c r="D16" i="194" s="1"/>
  <c r="E15" i="194"/>
  <c r="E16" i="194" s="1"/>
  <c r="B15" i="194"/>
  <c r="B16" i="194" s="1"/>
  <c r="C13" i="194"/>
  <c r="D13" i="194"/>
  <c r="D14" i="194" s="1"/>
  <c r="E13" i="194"/>
  <c r="E14" i="194" s="1"/>
  <c r="B13" i="194"/>
  <c r="C12" i="194"/>
  <c r="D12" i="194"/>
  <c r="E12" i="194"/>
  <c r="B12" i="194"/>
  <c r="C16" i="193"/>
  <c r="G8" i="193" s="1"/>
  <c r="D16" i="193"/>
  <c r="H9" i="193" s="1"/>
  <c r="C17" i="193"/>
  <c r="D17" i="193"/>
  <c r="B17" i="193"/>
  <c r="B16" i="193"/>
  <c r="F7" i="193" s="1"/>
  <c r="C15" i="192"/>
  <c r="D15" i="192"/>
  <c r="E15" i="192"/>
  <c r="B15" i="192"/>
  <c r="E14" i="192"/>
  <c r="D14" i="192"/>
  <c r="C14" i="192"/>
  <c r="B14" i="192"/>
  <c r="B21" i="192" l="1"/>
  <c r="B22" i="192"/>
  <c r="B23" i="192"/>
  <c r="B24" i="192"/>
  <c r="B25" i="192"/>
  <c r="B26" i="192"/>
  <c r="B27" i="192"/>
  <c r="B20" i="192"/>
  <c r="C21" i="192"/>
  <c r="C22" i="192"/>
  <c r="C23" i="192"/>
  <c r="C24" i="192"/>
  <c r="C25" i="192"/>
  <c r="C26" i="192"/>
  <c r="C27" i="192"/>
  <c r="C20" i="192"/>
  <c r="D20" i="192"/>
  <c r="D21" i="192"/>
  <c r="D22" i="192"/>
  <c r="D23" i="192"/>
  <c r="D24" i="192"/>
  <c r="D25" i="192"/>
  <c r="D26" i="192"/>
  <c r="D27" i="192"/>
  <c r="E20" i="192"/>
  <c r="E23" i="192"/>
  <c r="E25" i="192"/>
  <c r="E21" i="192"/>
  <c r="E22" i="192"/>
  <c r="E24" i="192"/>
  <c r="E26" i="192"/>
  <c r="E27" i="192"/>
  <c r="C81" i="192"/>
  <c r="C80" i="192"/>
  <c r="C79" i="192"/>
  <c r="C78" i="192"/>
  <c r="C77" i="192"/>
  <c r="C76" i="192"/>
  <c r="C75" i="192"/>
  <c r="C74" i="192"/>
  <c r="D81" i="192"/>
  <c r="D80" i="192"/>
  <c r="D79" i="192"/>
  <c r="D78" i="192"/>
  <c r="D77" i="192"/>
  <c r="D76" i="192"/>
  <c r="D75" i="192"/>
  <c r="D74" i="192"/>
  <c r="E81" i="192"/>
  <c r="E80" i="192"/>
  <c r="E79" i="192"/>
  <c r="E78" i="192"/>
  <c r="E77" i="192"/>
  <c r="E76" i="192"/>
  <c r="E75" i="192"/>
  <c r="E74" i="192"/>
  <c r="B81" i="192"/>
  <c r="B80" i="192"/>
  <c r="B79" i="192"/>
  <c r="B78" i="192"/>
  <c r="B77" i="192"/>
  <c r="B76" i="192"/>
  <c r="B75" i="192"/>
  <c r="B74" i="192"/>
  <c r="Q91" i="198"/>
  <c r="R91" i="198" s="1"/>
  <c r="B54" i="192"/>
  <c r="E53" i="192"/>
  <c r="E52" i="192"/>
  <c r="E48" i="192"/>
  <c r="B50" i="192"/>
  <c r="E49" i="192"/>
  <c r="B51" i="192"/>
  <c r="D52" i="192"/>
  <c r="D48" i="192"/>
  <c r="F13" i="194"/>
  <c r="F15" i="194" s="1"/>
  <c r="F16" i="194" s="1"/>
  <c r="I4" i="194" s="1"/>
  <c r="D54" i="192"/>
  <c r="B53" i="192"/>
  <c r="E51" i="192"/>
  <c r="D50" i="192"/>
  <c r="B49" i="192"/>
  <c r="Q94" i="198"/>
  <c r="R94" i="198" s="1"/>
  <c r="D51" i="192"/>
  <c r="Q92" i="198"/>
  <c r="R92" i="198" s="1"/>
  <c r="E54" i="192"/>
  <c r="D53" i="192"/>
  <c r="B52" i="192"/>
  <c r="E50" i="192"/>
  <c r="D49" i="192"/>
  <c r="B48" i="192"/>
  <c r="Q93" i="198"/>
  <c r="R93" i="198" s="1"/>
  <c r="C47" i="192"/>
  <c r="S59" i="198"/>
  <c r="P91" i="198"/>
  <c r="S91" i="198" s="1"/>
  <c r="P92" i="198"/>
  <c r="S92" i="198" s="1"/>
  <c r="P93" i="198"/>
  <c r="S93" i="198" s="1"/>
  <c r="P94" i="198"/>
  <c r="S94" i="198" s="1"/>
  <c r="G6" i="193"/>
  <c r="S63" i="198"/>
  <c r="G13" i="193"/>
  <c r="G9" i="193"/>
  <c r="C54" i="192"/>
  <c r="C53" i="192"/>
  <c r="C52" i="192"/>
  <c r="C51" i="192"/>
  <c r="C50" i="192"/>
  <c r="C49" i="192"/>
  <c r="S42" i="198"/>
  <c r="S84" i="198"/>
  <c r="S105" i="198"/>
  <c r="S17" i="198"/>
  <c r="S21" i="198"/>
  <c r="F14" i="195"/>
  <c r="N8" i="196"/>
  <c r="N10" i="196" s="1"/>
  <c r="S38" i="198"/>
  <c r="S80" i="198"/>
  <c r="P8" i="198"/>
  <c r="S8" i="198" s="1"/>
  <c r="P50" i="198"/>
  <c r="S50" i="198" s="1"/>
  <c r="Q29" i="198"/>
  <c r="R29" i="198" s="1"/>
  <c r="Q8" i="198"/>
  <c r="R8" i="198" s="1"/>
  <c r="Q50" i="198"/>
  <c r="R50" i="198" s="1"/>
  <c r="P71" i="198"/>
  <c r="S71" i="198" s="1"/>
  <c r="P31" i="198"/>
  <c r="S31" i="198" s="1"/>
  <c r="Q52" i="198"/>
  <c r="R52" i="198" s="1"/>
  <c r="P73" i="198"/>
  <c r="S73" i="198" s="1"/>
  <c r="P10" i="198"/>
  <c r="S10" i="198" s="1"/>
  <c r="Q31" i="198"/>
  <c r="R31" i="198" s="1"/>
  <c r="Q73" i="198"/>
  <c r="R73" i="198" s="1"/>
  <c r="Q30" i="198"/>
  <c r="R30" i="198" s="1"/>
  <c r="P51" i="198"/>
  <c r="S51" i="198" s="1"/>
  <c r="Q9" i="198"/>
  <c r="R9" i="198" s="1"/>
  <c r="Q51" i="198"/>
  <c r="R51" i="198" s="1"/>
  <c r="P9" i="198"/>
  <c r="S9" i="198" s="1"/>
  <c r="P72" i="198"/>
  <c r="S72" i="198" s="1"/>
  <c r="Q7" i="198"/>
  <c r="R7" i="198" s="1"/>
  <c r="P7" i="198"/>
  <c r="S7" i="198" s="1"/>
  <c r="P28" i="198"/>
  <c r="S28" i="198" s="1"/>
  <c r="Q49" i="198"/>
  <c r="R49" i="198" s="1"/>
  <c r="Q70" i="198"/>
  <c r="R70" i="198" s="1"/>
  <c r="P49" i="198"/>
  <c r="S49" i="198" s="1"/>
  <c r="R10" i="198"/>
  <c r="G16" i="198"/>
  <c r="G15" i="198" s="1"/>
  <c r="I15" i="198" s="1"/>
  <c r="H16" i="198"/>
  <c r="P99" i="198" s="1"/>
  <c r="I18" i="198"/>
  <c r="F13" i="195"/>
  <c r="F30" i="194"/>
  <c r="I27" i="194"/>
  <c r="C14" i="194"/>
  <c r="B14" i="194"/>
  <c r="H14" i="193"/>
  <c r="F12" i="193"/>
  <c r="H10" i="193"/>
  <c r="F8" i="193"/>
  <c r="H15" i="193"/>
  <c r="G14" i="193"/>
  <c r="F13" i="193"/>
  <c r="H11" i="193"/>
  <c r="G10" i="193"/>
  <c r="F9" i="193"/>
  <c r="H7" i="193"/>
  <c r="F6" i="193"/>
  <c r="G15" i="193"/>
  <c r="F14" i="193"/>
  <c r="H12" i="193"/>
  <c r="G11" i="193"/>
  <c r="F10" i="193"/>
  <c r="H8" i="193"/>
  <c r="G7" i="193"/>
  <c r="H6" i="193"/>
  <c r="F15" i="193"/>
  <c r="H13" i="193"/>
  <c r="G12" i="193"/>
  <c r="F11" i="193"/>
  <c r="Q7" i="187"/>
  <c r="Q8" i="187"/>
  <c r="Q9" i="187"/>
  <c r="Q6" i="187"/>
  <c r="P7" i="187"/>
  <c r="R7" i="187" s="1"/>
  <c r="P8" i="187"/>
  <c r="P9" i="187"/>
  <c r="P6" i="187"/>
  <c r="N5" i="188"/>
  <c r="N6" i="188"/>
  <c r="N4" i="188"/>
  <c r="F12" i="188"/>
  <c r="C12" i="188"/>
  <c r="D12" i="188"/>
  <c r="E12" i="188"/>
  <c r="B12" i="188"/>
  <c r="O10" i="186"/>
  <c r="F15" i="186"/>
  <c r="J7" i="186"/>
  <c r="G15" i="186"/>
  <c r="J9" i="186"/>
  <c r="I9" i="186"/>
  <c r="H9" i="186"/>
  <c r="O9" i="186" s="1"/>
  <c r="N9" i="186"/>
  <c r="J8" i="186"/>
  <c r="I8" i="186"/>
  <c r="H8" i="186"/>
  <c r="O8" i="186" s="1"/>
  <c r="N8" i="186"/>
  <c r="I7" i="186"/>
  <c r="H7" i="186"/>
  <c r="O7" i="186" s="1"/>
  <c r="N7" i="186"/>
  <c r="R6" i="187" l="1"/>
  <c r="R9" i="187"/>
  <c r="B13" i="188"/>
  <c r="H5" i="188" s="1"/>
  <c r="F14" i="194"/>
  <c r="I5" i="194" s="1"/>
  <c r="I6" i="194" s="1"/>
  <c r="F15" i="195"/>
  <c r="F16" i="195" s="1"/>
  <c r="P10" i="186"/>
  <c r="F14" i="186"/>
  <c r="H13" i="186" s="1"/>
  <c r="R95" i="198"/>
  <c r="G14" i="186"/>
  <c r="K13" i="186" s="1"/>
  <c r="C13" i="188"/>
  <c r="I9" i="188" s="1"/>
  <c r="E13" i="188"/>
  <c r="K4" i="188" s="1"/>
  <c r="D13" i="188"/>
  <c r="J5" i="188" s="1"/>
  <c r="R8" i="187"/>
  <c r="R10" i="187" s="1"/>
  <c r="S95" i="198"/>
  <c r="P103" i="198"/>
  <c r="S103" i="198" s="1"/>
  <c r="S99" i="198"/>
  <c r="P107" i="198"/>
  <c r="S107" i="198" s="1"/>
  <c r="P10" i="187"/>
  <c r="S32" i="198"/>
  <c r="R32" i="198"/>
  <c r="S74" i="198"/>
  <c r="R74" i="198"/>
  <c r="S53" i="198"/>
  <c r="R53" i="198"/>
  <c r="P78" i="198"/>
  <c r="P57" i="198"/>
  <c r="P15" i="198"/>
  <c r="P36" i="198"/>
  <c r="L15" i="198"/>
  <c r="S11" i="198"/>
  <c r="I16" i="198"/>
  <c r="R11" i="198"/>
  <c r="P26" i="197"/>
  <c r="S26" i="197" s="1"/>
  <c r="F32" i="194"/>
  <c r="F33" i="194" s="1"/>
  <c r="I21" i="194" s="1"/>
  <c r="F31" i="194"/>
  <c r="I22" i="194" s="1"/>
  <c r="N7" i="188"/>
  <c r="H15" i="186"/>
  <c r="I9" i="194" l="1"/>
  <c r="I11" i="194" s="1"/>
  <c r="D22" i="195"/>
  <c r="I22" i="195" s="1"/>
  <c r="B21" i="195"/>
  <c r="G21" i="195" s="1"/>
  <c r="H7" i="188"/>
  <c r="H10" i="188"/>
  <c r="H11" i="188"/>
  <c r="H6" i="188"/>
  <c r="H8" i="188"/>
  <c r="H4" i="188"/>
  <c r="H9" i="188"/>
  <c r="F13" i="188"/>
  <c r="K5" i="188"/>
  <c r="J8" i="188"/>
  <c r="I4" i="188"/>
  <c r="B24" i="195"/>
  <c r="G24" i="195" s="1"/>
  <c r="D25" i="195"/>
  <c r="I25" i="195" s="1"/>
  <c r="D27" i="195"/>
  <c r="I27" i="195" s="1"/>
  <c r="B28" i="195"/>
  <c r="G28" i="195" s="1"/>
  <c r="D21" i="195"/>
  <c r="I21" i="195" s="1"/>
  <c r="E22" i="195"/>
  <c r="J22" i="195" s="1"/>
  <c r="N99" i="198"/>
  <c r="N103" i="198" s="1"/>
  <c r="E28" i="195"/>
  <c r="J28" i="195" s="1"/>
  <c r="C25" i="195"/>
  <c r="H25" i="195" s="1"/>
  <c r="E27" i="195"/>
  <c r="J27" i="195" s="1"/>
  <c r="E25" i="195"/>
  <c r="J25" i="195" s="1"/>
  <c r="C22" i="195"/>
  <c r="H22" i="195" s="1"/>
  <c r="D26" i="195"/>
  <c r="I26" i="195" s="1"/>
  <c r="C28" i="195"/>
  <c r="H28" i="195" s="1"/>
  <c r="C23" i="195"/>
  <c r="H23" i="195" s="1"/>
  <c r="B27" i="195"/>
  <c r="G27" i="195" s="1"/>
  <c r="B23" i="195"/>
  <c r="G23" i="195" s="1"/>
  <c r="E26" i="195"/>
  <c r="J26" i="195" s="1"/>
  <c r="E23" i="195"/>
  <c r="J23" i="195" s="1"/>
  <c r="C24" i="195"/>
  <c r="H24" i="195" s="1"/>
  <c r="D24" i="195"/>
  <c r="I24" i="195" s="1"/>
  <c r="C27" i="195"/>
  <c r="H27" i="195" s="1"/>
  <c r="B22" i="195"/>
  <c r="G22" i="195" s="1"/>
  <c r="B26" i="195"/>
  <c r="G26" i="195" s="1"/>
  <c r="E24" i="195"/>
  <c r="J24" i="195" s="1"/>
  <c r="D28" i="195"/>
  <c r="I28" i="195" s="1"/>
  <c r="E21" i="195"/>
  <c r="J21" i="195" s="1"/>
  <c r="D23" i="195"/>
  <c r="I23" i="195" s="1"/>
  <c r="C26" i="195"/>
  <c r="H26" i="195" s="1"/>
  <c r="C21" i="195"/>
  <c r="H21" i="195" s="1"/>
  <c r="B25" i="195"/>
  <c r="G25" i="195" s="1"/>
  <c r="I7" i="188"/>
  <c r="J10" i="188"/>
  <c r="J9" i="188"/>
  <c r="J4" i="188"/>
  <c r="I8" i="188"/>
  <c r="I5" i="188"/>
  <c r="J7" i="188"/>
  <c r="J6" i="188"/>
  <c r="I11" i="188"/>
  <c r="I6" i="188"/>
  <c r="K9" i="188"/>
  <c r="J11" i="188"/>
  <c r="I10" i="188"/>
  <c r="K7" i="188"/>
  <c r="K11" i="188"/>
  <c r="K8" i="188"/>
  <c r="H14" i="186"/>
  <c r="I13" i="186" s="1"/>
  <c r="J13" i="186" s="1"/>
  <c r="K6" i="188"/>
  <c r="K10" i="188"/>
  <c r="T10" i="187"/>
  <c r="N36" i="198"/>
  <c r="N40" i="198" s="1"/>
  <c r="N78" i="198"/>
  <c r="P65" i="198"/>
  <c r="S65" i="198" s="1"/>
  <c r="S57" i="198"/>
  <c r="P61" i="198"/>
  <c r="S61" i="198" s="1"/>
  <c r="N15" i="198"/>
  <c r="N19" i="198" s="1"/>
  <c r="N57" i="198"/>
  <c r="S78" i="198"/>
  <c r="P82" i="198"/>
  <c r="S82" i="198" s="1"/>
  <c r="P86" i="198"/>
  <c r="S86" i="198" s="1"/>
  <c r="P19" i="198"/>
  <c r="S19" i="198" s="1"/>
  <c r="S15" i="198"/>
  <c r="P23" i="198"/>
  <c r="S23" i="198" s="1"/>
  <c r="P40" i="198"/>
  <c r="S40" i="198" s="1"/>
  <c r="S36" i="198"/>
  <c r="P44" i="198"/>
  <c r="S44" i="198" s="1"/>
  <c r="J15" i="198"/>
  <c r="K15" i="198" s="1"/>
  <c r="N26" i="197"/>
  <c r="I23" i="194"/>
  <c r="I26" i="194" s="1"/>
  <c r="I28" i="194" s="1"/>
  <c r="H12" i="188" l="1"/>
  <c r="N107" i="198"/>
  <c r="U107" i="198" s="1"/>
  <c r="T99" i="198"/>
  <c r="U78" i="198"/>
  <c r="U99" i="198"/>
  <c r="O99" i="198"/>
  <c r="O107" i="198" s="1"/>
  <c r="Q107" i="198" s="1"/>
  <c r="R107" i="198" s="1"/>
  <c r="U19" i="198"/>
  <c r="J12" i="188"/>
  <c r="I12" i="188"/>
  <c r="N3" i="188"/>
  <c r="T57" i="198"/>
  <c r="T40" i="198"/>
  <c r="O26" i="197"/>
  <c r="T26" i="197"/>
  <c r="U26" i="197"/>
  <c r="U57" i="198"/>
  <c r="T19" i="198"/>
  <c r="U103" i="198"/>
  <c r="T103" i="198"/>
  <c r="U40" i="198"/>
  <c r="T36" i="198"/>
  <c r="U36" i="198"/>
  <c r="T78" i="198"/>
  <c r="T15" i="198"/>
  <c r="O36" i="198"/>
  <c r="N44" i="198"/>
  <c r="O15" i="198"/>
  <c r="U15" i="198"/>
  <c r="N23" i="198"/>
  <c r="O57" i="198"/>
  <c r="N65" i="198"/>
  <c r="N61" i="198"/>
  <c r="N82" i="198"/>
  <c r="O78" i="198"/>
  <c r="N86" i="198"/>
  <c r="K12" i="188"/>
  <c r="T107" i="198" l="1"/>
  <c r="O23" i="198"/>
  <c r="Q23" i="198" s="1"/>
  <c r="Q15" i="198"/>
  <c r="R15" i="198" s="1"/>
  <c r="Q26" i="197"/>
  <c r="R26" i="197" s="1"/>
  <c r="O103" i="198"/>
  <c r="Q103" i="198" s="1"/>
  <c r="R103" i="198" s="1"/>
  <c r="Q99" i="198"/>
  <c r="R99" i="198" s="1"/>
  <c r="U82" i="198"/>
  <c r="T82" i="198"/>
  <c r="T23" i="198"/>
  <c r="U23" i="198"/>
  <c r="T61" i="198"/>
  <c r="U61" i="198"/>
  <c r="U86" i="198"/>
  <c r="T86" i="198"/>
  <c r="U65" i="198"/>
  <c r="T65" i="198"/>
  <c r="U44" i="198"/>
  <c r="T44" i="198"/>
  <c r="O40" i="198"/>
  <c r="Q40" i="198" s="1"/>
  <c r="R40" i="198" s="1"/>
  <c r="O44" i="198"/>
  <c r="Q44" i="198" s="1"/>
  <c r="R44" i="198" s="1"/>
  <c r="Q36" i="198"/>
  <c r="R36" i="198" s="1"/>
  <c r="O19" i="198"/>
  <c r="O86" i="198"/>
  <c r="Q86" i="198" s="1"/>
  <c r="R86" i="198" s="1"/>
  <c r="Q78" i="198"/>
  <c r="R78" i="198" s="1"/>
  <c r="O82" i="198"/>
  <c r="Q82" i="198" s="1"/>
  <c r="R82" i="198" s="1"/>
  <c r="O61" i="198"/>
  <c r="Q61" i="198" s="1"/>
  <c r="R61" i="198" s="1"/>
  <c r="O65" i="198"/>
  <c r="Q65" i="198" s="1"/>
  <c r="R65" i="198" s="1"/>
  <c r="Q57" i="198"/>
  <c r="R57" i="198" s="1"/>
  <c r="Q19" i="198" l="1"/>
  <c r="R19" i="198" s="1"/>
  <c r="R23" i="198"/>
  <c r="I18" i="214" l="1"/>
  <c r="I17" i="214"/>
  <c r="I19" i="214"/>
  <c r="I16" i="214"/>
  <c r="I21" i="214" l="1"/>
  <c r="Q38" i="214"/>
  <c r="Q37" i="214"/>
  <c r="Q30" i="214"/>
  <c r="Q31" i="214"/>
  <c r="Q32" i="214"/>
  <c r="Q34" i="214"/>
  <c r="Q35" i="214"/>
  <c r="Q36" i="214"/>
  <c r="Q29" i="214"/>
  <c r="Q33" i="2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<sst xmlns="http://schemas.openxmlformats.org/spreadsheetml/2006/main" count="5932" uniqueCount="894">
  <si>
    <t>Table of Contents</t>
  </si>
  <si>
    <t>Total</t>
  </si>
  <si>
    <t>f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</si>
  <si>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</si>
  <si>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</si>
  <si>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</si>
  <si>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</si>
  <si>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</si>
  <si>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</si>
  <si>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</si>
  <si>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</si>
  <si>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</si>
  <si>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</si>
  <si>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</si>
  <si>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</si>
  <si>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</si>
  <si>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</si>
  <si>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</si>
  <si>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</si>
  <si>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</si>
  <si>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</si>
  <si>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</si>
  <si>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</si>
  <si>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</si>
  <si>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</si>
  <si>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freq</t>
  </si>
  <si>
    <t>lower</t>
  </si>
  <si>
    <t>upper</t>
  </si>
  <si>
    <t>n</t>
  </si>
  <si>
    <t>More</t>
  </si>
  <si>
    <t>Power</t>
  </si>
  <si>
    <t>Alpha</t>
  </si>
  <si>
    <t>Score</t>
  </si>
  <si>
    <t>Method 1</t>
  </si>
  <si>
    <t>Method 2</t>
  </si>
  <si>
    <t>a</t>
  </si>
  <si>
    <t>b</t>
  </si>
  <si>
    <t>c</t>
  </si>
  <si>
    <t>d</t>
  </si>
  <si>
    <t>row</t>
  </si>
  <si>
    <t>Method 3</t>
  </si>
  <si>
    <t>Method 4</t>
  </si>
  <si>
    <t>α</t>
  </si>
  <si>
    <t>Min</t>
  </si>
  <si>
    <t>Q1-Min</t>
  </si>
  <si>
    <t>Med-Q1</t>
  </si>
  <si>
    <t>Q3-Med</t>
  </si>
  <si>
    <t>Max-Q3</t>
  </si>
  <si>
    <t>k</t>
  </si>
  <si>
    <t>Std Dev</t>
  </si>
  <si>
    <t>Std Err</t>
  </si>
  <si>
    <t>df</t>
  </si>
  <si>
    <t>SUMMARY</t>
  </si>
  <si>
    <t>t</t>
  </si>
  <si>
    <t>Cohen d</t>
  </si>
  <si>
    <t>T TEST</t>
  </si>
  <si>
    <t>p-value</t>
  </si>
  <si>
    <t>t-crit</t>
  </si>
  <si>
    <t>Raw data</t>
  </si>
  <si>
    <t>New</t>
  </si>
  <si>
    <t>Old</t>
  </si>
  <si>
    <t>Groups</t>
  </si>
  <si>
    <t>Variance</t>
  </si>
  <si>
    <t>Observations</t>
  </si>
  <si>
    <t>t Stat</t>
  </si>
  <si>
    <t>Control</t>
  </si>
  <si>
    <t>Drug</t>
  </si>
  <si>
    <t>t-stat</t>
  </si>
  <si>
    <t>p</t>
  </si>
  <si>
    <t>Sample</t>
  </si>
  <si>
    <t>alpha</t>
  </si>
  <si>
    <t>chi-sq</t>
  </si>
  <si>
    <t>Female</t>
  </si>
  <si>
    <t>x-crit</t>
  </si>
  <si>
    <t>P-value</t>
  </si>
  <si>
    <t>r</t>
  </si>
  <si>
    <t>Effect size</t>
  </si>
  <si>
    <t>Male</t>
  </si>
  <si>
    <t>B</t>
  </si>
  <si>
    <t>C</t>
  </si>
  <si>
    <t>D</t>
  </si>
  <si>
    <t>E</t>
  </si>
  <si>
    <t>F</t>
  </si>
  <si>
    <t>Rows</t>
  </si>
  <si>
    <t>y</t>
  </si>
  <si>
    <t>std error</t>
  </si>
  <si>
    <t>A</t>
  </si>
  <si>
    <t>count</t>
  </si>
  <si>
    <t>SS</t>
  </si>
  <si>
    <t>Chi-sq</t>
  </si>
  <si>
    <t>Transformations - Log</t>
  </si>
  <si>
    <t>Regression</t>
  </si>
  <si>
    <t>MS</t>
  </si>
  <si>
    <t>T</t>
  </si>
  <si>
    <t>F-crit</t>
  </si>
  <si>
    <t>Confidence interval</t>
  </si>
  <si>
    <t>R Square</t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</si>
  <si>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</si>
  <si>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</si>
  <si>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</si>
  <si>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</si>
  <si>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</si>
  <si>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</si>
  <si>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</si>
  <si>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</si>
  <si>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</si>
  <si>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</si>
  <si>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</si>
  <si>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Men</t>
  </si>
  <si>
    <t>Women</t>
  </si>
  <si>
    <t>Lower</t>
  </si>
  <si>
    <t>Upper</t>
  </si>
  <si>
    <t>Quality</t>
  </si>
  <si>
    <t>b1</t>
  </si>
  <si>
    <t>b2</t>
  </si>
  <si>
    <t>b0</t>
  </si>
  <si>
    <t>b3</t>
  </si>
  <si>
    <t>df1</t>
  </si>
  <si>
    <t>df2</t>
  </si>
  <si>
    <t>s.e.</t>
  </si>
  <si>
    <t>Interaction</t>
  </si>
  <si>
    <t>x̄</t>
  </si>
  <si>
    <t>Flavor 1</t>
  </si>
  <si>
    <t>Flavor 2</t>
  </si>
  <si>
    <t>Flavor 3</t>
  </si>
  <si>
    <t>One-way ANOVA</t>
  </si>
  <si>
    <t>ANOVA: Single Factor</t>
  </si>
  <si>
    <t>DESCRIPTION</t>
  </si>
  <si>
    <t>Sources</t>
  </si>
  <si>
    <t>P value</t>
  </si>
  <si>
    <t xml:space="preserve"> F crit</t>
  </si>
  <si>
    <t>Between Groups</t>
  </si>
  <si>
    <t>Within Groups</t>
  </si>
  <si>
    <t>Anova: Single Factor</t>
  </si>
  <si>
    <t>Average</t>
  </si>
  <si>
    <t>Source of Variation</t>
  </si>
  <si>
    <t>F crit</t>
  </si>
  <si>
    <t>SS for Between Groups</t>
  </si>
  <si>
    <r>
      <t>a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</si>
  <si>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</si>
  <si>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</si>
  <si>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</si>
  <si>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</si>
  <si>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</si>
  <si>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</si>
  <si>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</si>
  <si>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</si>
  <si>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</si>
  <si>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Error terms</t>
  </si>
  <si>
    <r>
      <t>Var(e</t>
    </r>
    <r>
      <rPr>
        <sz val="11"/>
        <color theme="1"/>
        <rFont val="Calibri"/>
        <family val="2"/>
        <scheme val="minor"/>
      </rPr>
      <t>)</t>
    </r>
  </si>
  <si>
    <r>
      <t>MS</t>
    </r>
    <r>
      <rPr>
        <vertAlign val="subscript"/>
        <sz val="11"/>
        <color theme="1"/>
        <rFont val="Calibri"/>
        <family val="2"/>
        <scheme val="minor"/>
      </rPr>
      <t>W</t>
    </r>
  </si>
  <si>
    <t xml:space="preserve">k </t>
  </si>
  <si>
    <r>
      <t>(n-k)/(n-1) MS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</si>
  <si>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t>MSW - alternative approach</t>
  </si>
  <si>
    <t>df ∙ Var</t>
  </si>
  <si>
    <t>MSW</t>
  </si>
  <si>
    <t>Single Factor ANOVA</t>
  </si>
  <si>
    <t>Levene's test for homogeneity of variances</t>
  </si>
  <si>
    <r>
      <t>s</t>
    </r>
    <r>
      <rPr>
        <i/>
        <vertAlign val="subscript"/>
        <sz val="11"/>
        <color theme="1"/>
        <rFont val="Calibri"/>
        <family val="2"/>
        <scheme val="minor"/>
      </rPr>
      <t>j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</si>
  <si>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Test of means</t>
  </si>
  <si>
    <t>Absolute value of residuals</t>
  </si>
  <si>
    <t>Bartlett's test for homogeneity of variances</t>
  </si>
  <si>
    <t>1/df</t>
  </si>
  <si>
    <t>ln(var)</t>
  </si>
  <si>
    <t>Error (W)</t>
  </si>
  <si>
    <t>B-num</t>
  </si>
  <si>
    <t>B-den</t>
  </si>
  <si>
    <t xml:space="preserve">B-crit </t>
  </si>
  <si>
    <t>Test with revised data</t>
  </si>
  <si>
    <t>med</t>
  </si>
  <si>
    <t>Outliers</t>
  </si>
  <si>
    <r>
      <t>df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</si>
  <si>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Standardized value of residuals</t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</si>
  <si>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</si>
  <si>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t>Planned comparisons</t>
  </si>
  <si>
    <t>c^2/n</t>
  </si>
  <si>
    <t>T-TEST</t>
  </si>
  <si>
    <t>cx̄</t>
  </si>
  <si>
    <t>CONTRAST</t>
  </si>
  <si>
    <t xml:space="preserve">CONTRAST </t>
  </si>
  <si>
    <r>
      <t>x̄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x̄</t>
    </r>
    <r>
      <rPr>
        <vertAlign val="subscript"/>
        <sz val="11"/>
        <color theme="1"/>
        <rFont val="Calibri"/>
        <family val="2"/>
        <scheme val="minor"/>
      </rPr>
      <t>2</t>
    </r>
  </si>
  <si>
    <r>
      <t>df</t>
    </r>
    <r>
      <rPr>
        <vertAlign val="subscript"/>
        <sz val="11"/>
        <color theme="1"/>
        <rFont val="Calibri"/>
        <family val="2"/>
        <scheme val="minor"/>
      </rPr>
      <t>W</t>
    </r>
  </si>
  <si>
    <t>Men Drug</t>
  </si>
  <si>
    <t>Men Control</t>
  </si>
  <si>
    <t>Women Drug</t>
  </si>
  <si>
    <t>Women Control</t>
  </si>
  <si>
    <t>Wom Drug</t>
  </si>
  <si>
    <t>Wom Control</t>
  </si>
  <si>
    <t>sig</t>
  </si>
  <si>
    <t xml:space="preserve">Dunn/Sidák </t>
  </si>
  <si>
    <t>Bonferroni</t>
  </si>
  <si>
    <t>Tukey HSD post-hoc test</t>
  </si>
  <si>
    <t xml:space="preserve">Unplanned Comparisons </t>
  </si>
  <si>
    <t>Tukey's HSD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</si>
  <si>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WC</t>
    </r>
  </si>
  <si>
    <t>q-crit</t>
  </si>
  <si>
    <t>t-crit adj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</si>
  <si>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MC</t>
    </r>
  </si>
  <si>
    <t>Q Test Table Lookup</t>
  </si>
  <si>
    <t>REGWQ</t>
  </si>
  <si>
    <t>REGWQ post-hoc test</t>
  </si>
  <si>
    <t>MD - MC</t>
  </si>
  <si>
    <t>MD - WD</t>
  </si>
  <si>
    <t>MD - WC</t>
  </si>
  <si>
    <t>MC - WD</t>
  </si>
  <si>
    <t>MC - WC</t>
  </si>
  <si>
    <t>WD - WC</t>
  </si>
  <si>
    <t>Contrast</t>
  </si>
  <si>
    <t>diff-crit</t>
  </si>
  <si>
    <r>
      <t>α</t>
    </r>
    <r>
      <rPr>
        <vertAlign val="subscript"/>
        <sz val="11"/>
        <color theme="1"/>
        <rFont val="Calibri"/>
        <family val="2"/>
      </rPr>
      <t>p</t>
    </r>
  </si>
  <si>
    <t>Scheffé's post-hoc test</t>
  </si>
  <si>
    <t>F-stat</t>
  </si>
  <si>
    <t>dfB</t>
  </si>
  <si>
    <t>dfW</t>
  </si>
  <si>
    <t>Scheffé's Test</t>
  </si>
  <si>
    <t>ANOVA using Regression</t>
  </si>
  <si>
    <t>Model with Dummy Variables</t>
  </si>
  <si>
    <t>t1</t>
  </si>
  <si>
    <t>t2</t>
  </si>
  <si>
    <t>Analysis of means</t>
  </si>
  <si>
    <t>grp effect</t>
  </si>
  <si>
    <t>Brown-Forsythe F* Test</t>
  </si>
  <si>
    <t>m</t>
  </si>
  <si>
    <t>df*</t>
  </si>
  <si>
    <t>Brown-Forsythe F*</t>
  </si>
  <si>
    <t>m-num</t>
  </si>
  <si>
    <t>F-parts</t>
  </si>
  <si>
    <r>
      <t>ω</t>
    </r>
    <r>
      <rPr>
        <vertAlign val="superscript"/>
        <sz val="11"/>
        <color theme="1"/>
        <rFont val="Calibri"/>
        <family val="2"/>
      </rPr>
      <t>2</t>
    </r>
  </si>
  <si>
    <t>Log Transform</t>
  </si>
  <si>
    <t>median</t>
  </si>
  <si>
    <t>Residuals from median</t>
  </si>
  <si>
    <t>Levene's Test (Raw data)</t>
  </si>
  <si>
    <t>Levene's Test (Log transformation)</t>
  </si>
  <si>
    <t>Single Factor ANOVA with Contrasts</t>
  </si>
  <si>
    <t>Single Factor ANOVA with Pairwise Comparison</t>
  </si>
  <si>
    <t>Levene's test on means (extra example)</t>
  </si>
  <si>
    <t>Anova: Two-Factor Without Replication</t>
  </si>
  <si>
    <t>Error</t>
  </si>
  <si>
    <t>Columns</t>
  </si>
  <si>
    <t>Wheat</t>
  </si>
  <si>
    <t>Corn</t>
  </si>
  <si>
    <t>Soy</t>
  </si>
  <si>
    <t>Blend X</t>
  </si>
  <si>
    <t>Blend Y</t>
  </si>
  <si>
    <t>Blend Z</t>
  </si>
  <si>
    <t>Rice</t>
  </si>
  <si>
    <t>Two Factor ANOVA without replication</t>
  </si>
  <si>
    <t>Two-way ANOVA</t>
  </si>
  <si>
    <t>Anova: Two-Factor With Replication</t>
  </si>
  <si>
    <t>Within</t>
  </si>
  <si>
    <t>Crop</t>
  </si>
  <si>
    <t>Fertilizer</t>
  </si>
  <si>
    <t>COLUMNS (CROP)</t>
  </si>
  <si>
    <t>ROWS(FERTLIZER)</t>
  </si>
  <si>
    <t>Fertilizer (Rows)</t>
  </si>
  <si>
    <t>Crop (Columns)</t>
  </si>
  <si>
    <t>Yield</t>
  </si>
  <si>
    <t>SSW</t>
  </si>
  <si>
    <t>Means</t>
  </si>
  <si>
    <t>MEAN</t>
  </si>
  <si>
    <t>Formulas for SS terms</t>
  </si>
  <si>
    <t>=DEVSQ(J17:J19)/I17</t>
  </si>
  <si>
    <t>=DEVSQ(J21:J24)/I21</t>
  </si>
  <si>
    <t>=P10-P5-P6-P8</t>
  </si>
  <si>
    <t>=SUM(M4:M15)</t>
  </si>
  <si>
    <t>=DEVSQ(C4:G15)</t>
  </si>
  <si>
    <t xml:space="preserve">Alternative way of calculating SSW </t>
  </si>
  <si>
    <t>SSBet</t>
  </si>
  <si>
    <t>SST</t>
  </si>
  <si>
    <t>Gender</t>
  </si>
  <si>
    <t>Sample Scores</t>
  </si>
  <si>
    <t>A x B</t>
  </si>
  <si>
    <t>AB-A-B</t>
  </si>
  <si>
    <t>A x C</t>
  </si>
  <si>
    <t>AC-A-C</t>
  </si>
  <si>
    <t>B x C</t>
  </si>
  <si>
    <t>BC-B-C</t>
  </si>
  <si>
    <t>A x B x C</t>
  </si>
  <si>
    <t>ABC-A-B-C-AB-BC-AC</t>
  </si>
  <si>
    <t>T - all</t>
  </si>
  <si>
    <t>A (Gender)</t>
  </si>
  <si>
    <t>Error (Within)</t>
  </si>
  <si>
    <t>3-way ANOVA</t>
  </si>
  <si>
    <t>AB Bet</t>
  </si>
  <si>
    <t>AC Bet</t>
  </si>
  <si>
    <t>BC Bet</t>
  </si>
  <si>
    <t>ABC Bet</t>
  </si>
  <si>
    <t>=DEVSQ(D4:O11)</t>
  </si>
  <si>
    <t>=DEVSQ(V9:V10)*Y6</t>
  </si>
  <si>
    <t>=DEVSQ(T11:U11)*Y7</t>
  </si>
  <si>
    <t>=DEVSQ(V19:V20)*Y8</t>
  </si>
  <si>
    <t>=DEVSQ(T9:U10)*Y9</t>
  </si>
  <si>
    <t>=Z9-Z6-Z7</t>
  </si>
  <si>
    <t>=DEVSQ(T14:U15)*Y11</t>
  </si>
  <si>
    <t>=Z11-Z6-Z8</t>
  </si>
  <si>
    <t>=DEVSQ(T19:U20)*Y13</t>
  </si>
  <si>
    <t>=Z13-Z7-Z8</t>
  </si>
  <si>
    <t>=DEVSQ(Q4:Q11)*Y15</t>
  </si>
  <si>
    <t>=Z15-Z6-Z7-Z8-Z10-Z12-Z14</t>
  </si>
  <si>
    <t>=Z5-Z6-Z7-Z8-Z10-Z12-Z14-Z16</t>
  </si>
  <si>
    <t>Formulas for SS</t>
  </si>
  <si>
    <t>Counts</t>
  </si>
  <si>
    <t>Country</t>
  </si>
  <si>
    <t>Italian</t>
  </si>
  <si>
    <t>Foreign</t>
  </si>
  <si>
    <t>B (Nationality)</t>
  </si>
  <si>
    <t>Position</t>
  </si>
  <si>
    <t>Seated</t>
  </si>
  <si>
    <t>Prone</t>
  </si>
  <si>
    <t>C (Position)</t>
  </si>
  <si>
    <t>Two Factor ANOVA with replication</t>
  </si>
  <si>
    <t>Two-way ANOVA using regression</t>
  </si>
  <si>
    <t>t3</t>
  </si>
  <si>
    <t>t1*t2</t>
  </si>
  <si>
    <t>t1*t3</t>
  </si>
  <si>
    <t>t1 = 1 if Blend X, = 0 otherwise</t>
  </si>
  <si>
    <t>t2 = 1 if Corn, = 0 otherwise</t>
  </si>
  <si>
    <t>t3 = 1 if Soy, = 0 otherwise</t>
  </si>
  <si>
    <t>Contrasts for two-way ANOVA</t>
  </si>
  <si>
    <t>Arm</t>
  </si>
  <si>
    <t>Foot</t>
  </si>
  <si>
    <t>Neck</t>
  </si>
  <si>
    <t>Cold</t>
  </si>
  <si>
    <t>Dry</t>
  </si>
  <si>
    <t>Humid</t>
  </si>
  <si>
    <t>Climate</t>
  </si>
  <si>
    <t>Body Location</t>
  </si>
  <si>
    <t>MAIN EFFECT (Body Location)</t>
  </si>
  <si>
    <t>MAIN EFFECT (Climate)</t>
  </si>
  <si>
    <t>SIMPLE EFFECT (Humid x Body Location)</t>
  </si>
  <si>
    <t>SIMPLE EFFECT (Foot x Climate)</t>
  </si>
  <si>
    <t xml:space="preserve"> Variation</t>
  </si>
  <si>
    <t>Anova: Single Factor (Simple Effect: Cold vs Body Location)</t>
  </si>
  <si>
    <t>Anova: Single Factor (Main Effect: Climate)</t>
  </si>
  <si>
    <t>Body Part</t>
  </si>
  <si>
    <t>Calculating coefficients from ANOVA</t>
  </si>
  <si>
    <t>b5</t>
  </si>
  <si>
    <t>b4</t>
  </si>
  <si>
    <t>MST</t>
  </si>
  <si>
    <t>R</t>
  </si>
  <si>
    <t>Regression (Row)</t>
  </si>
  <si>
    <t>Regression (Columns)</t>
  </si>
  <si>
    <t>t1 = 1 if Blend X, = -1 Blend Y</t>
  </si>
  <si>
    <t>t2 = 1 if Corn, -1 if Rice; = 0 otherwise</t>
  </si>
  <si>
    <t>t3 = 1 if Soy, -1 if Rice; = 0 otherwise</t>
  </si>
  <si>
    <t>Equally weighted means</t>
  </si>
  <si>
    <t>Calculation of coefficients</t>
  </si>
  <si>
    <t>α + β model</t>
  </si>
  <si>
    <t>α + αβ model</t>
  </si>
  <si>
    <t>β + αβ model</t>
  </si>
  <si>
    <t>Summary</t>
  </si>
  <si>
    <t>R Square x SST</t>
  </si>
  <si>
    <t>α+β+αβ</t>
  </si>
  <si>
    <t>α+αβ</t>
  </si>
  <si>
    <t>β+αβ</t>
  </si>
  <si>
    <t>α+β</t>
  </si>
  <si>
    <t>AB</t>
  </si>
  <si>
    <t>ANOVA Results</t>
  </si>
  <si>
    <t>Blend (Rows)</t>
  </si>
  <si>
    <t>SSReg</t>
  </si>
  <si>
    <t>dfReg</t>
  </si>
  <si>
    <t>Total (as sum)</t>
  </si>
  <si>
    <t>ω</t>
  </si>
  <si>
    <t>Homogeneity of variances</t>
  </si>
  <si>
    <t>Sample size</t>
  </si>
  <si>
    <t>dfE</t>
  </si>
  <si>
    <t>MSE</t>
  </si>
  <si>
    <t>%</t>
  </si>
  <si>
    <t>Var</t>
  </si>
  <si>
    <t>λ</t>
  </si>
  <si>
    <t>std err</t>
  </si>
  <si>
    <t>effect r</t>
  </si>
  <si>
    <t>num</t>
  </si>
  <si>
    <t>den</t>
  </si>
  <si>
    <t>W</t>
  </si>
  <si>
    <t>V</t>
  </si>
  <si>
    <t>variance</t>
  </si>
  <si>
    <t>prob</t>
  </si>
  <si>
    <t>rank sum</t>
  </si>
  <si>
    <t>Right</t>
  </si>
  <si>
    <t>Left</t>
  </si>
  <si>
    <t>crit</t>
  </si>
  <si>
    <t>β</t>
  </si>
  <si>
    <t>RMSSE</t>
  </si>
  <si>
    <t>Omega Sq</t>
  </si>
  <si>
    <t>ss</t>
  </si>
  <si>
    <t>Levene's test using group means</t>
  </si>
  <si>
    <t>Levene's test using group medians</t>
  </si>
  <si>
    <t>Calculation of elements of the regression model from the ANOVA results</t>
  </si>
  <si>
    <t>Calculation of omega square</t>
  </si>
  <si>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</si>
  <si>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>Kruskal-Wallis</t>
  </si>
  <si>
    <t>Ranking</t>
  </si>
  <si>
    <t>Rank Sums R</t>
  </si>
  <si>
    <t>Group Size n</t>
  </si>
  <si>
    <r>
      <t>R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/n</t>
    </r>
  </si>
  <si>
    <t>H</t>
  </si>
  <si>
    <t>R/n</t>
  </si>
  <si>
    <r>
      <rPr>
        <sz val="11"/>
        <color theme="1"/>
        <rFont val="Calibri"/>
        <family val="2"/>
      </rPr>
      <t>χ</t>
    </r>
    <r>
      <rPr>
        <vertAlign val="subscript"/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,k-1</t>
    </r>
  </si>
  <si>
    <t>diff</t>
  </si>
  <si>
    <t>New-Old</t>
  </si>
  <si>
    <t>New-Con</t>
  </si>
  <si>
    <t>Old-Con</t>
  </si>
  <si>
    <t>SSB - alternative approach</t>
  </si>
  <si>
    <t>F*</t>
  </si>
  <si>
    <t/>
  </si>
  <si>
    <t xml:space="preserve">Reformatted </t>
  </si>
  <si>
    <t>Interaction Table</t>
  </si>
  <si>
    <t>Source</t>
  </si>
  <si>
    <t xml:space="preserve">Crop </t>
  </si>
  <si>
    <t>Inter</t>
  </si>
  <si>
    <t>MD</t>
  </si>
  <si>
    <t>MC</t>
  </si>
  <si>
    <t>WD</t>
  </si>
  <si>
    <t>WC</t>
  </si>
  <si>
    <t>Concise Table of Contents</t>
  </si>
  <si>
    <t>One-way Analysis of Variance (ANOVA)</t>
  </si>
  <si>
    <t>Basic concepts</t>
  </si>
  <si>
    <t>Resampling</t>
  </si>
  <si>
    <t>Two factor ANOVA without replication</t>
  </si>
  <si>
    <t>Two factor ANOVA with replication</t>
  </si>
  <si>
    <t>Contrasts</t>
  </si>
  <si>
    <t>One factor ANOVA (Example 1)</t>
  </si>
  <si>
    <t>One factor ANOVA (Example 2)</t>
  </si>
  <si>
    <t>One factor ANOVA with unequal sample sizes (Example 3)</t>
  </si>
  <si>
    <t>Pairwise comparisons (Example 1)</t>
  </si>
  <si>
    <t>Unplanned comparisons</t>
  </si>
  <si>
    <t>Tukey HSD test (Example 1)</t>
  </si>
  <si>
    <t>Levene's test on means (Example 1)</t>
  </si>
  <si>
    <t>Testing for outliers (Example 1)</t>
  </si>
  <si>
    <t>Kruskal-Wallis test</t>
  </si>
  <si>
    <t>Kruskal-Wallis test (Example 1)</t>
  </si>
  <si>
    <t>Effect size for omnibus ANOVA (Example 1)</t>
  </si>
  <si>
    <t>Pairwise contrasts (Example 1)</t>
  </si>
  <si>
    <t>Non-pairwise contrasts (Example 2)</t>
  </si>
  <si>
    <t>Contrasts using Bonferroni or Dunn/Sidák corrections (Example 3)</t>
  </si>
  <si>
    <t>Effect size for contrasts via Contrast data analysis tool (Example 3)</t>
  </si>
  <si>
    <t>Brown-Forsythe F* test</t>
  </si>
  <si>
    <t>Brown-Forsythe F* Test (Example 1)</t>
  </si>
  <si>
    <t>Brown-Forsythe F* Test (data from Example 3 of Basic Concepts of ANOVA)</t>
  </si>
  <si>
    <t>Two factor ANOVA without replication (Example 1)</t>
  </si>
  <si>
    <t>Two factor ANOVA with replication (Example 1)</t>
  </si>
  <si>
    <t>Three factor ANOVA (Example 1)</t>
  </si>
  <si>
    <t>Main effect for data in Example 1</t>
  </si>
  <si>
    <t>Simple effect for data in Example 1</t>
  </si>
  <si>
    <t>Contrasts for data in Example 3 (Example 2)</t>
  </si>
  <si>
    <t>Interaction Table for data in Example 1 (Figure 5)</t>
  </si>
  <si>
    <t>Two factor ANOVA with replication - Interaction plots for Example 1 (Figure 4)</t>
  </si>
  <si>
    <t>One factor ANOVA via Regression model (Example 1)</t>
  </si>
  <si>
    <t>One factor ANOVA via Regression model (Example 1 alternative coding)</t>
  </si>
  <si>
    <t>Two factor ANOVA via Regression model (Example 2)</t>
  </si>
  <si>
    <t>Unbalanced ANOVA via Regression model (Example 1)</t>
  </si>
  <si>
    <t>Unbalanced factorial ANOVA</t>
  </si>
  <si>
    <t>Other measures of effect size for ANOVA</t>
  </si>
  <si>
    <t>Omega square effect size for 1 factor ANOVA (Example 3 of Basic Concepts for ANOVA)</t>
  </si>
  <si>
    <t>Omega square effect size for 2 factor ANOVA (Example 2 of ANOVA using Regression)</t>
  </si>
  <si>
    <t>Error terms for Example 2 (Figure 4)</t>
  </si>
  <si>
    <t>Group means and group effect sizes (Figure 5)</t>
  </si>
  <si>
    <t>Levene's test using 10% trimmed group means</t>
  </si>
  <si>
    <r>
      <t>trim 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</si>
  <si>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Levene Median</t>
  </si>
  <si>
    <t>Levene TMean</t>
  </si>
  <si>
    <t>Levene Mean</t>
  </si>
  <si>
    <t>Outliers and Missing Data</t>
  </si>
  <si>
    <t>Box Plot</t>
  </si>
  <si>
    <t># outliers</t>
  </si>
  <si>
    <t># blank</t>
  </si>
  <si>
    <t># non-num</t>
  </si>
  <si>
    <t>Shapiro-Wilk Test</t>
  </si>
  <si>
    <t>normal</t>
  </si>
  <si>
    <t>Tukey-Kramer post hoc test</t>
  </si>
  <si>
    <t>Tukey-Kramer data analysis tool (Example 2)</t>
  </si>
  <si>
    <t>Games-Howell data analysis tool (Example 3)</t>
  </si>
  <si>
    <t>REGWQ test (Example 4)</t>
  </si>
  <si>
    <t>Kruskal-Wallis Test</t>
  </si>
  <si>
    <t>Kruskal-Wallis test using Anova on ranks</t>
  </si>
  <si>
    <t>Kruskal-Wallis data analysis tool</t>
  </si>
  <si>
    <t>q-stat</t>
  </si>
  <si>
    <t>Q TEST</t>
  </si>
  <si>
    <t>Levene's Tests</t>
  </si>
  <si>
    <t>type</t>
  </si>
  <si>
    <t>means</t>
  </si>
  <si>
    <t>medians</t>
  </si>
  <si>
    <t>trimmed</t>
  </si>
  <si>
    <t>Levene's test on medians and trimmed means (Example 1, extra)</t>
  </si>
  <si>
    <t>Games-Howell post hoc test</t>
  </si>
  <si>
    <t>High</t>
  </si>
  <si>
    <t>Low</t>
  </si>
  <si>
    <t>Input data in standard format</t>
  </si>
  <si>
    <t>COUNT</t>
  </si>
  <si>
    <t>VARIANCE</t>
  </si>
  <si>
    <t>Two Factor Anova (via Regression)</t>
  </si>
  <si>
    <t>Input data with rows and columns exchanged</t>
  </si>
  <si>
    <t>Two Factor Anova</t>
  </si>
  <si>
    <t>Blend</t>
  </si>
  <si>
    <t>Input in Excel Anova format</t>
  </si>
  <si>
    <t>Single Factor ANOVA (standard format)</t>
  </si>
  <si>
    <t>Input in standard format</t>
  </si>
  <si>
    <t>Converting from Anova Excel format to standard format</t>
  </si>
  <si>
    <t>Two factor ANOVA with replication - alternative data format (Example 2)</t>
  </si>
  <si>
    <t>Two factor ANOVA with replication - standard data format</t>
  </si>
  <si>
    <t>ANOVA with more than 2 factors</t>
  </si>
  <si>
    <t>Factorial ANOVA</t>
  </si>
  <si>
    <t>Real Statistics capabilities for two factor ANOVA</t>
  </si>
  <si>
    <t>Real Statistics capabilities for three factor ANOVA</t>
  </si>
  <si>
    <t>Standard format by rows</t>
  </si>
  <si>
    <t>Three Factor Anova</t>
  </si>
  <si>
    <t>Input data in column format</t>
  </si>
  <si>
    <t>Three Factor Anova (via Regression)</t>
  </si>
  <si>
    <t>Standing</t>
  </si>
  <si>
    <t>Three Factor ANOVA - row format</t>
  </si>
  <si>
    <t>Three Factor ANOVA - column format</t>
  </si>
  <si>
    <t>Input data in row format</t>
  </si>
  <si>
    <t>Standard format by columns, including conversion (Example 1)</t>
  </si>
  <si>
    <t>Standard format by columns (equivalent to the above example)</t>
  </si>
  <si>
    <t>Three factor ANOVA using regression</t>
  </si>
  <si>
    <t>Unbalanced model (Example 2)</t>
  </si>
  <si>
    <t>Balanced model, including data format conversion (Example 1)</t>
  </si>
  <si>
    <t>Three Factor ANOVA - row format, balanced</t>
  </si>
  <si>
    <t>Three Factor ANOVA</t>
  </si>
  <si>
    <t>Using Real Statistics data analysis tool (Example 1)</t>
  </si>
  <si>
    <t>cum</t>
  </si>
  <si>
    <t>w</t>
  </si>
  <si>
    <t>Data analysis tool</t>
  </si>
  <si>
    <t>1-β</t>
  </si>
  <si>
    <t>suppl</t>
  </si>
  <si>
    <t>Power for One-way ANOVA</t>
  </si>
  <si>
    <t>SSB</t>
  </si>
  <si>
    <t>=H14</t>
  </si>
  <si>
    <t>=H15</t>
  </si>
  <si>
    <t>=G14</t>
  </si>
  <si>
    <t>=I15</t>
  </si>
  <si>
    <t>=Q6+Q5+1</t>
  </si>
  <si>
    <t>=Q5+1</t>
  </si>
  <si>
    <t>=SQRT(Q7/(Q8*Q9))</t>
  </si>
  <si>
    <t>=Q11*SQRT(Q10/(Q10-1))</t>
  </si>
  <si>
    <t>=Q11^2*Q9</t>
  </si>
  <si>
    <t>=L5</t>
  </si>
  <si>
    <t>=FINV(Q15,Q5,Q6)</t>
  </si>
  <si>
    <t>=NF_DIST(Q16,Q5,Q6,Q13,TRUE)</t>
  </si>
  <si>
    <t>=1-Q17</t>
  </si>
  <si>
    <t>=V8-1</t>
  </si>
  <si>
    <t>=V7-V8</t>
  </si>
  <si>
    <t>=V9*SQRT(V8/(V8-1))</t>
  </si>
  <si>
    <t>=V9^2*V7</t>
  </si>
  <si>
    <t>=FINV(V13,V5,V6)</t>
  </si>
  <si>
    <t>=NF_DIST(V14,V5,V6,V11,TRUE)</t>
  </si>
  <si>
    <t>=1-V15</t>
  </si>
  <si>
    <t>=ANOVA1_SIZE(V9,V8)</t>
  </si>
  <si>
    <t>=ANOVA1_POWER(Q11,Q9,Q10)</t>
  </si>
  <si>
    <t>=ANOVA1_POWER(Q12,Q9,Q10,2)</t>
  </si>
  <si>
    <t>=ANOVA1_POWER(Q13,Q9,Q10,0)</t>
  </si>
  <si>
    <t>Sample size required (Example 2)</t>
  </si>
  <si>
    <t>Power of ANOVA (Example 1)</t>
  </si>
  <si>
    <r>
      <t>1-</t>
    </r>
    <r>
      <rPr>
        <sz val="11"/>
        <color theme="1"/>
        <rFont val="Calibri"/>
        <family val="2"/>
      </rPr>
      <t>β</t>
    </r>
  </si>
  <si>
    <t>Two factor ANOVA using Real Statistics data analysis tool</t>
  </si>
  <si>
    <t>Two factor ANOVA with replication using Real Statistics functions</t>
  </si>
  <si>
    <t>Using Real Statistics functions (Example 1)</t>
  </si>
  <si>
    <t>Mood's Median Test</t>
  </si>
  <si>
    <t>&gt; Median</t>
  </si>
  <si>
    <t>&lt;= Median</t>
  </si>
  <si>
    <t>Mood's Median Test (Example 1)</t>
  </si>
  <si>
    <t>=CHI_STAT(F6:H7)</t>
  </si>
  <si>
    <t>=CHI_TEST(F6:H7)</t>
  </si>
  <si>
    <t>Real Statistics function</t>
  </si>
  <si>
    <t>Welch's Test</t>
  </si>
  <si>
    <t>Welch's Test (Example 1)</t>
  </si>
  <si>
    <t>mean'</t>
  </si>
  <si>
    <t xml:space="preserve">  Column E</t>
  </si>
  <si>
    <t xml:space="preserve">  Column H</t>
  </si>
  <si>
    <t>Levene's Test</t>
  </si>
  <si>
    <t>Extra examples of Welch's test</t>
  </si>
  <si>
    <t>Brown-Forsythe Test</t>
  </si>
  <si>
    <t>Welch's Test (standard format)</t>
  </si>
  <si>
    <t>Welch's Test standard format (Example 1)</t>
  </si>
  <si>
    <t>H-stat</t>
  </si>
  <si>
    <t>Moods' Median Test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</si>
  <si>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</si>
  <si>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</si>
  <si>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Confidence interval of effect size and power</t>
  </si>
  <si>
    <t>λ lower</t>
  </si>
  <si>
    <t>λ upper</t>
  </si>
  <si>
    <t>RMSEE lower</t>
  </si>
  <si>
    <t>RMSEE upper</t>
  </si>
  <si>
    <t>f lower</t>
  </si>
  <si>
    <t>f upper</t>
  </si>
  <si>
    <t>Confidence interval for effect size and power (Example 3)</t>
  </si>
  <si>
    <t>Unbalanced ANOVA via Regression model using Real Statistics analysis tool (Example 1)</t>
  </si>
  <si>
    <t>One factor ANOVA using Real Statistics functions</t>
  </si>
  <si>
    <t>Confidence interval using Real Statistics Anova data analysis tool (Example 1)</t>
  </si>
  <si>
    <t>Real Statistics data analysis tool with data in standard format (Example 2)</t>
  </si>
  <si>
    <t>Real Statistics Anova data analysis tool for contrasts (Example 4)</t>
  </si>
  <si>
    <t>Tukey HSD Real Statistics data analysis tool (Example 1)</t>
  </si>
  <si>
    <t>Real Statistics function LEVENE and data analysis tool</t>
  </si>
  <si>
    <t>Effect size via Real Statistics Anova data analysis tool (Example 2)</t>
  </si>
  <si>
    <t>Kruskal-Wallis test using Real Statistics functions</t>
  </si>
  <si>
    <t>Using Real Statistics functions</t>
  </si>
  <si>
    <t>Using Real Statistics data analysis tool</t>
  </si>
  <si>
    <t>Two-way ANOVA Real Statistics tool</t>
  </si>
  <si>
    <t>bin</t>
  </si>
  <si>
    <t>cum %</t>
  </si>
  <si>
    <t>ANOVA Resampling of Error Terms (Example 2)</t>
  </si>
  <si>
    <t>ANOVA Resampling (Example 1)</t>
  </si>
  <si>
    <t>Analysis: F statistic</t>
  </si>
  <si>
    <t>sample F</t>
  </si>
  <si>
    <t>Bootstrapping: ANOVA (error scores)</t>
  </si>
  <si>
    <t>Randomization: ANOVA (error scores)</t>
  </si>
  <si>
    <t>ANOVA Resampling (on error)</t>
  </si>
  <si>
    <t>Bartlett's test (Example 1)</t>
  </si>
  <si>
    <t>Log transform (Example 1)</t>
  </si>
  <si>
    <t>Fligner-Killeen Test</t>
  </si>
  <si>
    <t>Normalization</t>
  </si>
  <si>
    <t>size + 1</t>
  </si>
  <si>
    <t>WSS</t>
  </si>
  <si>
    <t>Fligner Killeen Test (Example 1)</t>
  </si>
  <si>
    <t>FK-stat</t>
  </si>
  <si>
    <t>Tukey HSD Two Factor ANOVA</t>
  </si>
  <si>
    <t>Dunnett's Test</t>
  </si>
  <si>
    <t>DUNNETT'S TEST</t>
  </si>
  <si>
    <t>d-stat</t>
  </si>
  <si>
    <t>d-crit</t>
  </si>
  <si>
    <t>SCHEFFE's CONTRAST</t>
  </si>
  <si>
    <t>SCHEFFE's TEST</t>
  </si>
  <si>
    <t>r^2/n</t>
  </si>
  <si>
    <t>R sum</t>
  </si>
  <si>
    <t>NEMENYI TEST</t>
  </si>
  <si>
    <t>H-ties</t>
  </si>
  <si>
    <t>DUNN's TEST</t>
  </si>
  <si>
    <t>D TEST</t>
  </si>
  <si>
    <t>Simple Effects: Rows</t>
  </si>
  <si>
    <t>Simple Effects: Columns</t>
  </si>
  <si>
    <t>CONTRAST: ROWS</t>
  </si>
  <si>
    <t>CONTRAST: COLUMNS</t>
  </si>
  <si>
    <t>CONTRAST: INTERACTIONS</t>
  </si>
  <si>
    <t>column</t>
  </si>
  <si>
    <t>Real Statistics data analysis tools</t>
  </si>
  <si>
    <t>Tukey HSD (Example 1)</t>
  </si>
  <si>
    <t>TUKEY HSD: INTERACTION</t>
  </si>
  <si>
    <t>adj k</t>
  </si>
  <si>
    <t>Two Factor ANOVA Simple Effects</t>
  </si>
  <si>
    <t>Two factor ANOVA simple effects</t>
  </si>
  <si>
    <t>CONTRAST KW</t>
  </si>
  <si>
    <t>R-mean</t>
  </si>
  <si>
    <t>CHI-SQ TEST</t>
  </si>
  <si>
    <t>chi-crit</t>
  </si>
  <si>
    <t>Kruskal-Wallis follow-up testing</t>
  </si>
  <si>
    <t>Nemenyi test (Example 1)</t>
  </si>
  <si>
    <t>Dunn's test (Example 2)</t>
  </si>
  <si>
    <t>Dunnett's test (Example 4)</t>
  </si>
  <si>
    <t>Contrast (Example 5)</t>
  </si>
  <si>
    <t>Assumptions for Two Factor ANOVA</t>
  </si>
  <si>
    <t>Direct</t>
  </si>
  <si>
    <t>OEM</t>
  </si>
  <si>
    <t>Reseller</t>
  </si>
  <si>
    <t>Distribution Channel</t>
  </si>
  <si>
    <t>One-way ANOVA Format</t>
  </si>
  <si>
    <t>High-Direct</t>
  </si>
  <si>
    <t>High-OEM</t>
  </si>
  <si>
    <t>High-Reseller</t>
  </si>
  <si>
    <t>Low-Direct</t>
  </si>
  <si>
    <t>Low-OEM</t>
  </si>
  <si>
    <t>Low-Reseller</t>
  </si>
  <si>
    <t>Reformatting Data in Stacked Format</t>
  </si>
  <si>
    <t>Center</t>
  </si>
  <si>
    <t>Assumptions (Excel format)</t>
  </si>
  <si>
    <t>Assumptions (stacked format)</t>
  </si>
  <si>
    <t>size</t>
  </si>
  <si>
    <t>Testing assumptions</t>
  </si>
  <si>
    <t>Scheirer-Ray-Hare test</t>
  </si>
  <si>
    <t>Scheirer-Ray-Hare test (Example 1)</t>
  </si>
  <si>
    <t>Scheirer-Ray-Hare Test</t>
  </si>
  <si>
    <t>Ranks</t>
  </si>
  <si>
    <t>Scheirer Ray Hare Test</t>
  </si>
  <si>
    <t>Gage R&amp;R</t>
  </si>
  <si>
    <t>Gage R&amp;R (Example 1)</t>
  </si>
  <si>
    <t>Part</t>
  </si>
  <si>
    <t>Op</t>
  </si>
  <si>
    <t>Meas</t>
  </si>
  <si>
    <t>Operator</t>
  </si>
  <si>
    <t>Operator*Part</t>
  </si>
  <si>
    <t>Repeatability</t>
  </si>
  <si>
    <t>VARIATION</t>
  </si>
  <si>
    <t>Tot Gage R&amp;R</t>
  </si>
  <si>
    <t>- Repeatability</t>
  </si>
  <si>
    <t>- Reproducibility</t>
  </si>
  <si>
    <t>-- Operator</t>
  </si>
  <si>
    <t>-- Op*Part</t>
  </si>
  <si>
    <t>Part-to-Part</t>
  </si>
  <si>
    <t>Tot Variation</t>
  </si>
  <si>
    <t>No. of categories</t>
  </si>
  <si>
    <t>P1</t>
  </si>
  <si>
    <t>P2</t>
  </si>
  <si>
    <t>P3</t>
  </si>
  <si>
    <t>P4</t>
  </si>
  <si>
    <t>P5</t>
  </si>
  <si>
    <t>Op1</t>
  </si>
  <si>
    <t>Op2</t>
  </si>
  <si>
    <t>Op3</t>
  </si>
  <si>
    <t>Gage R&amp;R (Example 2)</t>
  </si>
  <si>
    <t>Dunnett's test (Example 5)</t>
  </si>
  <si>
    <t>Scheffe test (Example 6)</t>
  </si>
  <si>
    <t>TUKEY HSD/KRAMER</t>
  </si>
  <si>
    <t>GAMES HOWELL</t>
  </si>
  <si>
    <t>n-1</t>
  </si>
  <si>
    <t>ANOVA Resampling</t>
  </si>
  <si>
    <t>Bootstrapping: ANOVA</t>
  </si>
  <si>
    <t>Randomization: ANOVA</t>
  </si>
  <si>
    <t>SS Between Groups</t>
  </si>
  <si>
    <t>MS Within Groups</t>
  </si>
  <si>
    <t>=T.DIST.2T(ABS(N8),N9)</t>
  </si>
  <si>
    <t>Tukey HSD</t>
  </si>
  <si>
    <t>Homogeneity of Coefficients of Variation</t>
  </si>
  <si>
    <t>Testing for homogeneity of coefficients of variation (Example 1)</t>
  </si>
  <si>
    <t>Multiple Sample Test of the Coefficients of Variation</t>
  </si>
  <si>
    <t>V-pooled</t>
  </si>
  <si>
    <t>=CHISQ.DIST.RT(G8,G9)</t>
  </si>
  <si>
    <t>Three Factor ANOVA - no replications</t>
  </si>
  <si>
    <t>Without replications (Example 2)</t>
  </si>
  <si>
    <t>=CHISQ.DIST.RT(I6,I3)</t>
  </si>
  <si>
    <t>=CHISQ.INV.RT(I8,I3)</t>
  </si>
  <si>
    <t>Three Factor ANOVA - row format, unbalanced</t>
  </si>
  <si>
    <t>Schaich-Hamerle Test</t>
  </si>
  <si>
    <t>R-sum</t>
  </si>
  <si>
    <t>Schaich-Hamerle Test (Example 3)</t>
  </si>
  <si>
    <t>Schaich-Hamerle Test (data analysis tool)</t>
  </si>
  <si>
    <t>Anova Follow-up data analysis (esp. for three factor ANOVA)</t>
  </si>
  <si>
    <t>Group 1</t>
  </si>
  <si>
    <t>Group 2</t>
  </si>
  <si>
    <t>Group 3</t>
  </si>
  <si>
    <t>TUKEY HSD</t>
  </si>
  <si>
    <t xml:space="preserve"> adj k</t>
  </si>
  <si>
    <t>group 1</t>
  </si>
  <si>
    <t>group 2</t>
  </si>
  <si>
    <t>STEEL's TEST</t>
  </si>
  <si>
    <t>Jonckheere-Terpstre test</t>
  </si>
  <si>
    <t>Comparison with KW test</t>
  </si>
  <si>
    <t>Jonckheere–Terpstre Test</t>
  </si>
  <si>
    <t>scores</t>
  </si>
  <si>
    <t>JT-stat</t>
  </si>
  <si>
    <t>z</t>
  </si>
  <si>
    <t>=1-NORM.S.DIST(M7,TRUE)</t>
  </si>
  <si>
    <t>r-effect</t>
  </si>
  <si>
    <t>Mdn</t>
  </si>
  <si>
    <t>z-stat</t>
  </si>
  <si>
    <t>z-crit</t>
  </si>
  <si>
    <t>df 44</t>
  </si>
  <si>
    <t>df 48</t>
  </si>
  <si>
    <t>QCRIT function (linear interpolation)</t>
  </si>
  <si>
    <t>QCRIT function (recommended interpolation)</t>
  </si>
  <si>
    <t>df 40</t>
  </si>
  <si>
    <r>
      <t xml:space="preserve">Studentized Q Table - critical value for q(k, df, </t>
    </r>
    <r>
      <rPr>
        <b/>
        <sz val="11"/>
        <color theme="1"/>
        <rFont val="Calibri"/>
        <family val="2"/>
      </rPr>
      <t>α)</t>
    </r>
  </si>
  <si>
    <t xml:space="preserve">k --&gt; </t>
  </si>
  <si>
    <t>Inf</t>
  </si>
  <si>
    <t>inf</t>
  </si>
  <si>
    <t>Tables</t>
  </si>
  <si>
    <t>Studentized Q Table (table 1)</t>
  </si>
  <si>
    <t>Studentized Q Table (table 2)</t>
  </si>
  <si>
    <t>group</t>
  </si>
  <si>
    <t>contrast</t>
  </si>
  <si>
    <t>Group</t>
  </si>
  <si>
    <t>mean-crit</t>
  </si>
  <si>
    <t>df WD-WC</t>
  </si>
  <si>
    <t>high</t>
  </si>
  <si>
    <t>low</t>
  </si>
  <si>
    <t>mean high</t>
  </si>
  <si>
    <t>mean low</t>
  </si>
  <si>
    <t>mean diff</t>
  </si>
  <si>
    <t>se</t>
  </si>
  <si>
    <t>REGWQ data analysis</t>
  </si>
  <si>
    <t>REGWQ TEST</t>
  </si>
  <si>
    <t>std dev</t>
  </si>
  <si>
    <t>Method 5</t>
  </si>
  <si>
    <t>Scheffé's data analysis</t>
  </si>
  <si>
    <t>Pairwise t tests</t>
  </si>
  <si>
    <t>Benjamini-Hochberg Method</t>
  </si>
  <si>
    <t>FDR</t>
  </si>
  <si>
    <t># of tests</t>
  </si>
  <si>
    <t>rank</t>
  </si>
  <si>
    <t>One and two factor ANOVA using regression</t>
  </si>
  <si>
    <t>Non-parametric and other substitutes for ANOVA</t>
  </si>
  <si>
    <t>REGWQ data analysis tool</t>
  </si>
  <si>
    <t>REGWQ expanded example</t>
  </si>
  <si>
    <t>REGWQ expanded example using the data analysis tool</t>
  </si>
  <si>
    <t>Scheffe test data analysis tool</t>
  </si>
  <si>
    <t>Pairwise Mann-Whitney tests</t>
  </si>
  <si>
    <t>R-crit</t>
  </si>
  <si>
    <t>chi-stat</t>
  </si>
  <si>
    <t>Conover test</t>
  </si>
  <si>
    <t>CONOVER TEST</t>
  </si>
  <si>
    <t>TUKEY HSD; ROW EFFECT</t>
  </si>
  <si>
    <t>TUKEY HSD; COLUMN EFFECT</t>
  </si>
  <si>
    <t>Dunnett's Test Critical Values</t>
  </si>
  <si>
    <t>df\k</t>
  </si>
  <si>
    <t>two-tailed comparisons</t>
  </si>
  <si>
    <t>k includes the control group</t>
  </si>
  <si>
    <t>Dunnett's test table of critical values</t>
  </si>
  <si>
    <t>R mean</t>
  </si>
  <si>
    <t>Pairwise Mann-Whitney exact tests</t>
  </si>
  <si>
    <t>Contrasts for two factor ANOVA with replication</t>
  </si>
  <si>
    <t>Post hoc tests for two factor ANOVA with replication</t>
  </si>
  <si>
    <t>Follow-up to two factor ANOVA w/o replication</t>
  </si>
  <si>
    <t>Diff</t>
  </si>
  <si>
    <t>effect d</t>
  </si>
  <si>
    <t>Contrast: Two Factor Anova w/o Replication</t>
  </si>
  <si>
    <t>TUKEY HSD: Two Factor Anova w/o Replications</t>
  </si>
  <si>
    <t>Modified TUKEY HSD: Two Factor Anova w/o Replications</t>
  </si>
  <si>
    <t>anova</t>
  </si>
  <si>
    <t>=TUKEY_POWER(TRANSPOSE(B1:D1),A16,100)</t>
  </si>
  <si>
    <t>Anova</t>
  </si>
  <si>
    <t>=TUKEY_POWER(TRANSPOSE(B1:D1),A16,1000,.05,TRUE)</t>
  </si>
  <si>
    <t>=NORM.INV(RAND(),B$1,1)</t>
  </si>
  <si>
    <t>=TUKEY_POWER(A2:A4,75,100)</t>
  </si>
  <si>
    <t>=TUKEY_POWER(A2:A4,75,1000)</t>
  </si>
  <si>
    <t>=TUKEY_POWER(A2:A4,85,100)</t>
  </si>
  <si>
    <t>=TUKEY_POWER(A2:A4,85,1000)</t>
  </si>
  <si>
    <t>=TUKEY_POWER(A2:A4,225,100)</t>
  </si>
  <si>
    <t>=TUKEY_POWER(A2:A4,225,1000)</t>
  </si>
  <si>
    <t>=TUKEY_POWER(A2:A4,500,100)</t>
  </si>
  <si>
    <t>=TUKEY_POWER(A2:A4,500,1000)</t>
  </si>
  <si>
    <t>Tukey HSD power (Example 4)</t>
  </si>
  <si>
    <t>Tukey HSD sample size</t>
  </si>
  <si>
    <t>W-stat</t>
  </si>
  <si>
    <t>d'Agostino-Pearson</t>
  </si>
  <si>
    <t>DA-stat</t>
  </si>
  <si>
    <t>Multiplier</t>
  </si>
  <si>
    <t>Q1</t>
  </si>
  <si>
    <t>Q3</t>
  </si>
  <si>
    <t>Max</t>
  </si>
  <si>
    <t>Grand Min</t>
  </si>
  <si>
    <t>None</t>
  </si>
  <si>
    <t>n*(n+1)/12</t>
  </si>
  <si>
    <t>Kruskal-Wallis Post-Hoc</t>
  </si>
  <si>
    <t>Hochberg's Method</t>
  </si>
  <si>
    <t>stat</t>
  </si>
  <si>
    <t>Real Statistics Using Excel - ANOVA 1 Examples Workbook</t>
  </si>
  <si>
    <t>Nominal-Ordinal Chi-square Test</t>
  </si>
  <si>
    <t>Example using Kruskal-Wallis</t>
  </si>
  <si>
    <t>very dissat</t>
  </si>
  <si>
    <t>dissat</t>
  </si>
  <si>
    <t>neutral</t>
  </si>
  <si>
    <t>satis</t>
  </si>
  <si>
    <t>very satis</t>
  </si>
  <si>
    <t>Dem</t>
  </si>
  <si>
    <t>Rep</t>
  </si>
  <si>
    <t>Indep</t>
  </si>
  <si>
    <t>Nominal-Ordinal Chi-square Test (Real Statistics)</t>
  </si>
  <si>
    <t>Expected Values</t>
  </si>
  <si>
    <t>Chi-Square Test</t>
  </si>
  <si>
    <t>Nominal-Ordered Analysis</t>
  </si>
  <si>
    <t>Cols</t>
  </si>
  <si>
    <t>CHI-SQUARE</t>
  </si>
  <si>
    <t xml:space="preserve"> </t>
  </si>
  <si>
    <t>Cramer V</t>
  </si>
  <si>
    <t>Pearson's</t>
  </si>
  <si>
    <t>Max likelihood</t>
  </si>
  <si>
    <t>Nominal-Ordinal Chi-square Test (Real Statistics, std format)</t>
  </si>
  <si>
    <t>Party</t>
  </si>
  <si>
    <t>Sat</t>
  </si>
  <si>
    <t>Chi-square summary data</t>
  </si>
  <si>
    <t>Real Statistics data analysis tool (Excel format)</t>
  </si>
  <si>
    <t>Real Statistics data analysis tool (standard format)</t>
  </si>
  <si>
    <t>ART ANOVA</t>
  </si>
  <si>
    <t>Row</t>
  </si>
  <si>
    <t>Col</t>
  </si>
  <si>
    <t>Resp</t>
  </si>
  <si>
    <t>p eta-sq</t>
  </si>
  <si>
    <t>Data</t>
  </si>
  <si>
    <t>Aligned Data</t>
  </si>
  <si>
    <t>Tot</t>
  </si>
  <si>
    <t>Int</t>
  </si>
  <si>
    <t>Row Rank</t>
  </si>
  <si>
    <t>Col Rank</t>
  </si>
  <si>
    <t>Int Rank</t>
  </si>
  <si>
    <t>Two Factor ART Anova</t>
  </si>
  <si>
    <t>Two Factor ART ANOVA example</t>
  </si>
  <si>
    <t>Two Factor ART ANOVA analysis</t>
  </si>
  <si>
    <t>Three Factor ART ANOVA</t>
  </si>
  <si>
    <t>Three-Factor ART ANOVA</t>
  </si>
  <si>
    <t>Eta-sq</t>
  </si>
  <si>
    <t>P Eta-sq</t>
  </si>
  <si>
    <t>HSU MCB'S TEST</t>
  </si>
  <si>
    <t>ss/se</t>
  </si>
  <si>
    <t>D-TEST (Max)</t>
  </si>
  <si>
    <t>index</t>
  </si>
  <si>
    <t>center</t>
  </si>
  <si>
    <t>D-TEST (Min)</t>
  </si>
  <si>
    <t>Hsu's MCB</t>
  </si>
  <si>
    <t>Hsu's MCB revised</t>
  </si>
  <si>
    <t>Two Factor ANOVA Real Statistics analysis</t>
  </si>
  <si>
    <t>Three-Factor ANOVA (columns)</t>
  </si>
  <si>
    <t>Gage R&amp;R (with interaction)</t>
  </si>
  <si>
    <t>Gage R&amp;R (w/o interaction)</t>
  </si>
  <si>
    <t>Copyright © 2013 - 2021 Charles Zaiontz</t>
  </si>
  <si>
    <t>Charles Zaiontz, 22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</si>
</sst>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"/>
    <numFmt numFmtId="167" formatCode="0;\-0;&quot;&quot;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E0E0"/>
        <bgColor indexed="64"/>
      </patternFill>
    </fill>
  </fills>
  <borders count="2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</cellStyleXfs>
  <cellXfs count="58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4" fillId="0" borderId="12" xfId="0" applyFont="1" applyFill="1" applyBorder="1" applyAlignment="1">
      <alignment horizontal="centerContinuous"/>
    </xf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Border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0" fontId="4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15" xfId="0" applyBorder="1"/>
    <xf numFmtId="164" fontId="0" fillId="0" borderId="0" xfId="0" applyNumberFormat="1" applyBorder="1"/>
    <xf numFmtId="0" fontId="2" fillId="0" borderId="0" xfId="1" applyAlignment="1" applyProtection="1">
      <alignment horizontal="justify" vertical="center"/>
    </xf>
    <xf numFmtId="0" fontId="0" fillId="0" borderId="1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/>
    <xf numFmtId="0" fontId="0" fillId="0" borderId="24" xfId="0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13" xfId="0" applyFill="1" applyBorder="1" applyAlignment="1">
      <alignment horizontal="right"/>
    </xf>
    <xf numFmtId="0" fontId="6" fillId="0" borderId="0" xfId="0" applyFont="1" applyAlignment="1">
      <alignment horizontal="center"/>
    </xf>
    <xf numFmtId="0" fontId="0" fillId="0" borderId="2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0" xfId="0" applyFont="1" applyBorder="1" applyAlignment="1">
      <alignment horizontal="center"/>
    </xf>
    <xf numFmtId="0" fontId="0" fillId="0" borderId="28" xfId="0" applyBorder="1"/>
    <xf numFmtId="0" fontId="0" fillId="0" borderId="20" xfId="0" applyFill="1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37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34" xfId="0" applyFill="1" applyBorder="1"/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2" xfId="0" applyBorder="1"/>
    <xf numFmtId="0" fontId="0" fillId="0" borderId="42" xfId="0" applyBorder="1" applyAlignment="1">
      <alignment horizontal="right"/>
    </xf>
    <xf numFmtId="0" fontId="0" fillId="0" borderId="49" xfId="0" applyBorder="1"/>
    <xf numFmtId="0" fontId="0" fillId="0" borderId="50" xfId="0" applyBorder="1"/>
    <xf numFmtId="0" fontId="0" fillId="0" borderId="38" xfId="0" applyBorder="1"/>
    <xf numFmtId="0" fontId="14" fillId="0" borderId="51" xfId="0" applyFont="1" applyFill="1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6" xfId="0" applyBorder="1" applyAlignment="1">
      <alignment horizontal="right"/>
    </xf>
    <xf numFmtId="0" fontId="0" fillId="0" borderId="52" xfId="0" applyFill="1" applyBorder="1" applyAlignment="1"/>
    <xf numFmtId="0" fontId="0" fillId="0" borderId="47" xfId="0" applyBorder="1"/>
    <xf numFmtId="0" fontId="0" fillId="0" borderId="50" xfId="0" applyFill="1" applyBorder="1"/>
    <xf numFmtId="0" fontId="0" fillId="0" borderId="48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38" xfId="0" applyFill="1" applyBorder="1"/>
    <xf numFmtId="0" fontId="0" fillId="0" borderId="6" xfId="0" applyFill="1" applyBorder="1"/>
    <xf numFmtId="0" fontId="4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0" fillId="0" borderId="60" xfId="0" applyBorder="1"/>
    <xf numFmtId="0" fontId="0" fillId="0" borderId="54" xfId="0" applyFont="1" applyBorder="1" applyAlignment="1">
      <alignment horizontal="center"/>
    </xf>
    <xf numFmtId="0" fontId="0" fillId="0" borderId="57" xfId="0" applyFill="1" applyBorder="1"/>
    <xf numFmtId="0" fontId="0" fillId="0" borderId="7" xfId="0" applyFill="1" applyBorder="1"/>
    <xf numFmtId="0" fontId="0" fillId="0" borderId="58" xfId="0" applyFill="1" applyBorder="1"/>
    <xf numFmtId="0" fontId="0" fillId="0" borderId="8" xfId="0" applyFill="1" applyBorder="1"/>
    <xf numFmtId="0" fontId="0" fillId="0" borderId="54" xfId="0" applyBorder="1" applyAlignment="1">
      <alignment horizontal="right"/>
    </xf>
    <xf numFmtId="0" fontId="0" fillId="0" borderId="61" xfId="0" applyFill="1" applyBorder="1"/>
    <xf numFmtId="0" fontId="0" fillId="0" borderId="62" xfId="0" applyBorder="1"/>
    <xf numFmtId="0" fontId="0" fillId="0" borderId="61" xfId="0" applyBorder="1"/>
    <xf numFmtId="0" fontId="0" fillId="0" borderId="63" xfId="0" applyBorder="1"/>
    <xf numFmtId="0" fontId="0" fillId="0" borderId="4" xfId="0" applyFill="1" applyBorder="1"/>
    <xf numFmtId="0" fontId="0" fillId="0" borderId="64" xfId="0" applyBorder="1"/>
    <xf numFmtId="0" fontId="4" fillId="0" borderId="12" xfId="0" applyFont="1" applyFill="1" applyBorder="1" applyAlignment="1">
      <alignment horizontal="center"/>
    </xf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7" xfId="0" applyFill="1" applyBorder="1"/>
    <xf numFmtId="0" fontId="0" fillId="0" borderId="65" xfId="0" applyFill="1" applyBorder="1"/>
    <xf numFmtId="0" fontId="0" fillId="0" borderId="7" xfId="0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right"/>
    </xf>
    <xf numFmtId="0" fontId="0" fillId="0" borderId="71" xfId="0" applyBorder="1"/>
    <xf numFmtId="0" fontId="0" fillId="0" borderId="72" xfId="0" applyBorder="1"/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4" xfId="0" applyBorder="1"/>
    <xf numFmtId="0" fontId="0" fillId="0" borderId="77" xfId="0" applyBorder="1" applyAlignment="1">
      <alignment horizontal="center"/>
    </xf>
    <xf numFmtId="0" fontId="0" fillId="0" borderId="73" xfId="0" applyBorder="1"/>
    <xf numFmtId="0" fontId="0" fillId="0" borderId="79" xfId="0" applyBorder="1"/>
    <xf numFmtId="0" fontId="0" fillId="0" borderId="7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8" xfId="0" applyBorder="1"/>
    <xf numFmtId="0" fontId="0" fillId="0" borderId="76" xfId="0" applyNumberFormat="1" applyBorder="1"/>
    <xf numFmtId="0" fontId="4" fillId="0" borderId="12" xfId="0" applyFont="1" applyFill="1" applyBorder="1" applyAlignment="1">
      <alignment horizontal="center"/>
    </xf>
    <xf numFmtId="0" fontId="0" fillId="0" borderId="7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5" xfId="0" applyBorder="1"/>
    <xf numFmtId="0" fontId="0" fillId="0" borderId="86" xfId="0" applyBorder="1"/>
    <xf numFmtId="0" fontId="0" fillId="0" borderId="85" xfId="0" applyBorder="1" applyAlignment="1">
      <alignment horizontal="right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center"/>
    </xf>
    <xf numFmtId="164" fontId="0" fillId="0" borderId="77" xfId="0" applyNumberFormat="1" applyBorder="1"/>
    <xf numFmtId="0" fontId="0" fillId="0" borderId="87" xfId="0" applyBorder="1"/>
    <xf numFmtId="0" fontId="7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88" xfId="0" applyBorder="1"/>
    <xf numFmtId="0" fontId="0" fillId="0" borderId="8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4" borderId="0" xfId="0" applyFill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4" fillId="0" borderId="94" xfId="0" applyFont="1" applyBorder="1" applyAlignment="1">
      <alignment horizontal="center"/>
    </xf>
    <xf numFmtId="0" fontId="0" fillId="0" borderId="93" xfId="0" applyBorder="1"/>
    <xf numFmtId="0" fontId="0" fillId="0" borderId="95" xfId="0" applyBorder="1"/>
    <xf numFmtId="0" fontId="0" fillId="0" borderId="95" xfId="0" applyBorder="1" applyAlignment="1">
      <alignment horizontal="right"/>
    </xf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0" xfId="0" applyAlignment="1">
      <alignment horizontal="center"/>
    </xf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0" xfId="0" applyAlignment="1">
      <alignment horizontal="center"/>
    </xf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08" xfId="0" applyBorder="1"/>
    <xf numFmtId="0" fontId="0" fillId="0" borderId="0" xfId="0" applyAlignment="1">
      <alignment horizontal="center"/>
    </xf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5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19" xfId="0" applyBorder="1"/>
    <xf numFmtId="164" fontId="0" fillId="0" borderId="69" xfId="0" applyNumberFormat="1" applyBorder="1"/>
    <xf numFmtId="0" fontId="4" fillId="0" borderId="123" xfId="0" applyFont="1" applyBorder="1" applyAlignment="1">
      <alignment horizontal="center"/>
    </xf>
    <xf numFmtId="0" fontId="0" fillId="0" borderId="124" xfId="0" applyBorder="1"/>
    <xf numFmtId="0" fontId="0" fillId="0" borderId="0" xfId="0" applyFont="1" applyAlignment="1"/>
    <xf numFmtId="0" fontId="0" fillId="0" borderId="99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28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124" xfId="0" applyBorder="1" applyAlignment="1">
      <alignment horizontal="right"/>
    </xf>
    <xf numFmtId="0" fontId="4" fillId="0" borderId="9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99" xfId="0" applyNumberFormat="1" applyBorder="1"/>
    <xf numFmtId="164" fontId="0" fillId="0" borderId="124" xfId="0" applyNumberFormat="1" applyBorder="1"/>
    <xf numFmtId="164" fontId="0" fillId="0" borderId="74" xfId="0" applyNumberFormat="1" applyBorder="1"/>
    <xf numFmtId="164" fontId="0" fillId="0" borderId="71" xfId="0" applyNumberFormat="1" applyBorder="1"/>
    <xf numFmtId="164" fontId="0" fillId="0" borderId="72" xfId="0" applyNumberFormat="1" applyBorder="1"/>
    <xf numFmtId="0" fontId="0" fillId="0" borderId="13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1" xfId="0" applyBorder="1" applyAlignment="1"/>
    <xf numFmtId="0" fontId="0" fillId="0" borderId="3" xfId="0" applyBorder="1" applyAlignment="1"/>
    <xf numFmtId="0" fontId="0" fillId="0" borderId="77" xfId="0" applyBorder="1" applyAlignment="1"/>
    <xf numFmtId="0" fontId="0" fillId="0" borderId="74" xfId="0" applyBorder="1" applyAlignment="1"/>
    <xf numFmtId="0" fontId="0" fillId="0" borderId="69" xfId="0" applyBorder="1" applyAlignment="1"/>
    <xf numFmtId="0" fontId="0" fillId="0" borderId="71" xfId="0" applyBorder="1" applyAlignment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8" xfId="0" applyFill="1" applyBorder="1" applyAlignment="1">
      <alignment horizontal="center" vertical="center"/>
    </xf>
    <xf numFmtId="0" fontId="0" fillId="0" borderId="80" xfId="0" applyBorder="1"/>
    <xf numFmtId="0" fontId="0" fillId="0" borderId="80" xfId="0" applyBorder="1" applyAlignment="1">
      <alignment horizontal="center"/>
    </xf>
    <xf numFmtId="0" fontId="0" fillId="4" borderId="0" xfId="0" applyFill="1" applyBorder="1"/>
    <xf numFmtId="0" fontId="0" fillId="4" borderId="99" xfId="0" applyFill="1" applyBorder="1"/>
    <xf numFmtId="0" fontId="0" fillId="0" borderId="134" xfId="0" applyBorder="1"/>
    <xf numFmtId="0" fontId="0" fillId="0" borderId="137" xfId="0" applyBorder="1"/>
    <xf numFmtId="0" fontId="0" fillId="0" borderId="13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24" xfId="0" applyFill="1" applyBorder="1"/>
    <xf numFmtId="0" fontId="0" fillId="0" borderId="0" xfId="0" applyAlignment="1">
      <alignment horizontal="center"/>
    </xf>
    <xf numFmtId="0" fontId="0" fillId="0" borderId="99" xfId="0" applyBorder="1" applyAlignment="1">
      <alignment horizontal="center"/>
    </xf>
    <xf numFmtId="0" fontId="0" fillId="4" borderId="139" xfId="0" applyFill="1" applyBorder="1"/>
    <xf numFmtId="0" fontId="0" fillId="4" borderId="140" xfId="0" applyFill="1" applyBorder="1"/>
    <xf numFmtId="0" fontId="0" fillId="4" borderId="141" xfId="0" applyFill="1" applyBorder="1"/>
    <xf numFmtId="0" fontId="0" fillId="4" borderId="75" xfId="0" applyFill="1" applyBorder="1"/>
    <xf numFmtId="0" fontId="0" fillId="4" borderId="15" xfId="0" applyFill="1" applyBorder="1"/>
    <xf numFmtId="0" fontId="0" fillId="4" borderId="96" xfId="0" applyFill="1" applyBorder="1"/>
    <xf numFmtId="0" fontId="0" fillId="4" borderId="97" xfId="0" applyFill="1" applyBorder="1"/>
    <xf numFmtId="0" fontId="0" fillId="4" borderId="98" xfId="0" applyFill="1" applyBorder="1"/>
    <xf numFmtId="0" fontId="0" fillId="0" borderId="142" xfId="0" applyBorder="1"/>
    <xf numFmtId="0" fontId="0" fillId="0" borderId="143" xfId="0" applyBorder="1"/>
    <xf numFmtId="0" fontId="0" fillId="0" borderId="143" xfId="0" applyBorder="1" applyAlignment="1">
      <alignment horizontal="center"/>
    </xf>
    <xf numFmtId="0" fontId="0" fillId="4" borderId="144" xfId="0" applyFill="1" applyBorder="1"/>
    <xf numFmtId="0" fontId="0" fillId="4" borderId="145" xfId="0" applyFill="1" applyBorder="1"/>
    <xf numFmtId="0" fontId="0" fillId="4" borderId="146" xfId="0" applyFill="1" applyBorder="1"/>
    <xf numFmtId="0" fontId="0" fillId="0" borderId="147" xfId="0" applyBorder="1"/>
    <xf numFmtId="0" fontId="0" fillId="0" borderId="148" xfId="0" applyBorder="1"/>
    <xf numFmtId="0" fontId="0" fillId="0" borderId="148" xfId="0" applyBorder="1" applyAlignment="1">
      <alignment horizontal="center"/>
    </xf>
    <xf numFmtId="0" fontId="0" fillId="4" borderId="149" xfId="0" applyFill="1" applyBorder="1"/>
    <xf numFmtId="0" fontId="0" fillId="4" borderId="150" xfId="0" applyFill="1" applyBorder="1"/>
    <xf numFmtId="0" fontId="0" fillId="4" borderId="151" xfId="0" applyFill="1" applyBorder="1"/>
    <xf numFmtId="0" fontId="0" fillId="0" borderId="149" xfId="0" applyBorder="1"/>
    <xf numFmtId="0" fontId="0" fillId="0" borderId="145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3" xfId="0" applyBorder="1" applyAlignment="1">
      <alignment horizontal="center"/>
    </xf>
    <xf numFmtId="0" fontId="0" fillId="0" borderId="154" xfId="0" applyBorder="1"/>
    <xf numFmtId="0" fontId="0" fillId="0" borderId="155" xfId="0" applyBorder="1"/>
    <xf numFmtId="0" fontId="0" fillId="0" borderId="15" xfId="0" applyBorder="1" applyAlignment="1">
      <alignment horizontal="right"/>
    </xf>
    <xf numFmtId="0" fontId="0" fillId="0" borderId="88" xfId="0" applyBorder="1" applyAlignment="1">
      <alignment horizontal="right"/>
    </xf>
    <xf numFmtId="164" fontId="0" fillId="0" borderId="158" xfId="0" applyNumberFormat="1" applyBorder="1"/>
    <xf numFmtId="164" fontId="0" fillId="0" borderId="157" xfId="0" applyNumberFormat="1" applyBorder="1"/>
    <xf numFmtId="164" fontId="0" fillId="0" borderId="159" xfId="0" applyNumberFormat="1" applyBorder="1"/>
    <xf numFmtId="164" fontId="0" fillId="0" borderId="76" xfId="0" applyNumberFormat="1" applyBorder="1"/>
    <xf numFmtId="164" fontId="0" fillId="0" borderId="154" xfId="0" applyNumberFormat="1" applyBorder="1"/>
    <xf numFmtId="164" fontId="0" fillId="0" borderId="145" xfId="0" applyNumberFormat="1" applyBorder="1"/>
    <xf numFmtId="164" fontId="0" fillId="0" borderId="151" xfId="0" applyNumberFormat="1" applyBorder="1"/>
    <xf numFmtId="16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0" fontId="0" fillId="0" borderId="160" xfId="0" applyBorder="1" applyAlignment="1">
      <alignment horizontal="center"/>
    </xf>
    <xf numFmtId="0" fontId="0" fillId="0" borderId="160" xfId="0" applyBorder="1"/>
    <xf numFmtId="164" fontId="0" fillId="0" borderId="75" xfId="0" applyNumberFormat="1" applyBorder="1"/>
    <xf numFmtId="164" fontId="0" fillId="0" borderId="15" xfId="0" applyNumberFormat="1" applyBorder="1"/>
    <xf numFmtId="0" fontId="0" fillId="0" borderId="158" xfId="0" applyBorder="1"/>
    <xf numFmtId="0" fontId="0" fillId="0" borderId="159" xfId="0" applyBorder="1"/>
    <xf numFmtId="0" fontId="0" fillId="0" borderId="155" xfId="0" applyBorder="1" applyAlignment="1">
      <alignment horizontal="right"/>
    </xf>
    <xf numFmtId="0" fontId="0" fillId="0" borderId="161" xfId="0" applyBorder="1"/>
    <xf numFmtId="0" fontId="0" fillId="0" borderId="162" xfId="0" applyBorder="1"/>
    <xf numFmtId="0" fontId="0" fillId="0" borderId="156" xfId="0" applyBorder="1" applyAlignment="1">
      <alignment horizontal="right"/>
    </xf>
    <xf numFmtId="0" fontId="0" fillId="0" borderId="157" xfId="0" applyBorder="1"/>
    <xf numFmtId="0" fontId="0" fillId="0" borderId="156" xfId="0" applyBorder="1"/>
    <xf numFmtId="0" fontId="0" fillId="0" borderId="0" xfId="0" applyBorder="1" applyAlignment="1">
      <alignment horizontal="center"/>
    </xf>
    <xf numFmtId="0" fontId="0" fillId="0" borderId="68" xfId="0" applyBorder="1" applyAlignment="1">
      <alignment horizontal="right"/>
    </xf>
    <xf numFmtId="0" fontId="0" fillId="0" borderId="164" xfId="0" applyBorder="1"/>
    <xf numFmtId="0" fontId="0" fillId="0" borderId="165" xfId="0" applyBorder="1"/>
    <xf numFmtId="0" fontId="0" fillId="0" borderId="140" xfId="0" applyBorder="1"/>
    <xf numFmtId="165" fontId="0" fillId="0" borderId="0" xfId="0" applyNumberFormat="1"/>
    <xf numFmtId="0" fontId="0" fillId="0" borderId="163" xfId="0" applyBorder="1"/>
    <xf numFmtId="0" fontId="0" fillId="0" borderId="166" xfId="0" applyBorder="1"/>
    <xf numFmtId="0" fontId="0" fillId="0" borderId="136" xfId="0" applyBorder="1"/>
    <xf numFmtId="0" fontId="0" fillId="0" borderId="0" xfId="0" applyAlignment="1">
      <alignment horizontal="center"/>
    </xf>
    <xf numFmtId="164" fontId="0" fillId="0" borderId="99" xfId="0" applyNumberFormat="1" applyBorder="1" applyAlignment="1">
      <alignment horizontal="center"/>
    </xf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0" xfId="0" applyBorder="1" applyAlignment="1">
      <alignment horizontal="center"/>
    </xf>
    <xf numFmtId="0" fontId="0" fillId="0" borderId="171" xfId="0" applyBorder="1"/>
    <xf numFmtId="0" fontId="0" fillId="4" borderId="171" xfId="0" applyFill="1" applyBorder="1"/>
    <xf numFmtId="0" fontId="0" fillId="0" borderId="172" xfId="0" applyBorder="1"/>
    <xf numFmtId="0" fontId="0" fillId="0" borderId="1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9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35" xfId="0" applyBorder="1"/>
    <xf numFmtId="0" fontId="0" fillId="0" borderId="173" xfId="0" applyBorder="1"/>
    <xf numFmtId="0" fontId="0" fillId="0" borderId="0" xfId="0" applyAlignment="1">
      <alignment horizontal="center"/>
    </xf>
    <xf numFmtId="0" fontId="0" fillId="0" borderId="139" xfId="0" applyBorder="1"/>
    <xf numFmtId="0" fontId="0" fillId="0" borderId="141" xfId="0" applyBorder="1"/>
    <xf numFmtId="0" fontId="0" fillId="0" borderId="173" xfId="0" applyBorder="1" applyAlignment="1">
      <alignment horizontal="center"/>
    </xf>
    <xf numFmtId="0" fontId="0" fillId="0" borderId="175" xfId="0" applyBorder="1"/>
    <xf numFmtId="0" fontId="0" fillId="0" borderId="1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4" xfId="0" applyBorder="1" applyAlignment="1">
      <alignment horizontal="center"/>
    </xf>
    <xf numFmtId="0" fontId="0" fillId="0" borderId="17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50" xfId="0" applyBorder="1"/>
    <xf numFmtId="0" fontId="0" fillId="0" borderId="0" xfId="0" quotePrefix="1" applyBorder="1"/>
    <xf numFmtId="0" fontId="0" fillId="0" borderId="0" xfId="0" applyAlignment="1">
      <alignment horizontal="center"/>
    </xf>
    <xf numFmtId="166" fontId="0" fillId="0" borderId="176" xfId="0" applyNumberFormat="1" applyBorder="1"/>
    <xf numFmtId="166" fontId="0" fillId="0" borderId="124" xfId="0" applyNumberFormat="1" applyBorder="1"/>
    <xf numFmtId="166" fontId="0" fillId="0" borderId="85" xfId="0" applyNumberFormat="1" applyBorder="1"/>
    <xf numFmtId="166" fontId="0" fillId="0" borderId="77" xfId="0" applyNumberFormat="1" applyBorder="1"/>
    <xf numFmtId="166" fontId="0" fillId="0" borderId="0" xfId="0" applyNumberFormat="1" applyBorder="1"/>
    <xf numFmtId="166" fontId="0" fillId="0" borderId="74" xfId="0" applyNumberFormat="1" applyBorder="1"/>
    <xf numFmtId="166" fontId="0" fillId="0" borderId="69" xfId="0" applyNumberFormat="1" applyBorder="1"/>
    <xf numFmtId="166" fontId="0" fillId="0" borderId="99" xfId="0" applyNumberFormat="1" applyBorder="1"/>
    <xf numFmtId="166" fontId="0" fillId="0" borderId="71" xfId="0" applyNumberFormat="1" applyBorder="1"/>
    <xf numFmtId="0" fontId="0" fillId="0" borderId="176" xfId="0" applyBorder="1"/>
    <xf numFmtId="2" fontId="0" fillId="0" borderId="0" xfId="0" applyNumberFormat="1" applyBorder="1"/>
    <xf numFmtId="2" fontId="0" fillId="0" borderId="74" xfId="0" applyNumberFormat="1" applyBorder="1"/>
    <xf numFmtId="2" fontId="0" fillId="0" borderId="176" xfId="0" applyNumberFormat="1" applyBorder="1"/>
    <xf numFmtId="2" fontId="0" fillId="0" borderId="124" xfId="0" applyNumberFormat="1" applyBorder="1"/>
    <xf numFmtId="164" fontId="0" fillId="0" borderId="85" xfId="0" applyNumberFormat="1" applyBorder="1"/>
    <xf numFmtId="3" fontId="0" fillId="0" borderId="0" xfId="0" applyNumberFormat="1" applyBorder="1"/>
    <xf numFmtId="2" fontId="0" fillId="0" borderId="77" xfId="0" applyNumberFormat="1" applyBorder="1"/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77" xfId="0" applyBorder="1" applyAlignment="1">
      <alignment horizontal="center"/>
    </xf>
    <xf numFmtId="0" fontId="0" fillId="0" borderId="178" xfId="0" applyBorder="1" applyAlignment="1">
      <alignment horizontal="center"/>
    </xf>
    <xf numFmtId="0" fontId="0" fillId="0" borderId="176" xfId="0" applyBorder="1" applyAlignment="1">
      <alignment horizontal="center"/>
    </xf>
    <xf numFmtId="0" fontId="0" fillId="0" borderId="99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1" applyFont="1" applyAlignment="1" applyProtection="1"/>
    <xf numFmtId="0" fontId="0" fillId="0" borderId="182" xfId="0" applyBorder="1"/>
    <xf numFmtId="0" fontId="0" fillId="0" borderId="182" xfId="0" applyBorder="1" applyAlignment="1">
      <alignment horizontal="right"/>
    </xf>
    <xf numFmtId="0" fontId="0" fillId="0" borderId="183" xfId="0" applyBorder="1"/>
    <xf numFmtId="0" fontId="0" fillId="0" borderId="184" xfId="0" applyBorder="1"/>
    <xf numFmtId="0" fontId="0" fillId="4" borderId="167" xfId="0" applyFill="1" applyBorder="1"/>
    <xf numFmtId="0" fontId="0" fillId="4" borderId="168" xfId="0" applyFill="1" applyBorder="1"/>
    <xf numFmtId="0" fontId="0" fillId="4" borderId="169" xfId="0" applyFill="1" applyBorder="1"/>
    <xf numFmtId="0" fontId="0" fillId="0" borderId="113" xfId="0" applyBorder="1"/>
    <xf numFmtId="0" fontId="0" fillId="0" borderId="99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179" xfId="0" applyNumberFormat="1" applyBorder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166" fontId="0" fillId="0" borderId="185" xfId="0" applyNumberFormat="1" applyBorder="1"/>
    <xf numFmtId="166" fontId="0" fillId="0" borderId="173" xfId="0" applyNumberFormat="1" applyBorder="1"/>
    <xf numFmtId="166" fontId="0" fillId="0" borderId="186" xfId="0" applyNumberFormat="1" applyBorder="1"/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4" borderId="187" xfId="0" applyFill="1" applyBorder="1"/>
    <xf numFmtId="0" fontId="0" fillId="4" borderId="188" xfId="0" applyFill="1" applyBorder="1"/>
    <xf numFmtId="0" fontId="0" fillId="4" borderId="189" xfId="0" applyFill="1" applyBorder="1"/>
    <xf numFmtId="0" fontId="0" fillId="0" borderId="163" xfId="0" applyBorder="1" applyAlignment="1">
      <alignment horizontal="right"/>
    </xf>
    <xf numFmtId="0" fontId="0" fillId="0" borderId="193" xfId="0" applyBorder="1"/>
    <xf numFmtId="0" fontId="0" fillId="0" borderId="0" xfId="0" applyAlignment="1">
      <alignment horizontal="center"/>
    </xf>
    <xf numFmtId="0" fontId="0" fillId="0" borderId="194" xfId="0" applyBorder="1"/>
    <xf numFmtId="0" fontId="0" fillId="0" borderId="0" xfId="0" applyAlignment="1">
      <alignment horizontal="center"/>
    </xf>
    <xf numFmtId="167" fontId="0" fillId="0" borderId="0" xfId="0" applyNumberFormat="1"/>
    <xf numFmtId="2" fontId="0" fillId="0" borderId="195" xfId="0" applyNumberFormat="1" applyBorder="1"/>
    <xf numFmtId="2" fontId="0" fillId="0" borderId="179" xfId="0" applyNumberFormat="1" applyBorder="1"/>
    <xf numFmtId="2" fontId="0" fillId="0" borderId="185" xfId="0" applyNumberFormat="1" applyBorder="1"/>
    <xf numFmtId="2" fontId="0" fillId="0" borderId="194" xfId="0" applyNumberFormat="1" applyBorder="1"/>
    <xf numFmtId="2" fontId="0" fillId="0" borderId="186" xfId="0" applyNumberFormat="1" applyBorder="1"/>
    <xf numFmtId="167" fontId="0" fillId="0" borderId="0" xfId="0" applyNumberFormat="1" applyBorder="1"/>
    <xf numFmtId="0" fontId="0" fillId="0" borderId="179" xfId="0" applyBorder="1"/>
    <xf numFmtId="0" fontId="0" fillId="0" borderId="185" xfId="0" applyBorder="1"/>
    <xf numFmtId="0" fontId="0" fillId="0" borderId="186" xfId="0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94" xfId="0" applyBorder="1" applyAlignment="1">
      <alignment horizontal="center"/>
    </xf>
    <xf numFmtId="0" fontId="0" fillId="0" borderId="199" xfId="0" applyBorder="1"/>
    <xf numFmtId="0" fontId="0" fillId="0" borderId="200" xfId="0" applyBorder="1"/>
    <xf numFmtId="0" fontId="0" fillId="0" borderId="199" xfId="0" applyBorder="1" applyAlignment="1">
      <alignment horizontal="center"/>
    </xf>
    <xf numFmtId="0" fontId="0" fillId="0" borderId="185" xfId="0" applyBorder="1" applyAlignment="1">
      <alignment horizontal="center"/>
    </xf>
    <xf numFmtId="0" fontId="0" fillId="0" borderId="194" xfId="0" applyBorder="1" applyAlignment="1">
      <alignment horizontal="right"/>
    </xf>
    <xf numFmtId="0" fontId="0" fillId="0" borderId="199" xfId="0" quotePrefix="1" applyBorder="1"/>
    <xf numFmtId="0" fontId="0" fillId="0" borderId="124" xfId="0" quotePrefix="1" applyBorder="1" applyAlignment="1">
      <alignment horizontal="right"/>
    </xf>
    <xf numFmtId="0" fontId="0" fillId="0" borderId="200" xfId="0" quotePrefix="1" applyBorder="1"/>
    <xf numFmtId="0" fontId="0" fillId="0" borderId="77" xfId="0" quotePrefix="1" applyBorder="1"/>
    <xf numFmtId="0" fontId="0" fillId="0" borderId="0" xfId="0" quotePrefix="1" applyBorder="1" applyAlignment="1">
      <alignment horizontal="right"/>
    </xf>
    <xf numFmtId="0" fontId="0" fillId="0" borderId="74" xfId="0" quotePrefix="1" applyBorder="1"/>
    <xf numFmtId="0" fontId="0" fillId="0" borderId="185" xfId="0" quotePrefix="1" applyBorder="1"/>
    <xf numFmtId="0" fontId="0" fillId="0" borderId="194" xfId="0" quotePrefix="1" applyBorder="1" applyAlignment="1">
      <alignment horizontal="right"/>
    </xf>
    <xf numFmtId="0" fontId="0" fillId="0" borderId="186" xfId="0" quotePrefix="1" applyBorder="1"/>
    <xf numFmtId="0" fontId="0" fillId="0" borderId="156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73" xfId="0" applyFont="1" applyBorder="1" applyAlignment="1">
      <alignment horizontal="center"/>
    </xf>
    <xf numFmtId="0" fontId="0" fillId="0" borderId="173" xfId="0" applyBorder="1" applyAlignment="1">
      <alignment horizontal="right"/>
    </xf>
    <xf numFmtId="0" fontId="0" fillId="0" borderId="201" xfId="0" applyBorder="1"/>
    <xf numFmtId="0" fontId="0" fillId="0" borderId="193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200" xfId="0" applyBorder="1" applyAlignment="1">
      <alignment horizontal="center"/>
    </xf>
    <xf numFmtId="0" fontId="0" fillId="0" borderId="201" xfId="0" applyBorder="1" applyAlignment="1">
      <alignment horizontal="center"/>
    </xf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56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6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5" xfId="0" applyBorder="1" applyAlignment="1">
      <alignment horizontal="center"/>
    </xf>
    <xf numFmtId="0" fontId="0" fillId="0" borderId="205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167" xfId="0" applyFont="1" applyBorder="1"/>
    <xf numFmtId="0" fontId="18" fillId="0" borderId="168" xfId="0" applyFont="1" applyBorder="1"/>
    <xf numFmtId="0" fontId="18" fillId="0" borderId="169" xfId="0" applyFont="1" applyBorder="1"/>
    <xf numFmtId="0" fontId="18" fillId="0" borderId="190" xfId="0" applyFont="1" applyBorder="1"/>
    <xf numFmtId="0" fontId="18" fillId="0" borderId="191" xfId="0" applyFont="1" applyBorder="1"/>
    <xf numFmtId="0" fontId="18" fillId="0" borderId="192" xfId="0" applyFont="1" applyBorder="1"/>
    <xf numFmtId="0" fontId="19" fillId="0" borderId="0" xfId="0" applyFont="1" applyAlignment="1">
      <alignment horizontal="right"/>
    </xf>
    <xf numFmtId="0" fontId="7" fillId="0" borderId="205" xfId="0" applyFont="1" applyBorder="1"/>
    <xf numFmtId="0" fontId="0" fillId="0" borderId="0" xfId="0" applyAlignment="1">
      <alignment horizontal="center"/>
    </xf>
    <xf numFmtId="0" fontId="21" fillId="0" borderId="0" xfId="0" applyFont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center"/>
    </xf>
    <xf numFmtId="0" fontId="0" fillId="0" borderId="20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4" xfId="0" applyBorder="1" applyAlignment="1">
      <alignment horizontal="right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3" borderId="208" xfId="0" applyFill="1" applyBorder="1" applyAlignment="1">
      <alignment horizontal="center" vertical="center" wrapText="1"/>
    </xf>
    <xf numFmtId="0" fontId="0" fillId="3" borderId="78" xfId="0" applyFill="1" applyBorder="1" applyAlignment="1">
      <alignment horizontal="center" vertical="center" wrapText="1"/>
    </xf>
    <xf numFmtId="0" fontId="0" fillId="3" borderId="78" xfId="0" applyFill="1" applyBorder="1" applyAlignment="1">
      <alignment horizontal="right" vertical="center" wrapText="1"/>
    </xf>
    <xf numFmtId="0" fontId="0" fillId="3" borderId="209" xfId="0" applyFill="1" applyBorder="1" applyAlignment="1">
      <alignment horizontal="center" vertical="center" wrapText="1"/>
    </xf>
    <xf numFmtId="0" fontId="0" fillId="3" borderId="182" xfId="0" applyFill="1" applyBorder="1" applyAlignment="1">
      <alignment horizontal="center" vertical="center" wrapText="1"/>
    </xf>
    <xf numFmtId="0" fontId="0" fillId="3" borderId="182" xfId="0" applyFill="1" applyBorder="1" applyAlignment="1">
      <alignment horizontal="right" vertical="center" wrapText="1"/>
    </xf>
    <xf numFmtId="165" fontId="0" fillId="0" borderId="205" xfId="0" applyNumberFormat="1" applyBorder="1"/>
    <xf numFmtId="0" fontId="0" fillId="0" borderId="210" xfId="0" applyBorder="1"/>
    <xf numFmtId="0" fontId="0" fillId="0" borderId="211" xfId="0" applyBorder="1"/>
    <xf numFmtId="0" fontId="0" fillId="0" borderId="198" xfId="0" applyBorder="1" applyAlignment="1">
      <alignment horizontal="center"/>
    </xf>
    <xf numFmtId="0" fontId="0" fillId="0" borderId="212" xfId="0" applyBorder="1" applyAlignment="1">
      <alignment horizontal="center"/>
    </xf>
    <xf numFmtId="0" fontId="0" fillId="0" borderId="213" xfId="0" applyBorder="1" applyAlignment="1">
      <alignment horizontal="center"/>
    </xf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2" xfId="0" applyBorder="1"/>
    <xf numFmtId="0" fontId="0" fillId="0" borderId="207" xfId="0" applyBorder="1"/>
    <xf numFmtId="0" fontId="0" fillId="0" borderId="20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5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80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181" xfId="0" applyBorder="1" applyAlignment="1">
      <alignment horizontal="center"/>
    </xf>
    <xf numFmtId="0" fontId="0" fillId="0" borderId="38" xfId="0" quotePrefix="1" applyBorder="1" applyAlignment="1"/>
    <xf numFmtId="0" fontId="0" fillId="0" borderId="0" xfId="0" applyAlignment="1"/>
    <xf numFmtId="0" fontId="4" fillId="0" borderId="0" xfId="0" applyFont="1" applyAlignment="1"/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205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2"/>
    <cellStyle name="Normal 3" xfId="3"/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Raw Data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Transform'!$A$25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Transform'!$B$25:$F$25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15</c:v>
                </c:pt>
                <c:pt idx="4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5F-4267-B10E-3F6FF4B9CD10}"/>
            </c:ext>
          </c:extLst>
        </c:ser>
        <c:ser>
          <c:idx val="1"/>
          <c:order val="1"/>
          <c:tx>
            <c:strRef>
              <c:f>'Log Transform'!$A$26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Transform'!$B$26:$F$26</c:f>
              <c:numCache>
                <c:formatCode>General</c:formatCode>
                <c:ptCount val="5"/>
                <c:pt idx="0">
                  <c:v>6.25</c:v>
                </c:pt>
                <c:pt idx="1">
                  <c:v>6.5</c:v>
                </c:pt>
                <c:pt idx="2">
                  <c:v>7.25</c:v>
                </c:pt>
                <c:pt idx="3">
                  <c:v>7.5</c:v>
                </c:pt>
                <c:pt idx="4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5F-4267-B10E-3F6FF4B9CD10}"/>
            </c:ext>
          </c:extLst>
        </c:ser>
        <c:ser>
          <c:idx val="2"/>
          <c:order val="2"/>
          <c:tx>
            <c:strRef>
              <c:f>'Log Transform'!$A$27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Transform'!$B$27:$F$27</c:f>
              <c:numCache>
                <c:formatCode>General</c:formatCode>
                <c:ptCount val="5"/>
                <c:pt idx="0">
                  <c:v>1.25</c:v>
                </c:pt>
                <c:pt idx="1">
                  <c:v>24</c:v>
                </c:pt>
                <c:pt idx="2">
                  <c:v>5.25</c:v>
                </c:pt>
                <c:pt idx="3">
                  <c:v>10.5</c:v>
                </c:pt>
                <c:pt idx="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25F-4267-B10E-3F6FF4B9CD10}"/>
            </c:ext>
          </c:extLst>
        </c:ser>
        <c:ser>
          <c:idx val="3"/>
          <c:order val="3"/>
          <c:tx>
            <c:strRef>
              <c:f>'Log Transform'!$A$28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Transform'!$B$29:$F$29</c:f>
                <c:numCache>
                  <c:formatCode>General</c:formatCode>
                  <c:ptCount val="5"/>
                  <c:pt idx="0">
                    <c:v>14</c:v>
                  </c:pt>
                  <c:pt idx="1">
                    <c:v>7.75</c:v>
                  </c:pt>
                  <c:pt idx="2">
                    <c:v>11.5</c:v>
                  </c:pt>
                  <c:pt idx="3">
                    <c:v>26.5</c:v>
                  </c:pt>
                  <c:pt idx="4">
                    <c:v>27</c:v>
                  </c:pt>
                </c:numCache>
              </c:numRef>
            </c:plus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Transform'!$B$28:$F$28</c:f>
              <c:numCache>
                <c:formatCode>General</c:formatCode>
                <c:ptCount val="5"/>
                <c:pt idx="0">
                  <c:v>5.5</c:v>
                </c:pt>
                <c:pt idx="1">
                  <c:v>15.75</c:v>
                </c:pt>
                <c:pt idx="2">
                  <c:v>12</c:v>
                </c:pt>
                <c:pt idx="3">
                  <c:v>8.5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25F-4267-B10E-3F6FF4B9C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521984"/>
        <c:axId val="363136704"/>
      </c:barChart>
      <c:catAx>
        <c:axId val="364521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3136704"/>
        <c:crosses val="autoZero"/>
        <c:auto val="1"/>
        <c:lblAlgn val="ctr"/>
        <c:lblOffset val="100"/>
        <c:noMultiLvlLbl val="0"/>
      </c:catAx>
      <c:valAx>
        <c:axId val="36313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521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Transform'!$A$41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Transform'!$B$41:$F$41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0.95424250943932487</c:v>
                </c:pt>
                <c:pt idx="2">
                  <c:v>0.77815125038364363</c:v>
                </c:pt>
                <c:pt idx="3">
                  <c:v>1.1760912590556813</c:v>
                </c:pt>
                <c:pt idx="4">
                  <c:v>1.3222192947339193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B-4DF9-9339-EB8B7B127398}"/>
            </c:ext>
          </c:extLst>
        </c:ser>
        <c:ser>
          <c:idx val="1"/>
          <c:order val="1"/>
          <c:tx>
            <c:strRef>
              <c:f>'Log Transform'!$A$42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Transform'!$B$42:$F$42</c:f>
              <c:numCache>
                <c:formatCode>General</c:formatCode>
                <c:ptCount val="5"/>
                <c:pt idx="0">
                  <c:v>0.35186982104455622</c:v>
                </c:pt>
                <c:pt idx="1">
                  <c:v>0.22164696379520088</c:v>
                </c:pt>
                <c:pt idx="2">
                  <c:v>0.3438382727660434</c:v>
                </c:pt>
                <c:pt idx="3">
                  <c:v>0.17575944164099311</c:v>
                </c:pt>
                <c:pt idx="4">
                  <c:v>0.41017446508904931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B-4DF9-9339-EB8B7B127398}"/>
            </c:ext>
          </c:extLst>
        </c:ser>
        <c:ser>
          <c:idx val="2"/>
          <c:order val="2"/>
          <c:tx>
            <c:strRef>
              <c:f>'Log Transform'!$A$43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Transform'!$B$43:$F$43</c:f>
              <c:numCache>
                <c:formatCode>General</c:formatCode>
                <c:ptCount val="5"/>
                <c:pt idx="0">
                  <c:v>4.5722473796655727E-2</c:v>
                </c:pt>
                <c:pt idx="1">
                  <c:v>0.40147463048555188</c:v>
                </c:pt>
                <c:pt idx="2">
                  <c:v>0.14118011554523502</c:v>
                </c:pt>
                <c:pt idx="3">
                  <c:v>0.16646374698440614</c:v>
                </c:pt>
                <c:pt idx="4">
                  <c:v>2.3481095849522848E-2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7B-4DF9-9339-EB8B7B127398}"/>
            </c:ext>
          </c:extLst>
        </c:ser>
        <c:ser>
          <c:idx val="3"/>
          <c:order val="3"/>
          <c:tx>
            <c:strRef>
              <c:f>'Log Transform'!$A$44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Transform'!$B$45:$F$45</c:f>
                <c:numCache>
                  <c:formatCode>General</c:formatCode>
                  <c:ptCount val="5"/>
                  <c:pt idx="0">
                    <c:v>0.25206196284136406</c:v>
                  </c:pt>
                  <c:pt idx="1">
                    <c:v>5.7130561798734103E-2</c:v>
                  </c:pt>
                  <c:pt idx="2">
                    <c:v>0.13912852054745706</c:v>
                  </c:pt>
                  <c:pt idx="3">
                    <c:v>0.21666143742923372</c:v>
                  </c:pt>
                  <c:pt idx="4">
                    <c:v>0.15286141833720657</c:v>
                  </c:pt>
                </c:numCache>
              </c:numRef>
            </c:plus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Transform'!$B$44:$F$44</c:f>
              <c:numCache>
                <c:formatCode>General</c:formatCode>
                <c:ptCount val="5"/>
                <c:pt idx="0">
                  <c:v>0.15652571630131118</c:v>
                </c:pt>
                <c:pt idx="1">
                  <c:v>0.16484588393476995</c:v>
                </c:pt>
                <c:pt idx="2">
                  <c:v>0.22095113115552145</c:v>
                </c:pt>
                <c:pt idx="3">
                  <c:v>9.7533027595922084E-2</c:v>
                </c:pt>
                <c:pt idx="4">
                  <c:v>5.0305118311395614E-2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67B-4DF9-9339-EB8B7B127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212160"/>
        <c:axId val="363139008"/>
      </c:barChart>
      <c:catAx>
        <c:axId val="365212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3139008"/>
        <c:crosses val="autoZero"/>
        <c:auto val="1"/>
        <c:lblAlgn val="ctr"/>
        <c:lblOffset val="100"/>
        <c:noMultiLvlLbl val="0"/>
      </c:catAx>
      <c:valAx>
        <c:axId val="36313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212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KW!$F$26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KW!$G$26:$I$26</c:f>
              <c:numCache>
                <c:formatCode>General</c:formatCode>
                <c:ptCount val="3"/>
                <c:pt idx="0">
                  <c:v>32</c:v>
                </c:pt>
                <c:pt idx="1">
                  <c:v>15</c:v>
                </c:pt>
                <c:pt idx="2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30A-4F3F-83BC-D8B2111942EA}"/>
            </c:ext>
          </c:extLst>
        </c:ser>
        <c:ser>
          <c:idx val="1"/>
          <c:order val="1"/>
          <c:tx>
            <c:strRef>
              <c:f>KW!$F$27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KW!$G$27:$I$27</c:f>
              <c:numCache>
                <c:formatCode>General</c:formatCode>
                <c:ptCount val="3"/>
                <c:pt idx="0">
                  <c:v>6.75</c:v>
                </c:pt>
                <c:pt idx="1">
                  <c:v>10</c:v>
                </c:pt>
                <c:pt idx="2">
                  <c:v>1.75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30A-4F3F-83BC-D8B2111942EA}"/>
            </c:ext>
          </c:extLst>
        </c:ser>
        <c:ser>
          <c:idx val="2"/>
          <c:order val="2"/>
          <c:tx>
            <c:strRef>
              <c:f>KW!$F$28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KW!$G$28:$I$28</c:f>
              <c:numCache>
                <c:formatCode>General</c:formatCode>
                <c:ptCount val="3"/>
                <c:pt idx="0">
                  <c:v>4.25</c:v>
                </c:pt>
                <c:pt idx="1">
                  <c:v>5</c:v>
                </c:pt>
                <c:pt idx="2">
                  <c:v>4.25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30A-4F3F-83BC-D8B2111942EA}"/>
            </c:ext>
          </c:extLst>
        </c:ser>
        <c:ser>
          <c:idx val="3"/>
          <c:order val="3"/>
          <c:tx>
            <c:strRef>
              <c:f>KW!$F$29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KW!$G$30:$I$30</c:f>
                <c:numCache>
                  <c:formatCode>General</c:formatCode>
                  <c:ptCount val="3"/>
                  <c:pt idx="0">
                    <c:v>13.5</c:v>
                  </c:pt>
                  <c:pt idx="1">
                    <c:v>8</c:v>
                  </c:pt>
                  <c:pt idx="2">
                    <c:v>12.25</c:v>
                  </c:pt>
                </c:numCache>
              </c:numRef>
            </c:plus>
          </c:errBars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KW!$G$29:$I$29</c:f>
              <c:numCache>
                <c:formatCode>General</c:formatCode>
                <c:ptCount val="3"/>
                <c:pt idx="0">
                  <c:v>5.5</c:v>
                </c:pt>
                <c:pt idx="1">
                  <c:v>2</c:v>
                </c:pt>
                <c:pt idx="2">
                  <c:v>13.75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30A-4F3F-83BC-D8B2111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368384"/>
        <c:axId val="36314131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KW!$G$31:$I$31</c:f>
              <c:numCache>
                <c:formatCode>General</c:formatCode>
                <c:ptCount val="3"/>
                <c:pt idx="0">
                  <c:v>47.3</c:v>
                </c:pt>
                <c:pt idx="1">
                  <c:v>30.333333333333332</c:v>
                </c:pt>
                <c:pt idx="2">
                  <c:v>28.75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30A-4F3F-83BC-D8B2111942EA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KW!$G$42</c:f>
              <c:numCache>
                <c:formatCode>General</c:formatCode>
                <c:ptCount val="1"/>
                <c:pt idx="0">
                  <c:v>81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30A-4F3F-83BC-D8B2111942EA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KW!$H$42</c:f>
              <c:numCache>
                <c:formatCode>General</c:formatCode>
                <c:ptCount val="1"/>
                <c:pt idx="0">
                  <c:v>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30A-4F3F-83BC-D8B2111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368384"/>
        <c:axId val="363141312"/>
      </c:scatterChart>
      <c:catAx>
        <c:axId val="36436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141312"/>
        <c:crosses val="autoZero"/>
        <c:auto val="1"/>
        <c:lblAlgn val="ctr"/>
        <c:lblOffset val="100"/>
        <c:noMultiLvlLbl val="0"/>
      </c:catAx>
      <c:valAx>
        <c:axId val="36314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368384"/>
        <c:crosses val="autoZero"/>
        <c:crossBetween val="between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Histogram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Resamp'!$O$6:$O$19</c:f>
              <c:strCache>
                <c:ptCount val="14"/>
                <c:pt idx="0">
                  <c:v>0</c:v>
                </c:pt>
                <c:pt idx="1">
                  <c:v>0,5</c:v>
                </c:pt>
                <c:pt idx="2">
                  <c:v>1</c:v>
                </c:pt>
                <c:pt idx="3">
                  <c:v>1,5</c:v>
                </c:pt>
                <c:pt idx="4">
                  <c:v>2</c:v>
                </c:pt>
                <c:pt idx="5">
                  <c:v>2,5</c:v>
                </c:pt>
                <c:pt idx="6">
                  <c:v>3</c:v>
                </c:pt>
                <c:pt idx="7">
                  <c:v>3,5</c:v>
                </c:pt>
                <c:pt idx="8">
                  <c:v>4</c:v>
                </c:pt>
                <c:pt idx="9">
                  <c:v>4,5</c:v>
                </c:pt>
                <c:pt idx="10">
                  <c:v>5</c:v>
                </c:pt>
                <c:pt idx="11">
                  <c:v>5,5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Resamp'!$P$6:$P$19</c:f>
              <c:numCache>
                <c:formatCode>General</c:formatCode>
                <c:ptCount val="14"/>
                <c:pt idx="0">
                  <c:v>0</c:v>
                </c:pt>
                <c:pt idx="1">
                  <c:v>3879</c:v>
                </c:pt>
                <c:pt idx="2">
                  <c:v>2281</c:v>
                </c:pt>
                <c:pt idx="3">
                  <c:v>1402</c:v>
                </c:pt>
                <c:pt idx="4">
                  <c:v>858</c:v>
                </c:pt>
                <c:pt idx="5">
                  <c:v>562</c:v>
                </c:pt>
                <c:pt idx="6">
                  <c:v>348</c:v>
                </c:pt>
                <c:pt idx="7">
                  <c:v>220</c:v>
                </c:pt>
                <c:pt idx="8">
                  <c:v>141</c:v>
                </c:pt>
                <c:pt idx="9">
                  <c:v>83</c:v>
                </c:pt>
                <c:pt idx="10">
                  <c:v>72</c:v>
                </c:pt>
                <c:pt idx="11">
                  <c:v>55</c:v>
                </c:pt>
                <c:pt idx="12">
                  <c:v>28</c:v>
                </c:pt>
                <c:pt idx="13">
                  <c:v>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AE-4284-B893-376D1E0DF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124544"/>
        <c:axId val="365322816"/>
      </c:barChart>
      <c:catAx>
        <c:axId val="36612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322816"/>
        <c:crosses val="autoZero"/>
        <c:auto val="1"/>
        <c:lblAlgn val="ctr"/>
        <c:lblOffset val="100"/>
        <c:noMultiLvlLbl val="0"/>
      </c:catAx>
      <c:valAx>
        <c:axId val="3653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1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Resamp'!$AI$6:$AI$19</c:f>
              <c:strCache>
                <c:ptCount val="14"/>
                <c:pt idx="0">
                  <c:v>0</c:v>
                </c:pt>
                <c:pt idx="1">
                  <c:v>0,5</c:v>
                </c:pt>
                <c:pt idx="2">
                  <c:v>1</c:v>
                </c:pt>
                <c:pt idx="3">
                  <c:v>1,5</c:v>
                </c:pt>
                <c:pt idx="4">
                  <c:v>2</c:v>
                </c:pt>
                <c:pt idx="5">
                  <c:v>2,5</c:v>
                </c:pt>
                <c:pt idx="6">
                  <c:v>3</c:v>
                </c:pt>
                <c:pt idx="7">
                  <c:v>3,5</c:v>
                </c:pt>
                <c:pt idx="8">
                  <c:v>4</c:v>
                </c:pt>
                <c:pt idx="9">
                  <c:v>4,5</c:v>
                </c:pt>
                <c:pt idx="10">
                  <c:v>5</c:v>
                </c:pt>
                <c:pt idx="11">
                  <c:v>5,5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Resamp'!$AJ$6:$AJ$19</c:f>
              <c:numCache>
                <c:formatCode>General</c:formatCode>
                <c:ptCount val="14"/>
                <c:pt idx="0">
                  <c:v>0</c:v>
                </c:pt>
                <c:pt idx="1">
                  <c:v>3927</c:v>
                </c:pt>
                <c:pt idx="2">
                  <c:v>2310</c:v>
                </c:pt>
                <c:pt idx="3">
                  <c:v>1382</c:v>
                </c:pt>
                <c:pt idx="4">
                  <c:v>872</c:v>
                </c:pt>
                <c:pt idx="5">
                  <c:v>556</c:v>
                </c:pt>
                <c:pt idx="6">
                  <c:v>312</c:v>
                </c:pt>
                <c:pt idx="7">
                  <c:v>213</c:v>
                </c:pt>
                <c:pt idx="8">
                  <c:v>139</c:v>
                </c:pt>
                <c:pt idx="9">
                  <c:v>87</c:v>
                </c:pt>
                <c:pt idx="10">
                  <c:v>58</c:v>
                </c:pt>
                <c:pt idx="11">
                  <c:v>37</c:v>
                </c:pt>
                <c:pt idx="12">
                  <c:v>28</c:v>
                </c:pt>
                <c:pt idx="13">
                  <c:v>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7C4-481A-AAF3-1E656B8BA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609408"/>
        <c:axId val="365324544"/>
      </c:barChart>
      <c:catAx>
        <c:axId val="36660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324544"/>
        <c:crosses val="autoZero"/>
        <c:auto val="1"/>
        <c:lblAlgn val="ctr"/>
        <c:lblOffset val="100"/>
        <c:noMultiLvlLbl val="0"/>
      </c:catAx>
      <c:valAx>
        <c:axId val="3653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6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1'!$E$6:$E$37</c:f>
              <c:strCache>
                <c:ptCount val="32"/>
                <c:pt idx="0">
                  <c:v>0</c:v>
                </c:pt>
                <c:pt idx="1">
                  <c:v>0,2</c:v>
                </c:pt>
                <c:pt idx="2">
                  <c:v>0,4</c:v>
                </c:pt>
                <c:pt idx="3">
                  <c:v>0,6</c:v>
                </c:pt>
                <c:pt idx="4">
                  <c:v>0,8</c:v>
                </c:pt>
                <c:pt idx="5">
                  <c:v>1</c:v>
                </c:pt>
                <c:pt idx="6">
                  <c:v>1,2</c:v>
                </c:pt>
                <c:pt idx="7">
                  <c:v>1,4</c:v>
                </c:pt>
                <c:pt idx="8">
                  <c:v>1,6</c:v>
                </c:pt>
                <c:pt idx="9">
                  <c:v>1,8</c:v>
                </c:pt>
                <c:pt idx="10">
                  <c:v>2</c:v>
                </c:pt>
                <c:pt idx="11">
                  <c:v>2,2</c:v>
                </c:pt>
                <c:pt idx="12">
                  <c:v>2,4</c:v>
                </c:pt>
                <c:pt idx="13">
                  <c:v>2,6</c:v>
                </c:pt>
                <c:pt idx="14">
                  <c:v>2,8</c:v>
                </c:pt>
                <c:pt idx="15">
                  <c:v>3</c:v>
                </c:pt>
                <c:pt idx="16">
                  <c:v>3,2</c:v>
                </c:pt>
                <c:pt idx="17">
                  <c:v>3,4</c:v>
                </c:pt>
                <c:pt idx="18">
                  <c:v>3,6</c:v>
                </c:pt>
                <c:pt idx="19">
                  <c:v>3,8</c:v>
                </c:pt>
                <c:pt idx="20">
                  <c:v>4</c:v>
                </c:pt>
                <c:pt idx="21">
                  <c:v>4,2</c:v>
                </c:pt>
                <c:pt idx="22">
                  <c:v>4,4</c:v>
                </c:pt>
                <c:pt idx="23">
                  <c:v>4,6</c:v>
                </c:pt>
                <c:pt idx="24">
                  <c:v>4,8</c:v>
                </c:pt>
                <c:pt idx="25">
                  <c:v>5</c:v>
                </c:pt>
                <c:pt idx="26">
                  <c:v>5,2</c:v>
                </c:pt>
                <c:pt idx="27">
                  <c:v>5,4</c:v>
                </c:pt>
                <c:pt idx="28">
                  <c:v>5,6</c:v>
                </c:pt>
                <c:pt idx="29">
                  <c:v>5,8</c:v>
                </c:pt>
                <c:pt idx="30">
                  <c:v>6</c:v>
                </c:pt>
                <c:pt idx="31">
                  <c:v>More</c:v>
                </c:pt>
              </c:strCache>
            </c:strRef>
          </c:cat>
          <c:val>
            <c:numRef>
              <c:f>'Anova Resamp 1'!$F$6:$F$37</c:f>
              <c:numCache>
                <c:formatCode>General</c:formatCode>
                <c:ptCount val="32"/>
                <c:pt idx="0">
                  <c:v>0</c:v>
                </c:pt>
                <c:pt idx="1">
                  <c:v>1752</c:v>
                </c:pt>
                <c:pt idx="2">
                  <c:v>1463</c:v>
                </c:pt>
                <c:pt idx="3">
                  <c:v>1188</c:v>
                </c:pt>
                <c:pt idx="4">
                  <c:v>964</c:v>
                </c:pt>
                <c:pt idx="5">
                  <c:v>806</c:v>
                </c:pt>
                <c:pt idx="6">
                  <c:v>665</c:v>
                </c:pt>
                <c:pt idx="7">
                  <c:v>523</c:v>
                </c:pt>
                <c:pt idx="8">
                  <c:v>474</c:v>
                </c:pt>
                <c:pt idx="9">
                  <c:v>363</c:v>
                </c:pt>
                <c:pt idx="10">
                  <c:v>296</c:v>
                </c:pt>
                <c:pt idx="11">
                  <c:v>240</c:v>
                </c:pt>
                <c:pt idx="12">
                  <c:v>186</c:v>
                </c:pt>
                <c:pt idx="13">
                  <c:v>181</c:v>
                </c:pt>
                <c:pt idx="14">
                  <c:v>162</c:v>
                </c:pt>
                <c:pt idx="15">
                  <c:v>117</c:v>
                </c:pt>
                <c:pt idx="16">
                  <c:v>95</c:v>
                </c:pt>
                <c:pt idx="17">
                  <c:v>79</c:v>
                </c:pt>
                <c:pt idx="18">
                  <c:v>60</c:v>
                </c:pt>
                <c:pt idx="19">
                  <c:v>68</c:v>
                </c:pt>
                <c:pt idx="20">
                  <c:v>40</c:v>
                </c:pt>
                <c:pt idx="21">
                  <c:v>36</c:v>
                </c:pt>
                <c:pt idx="22">
                  <c:v>24</c:v>
                </c:pt>
                <c:pt idx="23">
                  <c:v>24</c:v>
                </c:pt>
                <c:pt idx="24">
                  <c:v>27</c:v>
                </c:pt>
                <c:pt idx="25">
                  <c:v>13</c:v>
                </c:pt>
                <c:pt idx="26">
                  <c:v>21</c:v>
                </c:pt>
                <c:pt idx="27">
                  <c:v>21</c:v>
                </c:pt>
                <c:pt idx="28">
                  <c:v>14</c:v>
                </c:pt>
                <c:pt idx="29">
                  <c:v>10</c:v>
                </c:pt>
                <c:pt idx="30">
                  <c:v>5</c:v>
                </c:pt>
                <c:pt idx="31">
                  <c:v>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6C-45FD-96AF-5F33D7685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26976"/>
        <c:axId val="365326272"/>
      </c:barChart>
      <c:catAx>
        <c:axId val="36652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65326272"/>
        <c:crosses val="autoZero"/>
        <c:auto val="1"/>
        <c:lblAlgn val="ctr"/>
        <c:lblOffset val="100"/>
        <c:noMultiLvlLbl val="0"/>
      </c:catAx>
      <c:valAx>
        <c:axId val="365326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526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1'!$S$6:$S$87</c:f>
              <c:strCache>
                <c:ptCount val="82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6,1</c:v>
                </c:pt>
                <c:pt idx="62">
                  <c:v>6,2</c:v>
                </c:pt>
                <c:pt idx="63">
                  <c:v>6,3</c:v>
                </c:pt>
                <c:pt idx="64">
                  <c:v>6,4</c:v>
                </c:pt>
                <c:pt idx="65">
                  <c:v>6,5</c:v>
                </c:pt>
                <c:pt idx="66">
                  <c:v>6,6</c:v>
                </c:pt>
                <c:pt idx="67">
                  <c:v>6,7</c:v>
                </c:pt>
                <c:pt idx="68">
                  <c:v>6,8</c:v>
                </c:pt>
                <c:pt idx="69">
                  <c:v>6,9</c:v>
                </c:pt>
                <c:pt idx="70">
                  <c:v>7</c:v>
                </c:pt>
                <c:pt idx="71">
                  <c:v>7,1</c:v>
                </c:pt>
                <c:pt idx="72">
                  <c:v>7,2</c:v>
                </c:pt>
                <c:pt idx="73">
                  <c:v>7,3</c:v>
                </c:pt>
                <c:pt idx="74">
                  <c:v>7,4</c:v>
                </c:pt>
                <c:pt idx="75">
                  <c:v>7,5</c:v>
                </c:pt>
                <c:pt idx="76">
                  <c:v>7,6</c:v>
                </c:pt>
                <c:pt idx="77">
                  <c:v>7,7</c:v>
                </c:pt>
                <c:pt idx="78">
                  <c:v>7,8</c:v>
                </c:pt>
                <c:pt idx="79">
                  <c:v>7,9</c:v>
                </c:pt>
                <c:pt idx="80">
                  <c:v>8</c:v>
                </c:pt>
                <c:pt idx="81">
                  <c:v>More</c:v>
                </c:pt>
              </c:strCache>
            </c:strRef>
          </c:cat>
          <c:val>
            <c:numRef>
              <c:f>'Anova Resamp 1'!$T$6:$T$87</c:f>
              <c:numCache>
                <c:formatCode>General</c:formatCode>
                <c:ptCount val="82"/>
                <c:pt idx="0">
                  <c:v>0</c:v>
                </c:pt>
                <c:pt idx="1">
                  <c:v>960</c:v>
                </c:pt>
                <c:pt idx="2">
                  <c:v>821</c:v>
                </c:pt>
                <c:pt idx="3">
                  <c:v>765</c:v>
                </c:pt>
                <c:pt idx="4">
                  <c:v>672</c:v>
                </c:pt>
                <c:pt idx="5">
                  <c:v>613</c:v>
                </c:pt>
                <c:pt idx="6">
                  <c:v>566</c:v>
                </c:pt>
                <c:pt idx="7">
                  <c:v>475</c:v>
                </c:pt>
                <c:pt idx="8">
                  <c:v>464</c:v>
                </c:pt>
                <c:pt idx="9">
                  <c:v>431</c:v>
                </c:pt>
                <c:pt idx="10">
                  <c:v>381</c:v>
                </c:pt>
                <c:pt idx="11">
                  <c:v>342</c:v>
                </c:pt>
                <c:pt idx="12">
                  <c:v>319</c:v>
                </c:pt>
                <c:pt idx="13">
                  <c:v>256</c:v>
                </c:pt>
                <c:pt idx="14">
                  <c:v>247</c:v>
                </c:pt>
                <c:pt idx="15">
                  <c:v>235</c:v>
                </c:pt>
                <c:pt idx="16">
                  <c:v>243</c:v>
                </c:pt>
                <c:pt idx="17">
                  <c:v>190</c:v>
                </c:pt>
                <c:pt idx="18">
                  <c:v>193</c:v>
                </c:pt>
                <c:pt idx="19">
                  <c:v>132</c:v>
                </c:pt>
                <c:pt idx="20">
                  <c:v>149</c:v>
                </c:pt>
                <c:pt idx="21">
                  <c:v>122</c:v>
                </c:pt>
                <c:pt idx="22">
                  <c:v>110</c:v>
                </c:pt>
                <c:pt idx="23">
                  <c:v>103</c:v>
                </c:pt>
                <c:pt idx="24">
                  <c:v>110</c:v>
                </c:pt>
                <c:pt idx="25">
                  <c:v>82</c:v>
                </c:pt>
                <c:pt idx="26">
                  <c:v>83</c:v>
                </c:pt>
                <c:pt idx="27">
                  <c:v>74</c:v>
                </c:pt>
                <c:pt idx="28">
                  <c:v>72</c:v>
                </c:pt>
                <c:pt idx="29">
                  <c:v>57</c:v>
                </c:pt>
                <c:pt idx="30">
                  <c:v>62</c:v>
                </c:pt>
                <c:pt idx="31">
                  <c:v>58</c:v>
                </c:pt>
                <c:pt idx="32">
                  <c:v>45</c:v>
                </c:pt>
                <c:pt idx="33">
                  <c:v>44</c:v>
                </c:pt>
                <c:pt idx="34">
                  <c:v>48</c:v>
                </c:pt>
                <c:pt idx="35">
                  <c:v>37</c:v>
                </c:pt>
                <c:pt idx="36">
                  <c:v>21</c:v>
                </c:pt>
                <c:pt idx="37">
                  <c:v>34</c:v>
                </c:pt>
                <c:pt idx="38">
                  <c:v>30</c:v>
                </c:pt>
                <c:pt idx="39">
                  <c:v>20</c:v>
                </c:pt>
                <c:pt idx="40">
                  <c:v>26</c:v>
                </c:pt>
                <c:pt idx="41">
                  <c:v>23</c:v>
                </c:pt>
                <c:pt idx="42">
                  <c:v>20</c:v>
                </c:pt>
                <c:pt idx="43">
                  <c:v>26</c:v>
                </c:pt>
                <c:pt idx="44">
                  <c:v>15</c:v>
                </c:pt>
                <c:pt idx="45">
                  <c:v>12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9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9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1-4661-B1DE-0C3ECF5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610944"/>
        <c:axId val="365328000"/>
      </c:barChart>
      <c:catAx>
        <c:axId val="36661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65328000"/>
        <c:crosses val="autoZero"/>
        <c:auto val="1"/>
        <c:lblAlgn val="ctr"/>
        <c:lblOffset val="100"/>
        <c:noMultiLvlLbl val="0"/>
      </c:catAx>
      <c:valAx>
        <c:axId val="365328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610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1'!$Y$6:$Y$27</c:f>
              <c:strCache>
                <c:ptCount val="22"/>
                <c:pt idx="0">
                  <c:v>0,00</c:v>
                </c:pt>
                <c:pt idx="1">
                  <c:v>0,25</c:v>
                </c:pt>
                <c:pt idx="2">
                  <c:v>0,50</c:v>
                </c:pt>
                <c:pt idx="3">
                  <c:v>0,75</c:v>
                </c:pt>
                <c:pt idx="4">
                  <c:v>1,00</c:v>
                </c:pt>
                <c:pt idx="5">
                  <c:v>1,25</c:v>
                </c:pt>
                <c:pt idx="6">
                  <c:v>1,50</c:v>
                </c:pt>
                <c:pt idx="7">
                  <c:v>1,75</c:v>
                </c:pt>
                <c:pt idx="8">
                  <c:v>2,00</c:v>
                </c:pt>
                <c:pt idx="9">
                  <c:v>2,25</c:v>
                </c:pt>
                <c:pt idx="10">
                  <c:v>2,50</c:v>
                </c:pt>
                <c:pt idx="11">
                  <c:v>2,75</c:v>
                </c:pt>
                <c:pt idx="12">
                  <c:v>3,00</c:v>
                </c:pt>
                <c:pt idx="13">
                  <c:v>3,25</c:v>
                </c:pt>
                <c:pt idx="14">
                  <c:v>3,50</c:v>
                </c:pt>
                <c:pt idx="15">
                  <c:v>3,75</c:v>
                </c:pt>
                <c:pt idx="16">
                  <c:v>4,00</c:v>
                </c:pt>
                <c:pt idx="17">
                  <c:v>4,25</c:v>
                </c:pt>
                <c:pt idx="18">
                  <c:v>4,50</c:v>
                </c:pt>
                <c:pt idx="19">
                  <c:v>4,75</c:v>
                </c:pt>
                <c:pt idx="20">
                  <c:v>5,00</c:v>
                </c:pt>
                <c:pt idx="21">
                  <c:v>More</c:v>
                </c:pt>
              </c:strCache>
            </c:strRef>
          </c:cat>
          <c:val>
            <c:numRef>
              <c:f>'Anova Resamp 1'!$Z$6:$Z$27</c:f>
              <c:numCache>
                <c:formatCode>General</c:formatCode>
                <c:ptCount val="22"/>
                <c:pt idx="0">
                  <c:v>0</c:v>
                </c:pt>
                <c:pt idx="1">
                  <c:v>2180</c:v>
                </c:pt>
                <c:pt idx="2">
                  <c:v>1635</c:v>
                </c:pt>
                <c:pt idx="3">
                  <c:v>1252</c:v>
                </c:pt>
                <c:pt idx="4">
                  <c:v>1058</c:v>
                </c:pt>
                <c:pt idx="5">
                  <c:v>748</c:v>
                </c:pt>
                <c:pt idx="6">
                  <c:v>604</c:v>
                </c:pt>
                <c:pt idx="7">
                  <c:v>482</c:v>
                </c:pt>
                <c:pt idx="8">
                  <c:v>394</c:v>
                </c:pt>
                <c:pt idx="9">
                  <c:v>335</c:v>
                </c:pt>
                <c:pt idx="10">
                  <c:v>273</c:v>
                </c:pt>
                <c:pt idx="11">
                  <c:v>211</c:v>
                </c:pt>
                <c:pt idx="12">
                  <c:v>147</c:v>
                </c:pt>
                <c:pt idx="13">
                  <c:v>119</c:v>
                </c:pt>
                <c:pt idx="14">
                  <c:v>105</c:v>
                </c:pt>
                <c:pt idx="15">
                  <c:v>88</c:v>
                </c:pt>
                <c:pt idx="16">
                  <c:v>67</c:v>
                </c:pt>
                <c:pt idx="17">
                  <c:v>54</c:v>
                </c:pt>
                <c:pt idx="18">
                  <c:v>47</c:v>
                </c:pt>
                <c:pt idx="19">
                  <c:v>27</c:v>
                </c:pt>
                <c:pt idx="20">
                  <c:v>26</c:v>
                </c:pt>
                <c:pt idx="21">
                  <c:v>148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9F-4592-8682-9859FA330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28000"/>
        <c:axId val="366346240"/>
      </c:barChart>
      <c:catAx>
        <c:axId val="36652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66346240"/>
        <c:crosses val="autoZero"/>
        <c:auto val="1"/>
        <c:lblAlgn val="ctr"/>
        <c:lblOffset val="100"/>
        <c:noMultiLvlLbl val="0"/>
      </c:catAx>
      <c:valAx>
        <c:axId val="36634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528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Blend X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2.2'!$K$44:$N$44</c:f>
              <c:numCache>
                <c:formatCode>General</c:formatCode>
                <c:ptCount val="4"/>
                <c:pt idx="0">
                  <c:v>131.80000000000001</c:v>
                </c:pt>
                <c:pt idx="1">
                  <c:v>135.4</c:v>
                </c:pt>
                <c:pt idx="2">
                  <c:v>175.8</c:v>
                </c:pt>
                <c:pt idx="3">
                  <c:v>141.19999999999999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D-41D7-8643-436F4E523810}"/>
            </c:ext>
          </c:extLst>
        </c:ser>
        <c:ser>
          <c:idx val="1"/>
          <c:order val="1"/>
          <c:tx>
            <c:v>Blend Y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2.2'!$K$45:$N$45</c:f>
              <c:numCache>
                <c:formatCode>General</c:formatCode>
                <c:ptCount val="4"/>
                <c:pt idx="0">
                  <c:v>143.19999999999999</c:v>
                </c:pt>
                <c:pt idx="1">
                  <c:v>159.6</c:v>
                </c:pt>
                <c:pt idx="2">
                  <c:v>140.19999999999999</c:v>
                </c:pt>
                <c:pt idx="3">
                  <c:v>165.4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D-41D7-8643-436F4E523810}"/>
            </c:ext>
          </c:extLst>
        </c:ser>
        <c:ser>
          <c:idx val="2"/>
          <c:order val="2"/>
          <c:tx>
            <c:v>Blend Z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2.2'!$K$46:$N$46</c:f>
              <c:numCache>
                <c:formatCode>General</c:formatCode>
                <c:ptCount val="4"/>
                <c:pt idx="0">
                  <c:v>164.4</c:v>
                </c:pt>
                <c:pt idx="1">
                  <c:v>173.6</c:v>
                </c:pt>
                <c:pt idx="2">
                  <c:v>186.4</c:v>
                </c:pt>
                <c:pt idx="3">
                  <c:v>172.4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02D-41D7-8643-436F4E523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30048"/>
        <c:axId val="366347392"/>
      </c:lineChart>
      <c:catAx>
        <c:axId val="36653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6347392"/>
        <c:crosses val="autoZero"/>
        <c:auto val="1"/>
        <c:lblAlgn val="ctr"/>
        <c:lblOffset val="100"/>
        <c:noMultiLvlLbl val="0"/>
      </c:catAx>
      <c:valAx>
        <c:axId val="366347392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530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2.2'!$K$43</c:f>
              <c:strCache>
                <c:ptCount val="1"/>
                <c:pt idx="0">
                  <c:v>Wheat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2.2'!$K$44:$K$46</c:f>
              <c:numCache>
                <c:formatCode>General</c:formatCode>
                <c:ptCount val="3"/>
                <c:pt idx="0">
                  <c:v>131.80000000000001</c:v>
                </c:pt>
                <c:pt idx="1">
                  <c:v>143.19999999999999</c:v>
                </c:pt>
                <c:pt idx="2">
                  <c:v>164.4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C0-4D43-A9B7-411DCB5EB769}"/>
            </c:ext>
          </c:extLst>
        </c:ser>
        <c:ser>
          <c:idx val="1"/>
          <c:order val="1"/>
          <c:tx>
            <c:strRef>
              <c:f>'ANOVA 2.2'!$L$43</c:f>
              <c:strCache>
                <c:ptCount val="1"/>
                <c:pt idx="0">
                  <c:v>Corn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2.2'!$L$44:$L$46</c:f>
              <c:numCache>
                <c:formatCode>General</c:formatCode>
                <c:ptCount val="3"/>
                <c:pt idx="0">
                  <c:v>135.4</c:v>
                </c:pt>
                <c:pt idx="1">
                  <c:v>159.6</c:v>
                </c:pt>
                <c:pt idx="2">
                  <c:v>173.6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C0-4D43-A9B7-411DCB5EB769}"/>
            </c:ext>
          </c:extLst>
        </c:ser>
        <c:ser>
          <c:idx val="2"/>
          <c:order val="2"/>
          <c:tx>
            <c:strRef>
              <c:f>'ANOVA 2.2'!$M$43</c:f>
              <c:strCache>
                <c:ptCount val="1"/>
                <c:pt idx="0">
                  <c:v>Soy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2.2'!$M$44:$M$46</c:f>
              <c:numCache>
                <c:formatCode>General</c:formatCode>
                <c:ptCount val="3"/>
                <c:pt idx="0">
                  <c:v>175.8</c:v>
                </c:pt>
                <c:pt idx="1">
                  <c:v>140.19999999999999</c:v>
                </c:pt>
                <c:pt idx="2">
                  <c:v>186.4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FC0-4D43-A9B7-411DCB5EB769}"/>
            </c:ext>
          </c:extLst>
        </c:ser>
        <c:ser>
          <c:idx val="3"/>
          <c:order val="3"/>
          <c:tx>
            <c:strRef>
              <c:f>'ANOVA 2.2'!$N$43</c:f>
              <c:strCache>
                <c:ptCount val="1"/>
                <c:pt idx="0">
                  <c:v>Rice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2.2'!$N$44:$N$46</c:f>
              <c:numCache>
                <c:formatCode>General</c:formatCode>
                <c:ptCount val="3"/>
                <c:pt idx="0">
                  <c:v>141.19999999999999</c:v>
                </c:pt>
                <c:pt idx="1">
                  <c:v>165.4</c:v>
                </c:pt>
                <c:pt idx="2">
                  <c:v>172.4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FC0-4D43-A9B7-411DCB5EB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298048"/>
        <c:axId val="366349696"/>
      </c:lineChart>
      <c:catAx>
        <c:axId val="367298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6349696"/>
        <c:crosses val="autoZero"/>
        <c:auto val="1"/>
        <c:lblAlgn val="ctr"/>
        <c:lblOffset val="100"/>
        <c:noMultiLvlLbl val="0"/>
      </c:catAx>
      <c:valAx>
        <c:axId val="366349696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29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2.5'!$AB$6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2.5'!$AC$6:$AH$6</c:f>
              <c:numCache>
                <c:formatCode>0.0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14.6</c:v>
                </c:pt>
                <c:pt idx="3">
                  <c:v>6.7</c:v>
                </c:pt>
                <c:pt idx="4">
                  <c:v>12</c:v>
                </c:pt>
                <c:pt idx="5">
                  <c:v>13.8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28-4D56-9F1C-81D1F42C6082}"/>
            </c:ext>
          </c:extLst>
        </c:ser>
        <c:ser>
          <c:idx val="1"/>
          <c:order val="1"/>
          <c:tx>
            <c:strRef>
              <c:f>'ANOVA 2.5'!$AB$7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2.5'!$AC$7:$AH$7</c:f>
              <c:numCache>
                <c:formatCode>0.0</c:formatCode>
                <c:ptCount val="6"/>
                <c:pt idx="0">
                  <c:v>3.0500000000000007</c:v>
                </c:pt>
                <c:pt idx="1">
                  <c:v>1.0250000000000004</c:v>
                </c:pt>
                <c:pt idx="2">
                  <c:v>1.2249999999999996</c:v>
                </c:pt>
                <c:pt idx="3">
                  <c:v>1.9999999999999991</c:v>
                </c:pt>
                <c:pt idx="4">
                  <c:v>2.8249999999999993</c:v>
                </c:pt>
                <c:pt idx="5">
                  <c:v>3.5500000000000007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28-4D56-9F1C-81D1F42C6082}"/>
            </c:ext>
          </c:extLst>
        </c:ser>
        <c:ser>
          <c:idx val="2"/>
          <c:order val="2"/>
          <c:tx>
            <c:strRef>
              <c:f>'ANOVA 2.5'!$AB$8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2.5'!$AC$8:$AH$8</c:f>
              <c:numCache>
                <c:formatCode>0.0</c:formatCode>
                <c:ptCount val="6"/>
                <c:pt idx="0">
                  <c:v>3.0500000000000007</c:v>
                </c:pt>
                <c:pt idx="1">
                  <c:v>0.72499999999999964</c:v>
                </c:pt>
                <c:pt idx="2">
                  <c:v>2.4250000000000007</c:v>
                </c:pt>
                <c:pt idx="3">
                  <c:v>1.9500000000000011</c:v>
                </c:pt>
                <c:pt idx="4">
                  <c:v>1.9250000000000007</c:v>
                </c:pt>
                <c:pt idx="5">
                  <c:v>0.35000000000000142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28-4D56-9F1C-81D1F42C6082}"/>
            </c:ext>
          </c:extLst>
        </c:ser>
        <c:ser>
          <c:idx val="3"/>
          <c:order val="3"/>
          <c:tx>
            <c:strRef>
              <c:f>'ANOVA 2.5'!$AB$9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2.5'!$AC$10:$AH$10</c:f>
                <c:numCache>
                  <c:formatCode>General</c:formatCode>
                  <c:ptCount val="6"/>
                  <c:pt idx="0">
                    <c:v>3.8249999999999993</c:v>
                  </c:pt>
                  <c:pt idx="1">
                    <c:v>10.149999999999999</c:v>
                  </c:pt>
                  <c:pt idx="2">
                    <c:v>10.099999999999998</c:v>
                  </c:pt>
                  <c:pt idx="3">
                    <c:v>5.4500000000000011</c:v>
                  </c:pt>
                  <c:pt idx="4">
                    <c:v>0.59999999999999787</c:v>
                  </c:pt>
                  <c:pt idx="5">
                    <c:v>8.8000000000000007</c:v>
                  </c:pt>
                </c:numCache>
              </c:numRef>
            </c:plus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2.5'!$AC$9:$AH$9</c:f>
              <c:numCache>
                <c:formatCode>0.0</c:formatCode>
                <c:ptCount val="6"/>
                <c:pt idx="0">
                  <c:v>2.375</c:v>
                </c:pt>
                <c:pt idx="1">
                  <c:v>1.8000000000000007</c:v>
                </c:pt>
                <c:pt idx="2">
                  <c:v>0.55000000000000071</c:v>
                </c:pt>
                <c:pt idx="3">
                  <c:v>2.5</c:v>
                </c:pt>
                <c:pt idx="4">
                  <c:v>1.3500000000000014</c:v>
                </c:pt>
                <c:pt idx="5">
                  <c:v>1.1999999999999957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28-4D56-9F1C-81D1F42C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776256"/>
        <c:axId val="366352000"/>
      </c:barChart>
      <c:catAx>
        <c:axId val="36777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352000"/>
        <c:crosses val="autoZero"/>
        <c:auto val="1"/>
        <c:lblAlgn val="ctr"/>
        <c:lblOffset val="100"/>
        <c:noMultiLvlLbl val="0"/>
      </c:catAx>
      <c:valAx>
        <c:axId val="3663520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7776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'Contrasts 2.1'!$O$3</c:f>
              <c:strCache>
                <c:ptCount val="1"/>
                <c:pt idx="0">
                  <c:v>Arm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2.1'!$O$4:$O$6</c:f>
              <c:numCache>
                <c:formatCode>General</c:formatCode>
                <c:ptCount val="3"/>
                <c:pt idx="0">
                  <c:v>22.8</c:v>
                </c:pt>
                <c:pt idx="1">
                  <c:v>25</c:v>
                </c:pt>
                <c:pt idx="2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AB-4D3B-BCF3-E4AF5B8B5E21}"/>
            </c:ext>
          </c:extLst>
        </c:ser>
        <c:ser>
          <c:idx val="1"/>
          <c:order val="1"/>
          <c:tx>
            <c:strRef>
              <c:f>'Contrasts 2.1'!$P$3</c:f>
              <c:strCache>
                <c:ptCount val="1"/>
                <c:pt idx="0">
                  <c:v>Neck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2.1'!$P$4:$P$6</c:f>
              <c:numCache>
                <c:formatCode>General</c:formatCode>
                <c:ptCount val="3"/>
                <c:pt idx="0">
                  <c:v>19.8</c:v>
                </c:pt>
                <c:pt idx="1">
                  <c:v>21</c:v>
                </c:pt>
                <c:pt idx="2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AB-4D3B-BCF3-E4AF5B8B5E21}"/>
            </c:ext>
          </c:extLst>
        </c:ser>
        <c:ser>
          <c:idx val="2"/>
          <c:order val="2"/>
          <c:tx>
            <c:strRef>
              <c:f>'Contrasts 2.1'!$Q$3</c:f>
              <c:strCache>
                <c:ptCount val="1"/>
                <c:pt idx="0">
                  <c:v>Foot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2.1'!$Q$4:$Q$6</c:f>
              <c:numCache>
                <c:formatCode>General</c:formatCode>
                <c:ptCount val="3"/>
                <c:pt idx="0">
                  <c:v>10</c:v>
                </c:pt>
                <c:pt idx="1">
                  <c:v>29.4</c:v>
                </c:pt>
                <c:pt idx="2">
                  <c:v>37.200000000000003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AB-4D3B-BCF3-E4AF5B8B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529472"/>
        <c:axId val="366035520"/>
      </c:lineChart>
      <c:catAx>
        <c:axId val="36752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6035520"/>
        <c:crosses val="autoZero"/>
        <c:auto val="1"/>
        <c:lblAlgn val="ctr"/>
        <c:lblOffset val="100"/>
        <c:noMultiLvlLbl val="0"/>
      </c:catAx>
      <c:valAx>
        <c:axId val="36603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52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4762</xdr:rowOff>
    </xdr:from>
    <xdr:to>
      <xdr:col>14</xdr:col>
      <xdr:colOff>304800</xdr:colOff>
      <xdr:row>37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39</xdr:row>
      <xdr:rowOff>4762</xdr:rowOff>
    </xdr:from>
    <xdr:to>
      <xdr:col>14</xdr:col>
      <xdr:colOff>314325</xdr:colOff>
      <xdr:row>53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28</xdr:row>
      <xdr:rowOff>63500</xdr:rowOff>
    </xdr:from>
    <xdr:to>
      <xdr:col>8</xdr:col>
      <xdr:colOff>304800</xdr:colOff>
      <xdr:row>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9022062-AE81-4D37-BE64-E9F851945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457200</xdr:colOff>
      <xdr:row>2</xdr:row>
      <xdr:rowOff>109537</xdr:rowOff>
    </xdr:from>
    <xdr:to>
      <xdr:col>27</xdr:col>
      <xdr:colOff>152400</xdr:colOff>
      <xdr:row>16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419100</xdr:colOff>
      <xdr:row>3</xdr:row>
      <xdr:rowOff>176212</xdr:rowOff>
    </xdr:from>
    <xdr:to>
      <xdr:col>47</xdr:col>
      <xdr:colOff>114300</xdr:colOff>
      <xdr:row>18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42862</xdr:rowOff>
    </xdr:from>
    <xdr:to>
      <xdr:col>17</xdr:col>
      <xdr:colOff>19050</xdr:colOff>
      <xdr:row>16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3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17</xdr:row>
      <xdr:rowOff>14287</xdr:rowOff>
    </xdr:from>
    <xdr:to>
      <xdr:col>17</xdr:col>
      <xdr:colOff>38100</xdr:colOff>
      <xdr:row>31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161925</xdr:colOff>
      <xdr:row>4</xdr:row>
      <xdr:rowOff>23812</xdr:rowOff>
    </xdr:from>
    <xdr:to>
      <xdr:col>36</xdr:col>
      <xdr:colOff>466725</xdr:colOff>
      <xdr:row>18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10584</xdr:colOff>
      <xdr:row>2</xdr:row>
      <xdr:rowOff>20108</xdr:rowOff>
    </xdr:from>
    <xdr:to>
      <xdr:col>21</xdr:col>
      <xdr:colOff>285751</xdr:colOff>
      <xdr:row>16</xdr:row>
      <xdr:rowOff>64558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370417</xdr:colOff>
      <xdr:row>2</xdr:row>
      <xdr:rowOff>20106</xdr:rowOff>
    </xdr:from>
    <xdr:to>
      <xdr:col>29</xdr:col>
      <xdr:colOff>31750</xdr:colOff>
      <xdr:row>16</xdr:row>
      <xdr:rowOff>64556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123825</xdr:colOff>
      <xdr:row>11</xdr:row>
      <xdr:rowOff>4762</xdr:rowOff>
    </xdr:from>
    <xdr:to>
      <xdr:col>33</xdr:col>
      <xdr:colOff>742950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185737</xdr:rowOff>
    </xdr:from>
    <xdr:to>
      <xdr:col>27</xdr:col>
      <xdr:colOff>323850</xdr:colOff>
      <xdr:row>16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ATPVBAE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"/>
      <sheetName val="Loc Table"/>
    </sheetNames>
    <definedNames>
      <definedName name="ANOVA1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B12"/>
  <sheetViews>
    <sheetView zoomScaleNormal="100" workbookViewId="0">
      <selection activeCell="A8" sqref="A8"/>
    </sheetView>
  </sheetViews>
  <sheetFormatPr defaultRowHeight="15" x14ac:dyDescent="0.25"/>
  <cols>
    <col min="1" max="1" width="50.5703125" customWidth="1"/>
  </cols>
  <sheetData>
    <row r="1" spans="1:2" x14ac:dyDescent="0.25">
      <c r="A1" s="1" t="s">
        <v>834</v>
      </c>
      <c r="B1" s="1"/>
    </row>
    <row r="2" spans="1:2" x14ac:dyDescent="0.25">
      <c r="A2" s="1" t="s">
        <v>893</v>
      </c>
      <c r="B2" s="1"/>
    </row>
    <row r="3" spans="1:2" x14ac:dyDescent="0.25">
      <c r="A3" s="1"/>
      <c r="B3" s="1"/>
    </row>
    <row r="4" spans="1:2" x14ac:dyDescent="0.25">
      <c r="A4" s="204" t="s">
        <v>892</v>
      </c>
    </row>
    <row r="6" spans="1:2" x14ac:dyDescent="0.25">
      <c r="A6" s="1" t="s">
        <v>415</v>
      </c>
    </row>
    <row r="8" spans="1:2" x14ac:dyDescent="0.25">
      <c r="A8" s="2" t="s">
        <v>416</v>
      </c>
    </row>
    <row r="9" spans="1:2" s="1" customFormat="1" ht="15" customHeight="1" x14ac:dyDescent="0.25">
      <c r="A9" s="2" t="s">
        <v>779</v>
      </c>
      <c r="B9" s="441"/>
    </row>
    <row r="10" spans="1:2" x14ac:dyDescent="0.25">
      <c r="A10" s="2" t="s">
        <v>502</v>
      </c>
    </row>
    <row r="11" spans="1:2" x14ac:dyDescent="0.25">
      <c r="A11" s="2" t="s">
        <v>215</v>
      </c>
    </row>
    <row r="12" spans="1:2" x14ac:dyDescent="0.25">
      <c r="A12" s="2" t="s">
        <v>754</v>
      </c>
    </row>
  </sheetData>
  <hyperlinks>
    <hyperlink ref="A8" location="TOC!A8" display="One-way Analysis of Variance (ANOVA)"/>
    <hyperlink ref="A10" location="TOC!A115" display="Factorial ANOVA"/>
    <hyperlink ref="A12" location="TOC!A197" display="Tables"/>
    <hyperlink ref="A11" location="TOC!A177" display="ANOVA using Regression"/>
    <hyperlink ref="A9" location="TOC!A69" display="Non-parametric and other substitutes for ANOV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0"/>
  <sheetViews>
    <sheetView workbookViewId="0">
      <selection activeCell="B23" sqref="B23"/>
    </sheetView>
  </sheetViews>
  <sheetFormatPr defaultRowHeight="15" customHeight="1" x14ac:dyDescent="0.25"/>
  <cols>
    <col min="1" max="1" width="4" customWidth="1"/>
    <col min="2" max="2" width="85.5703125" customWidth="1"/>
  </cols>
  <sheetData>
    <row r="1" spans="1:2" x14ac:dyDescent="0.25">
      <c r="A1" s="1" t="s">
        <v>834</v>
      </c>
      <c r="B1" s="1"/>
    </row>
    <row r="2" spans="1:2" x14ac:dyDescent="0.25">
      <c r="A2" s="1" t="s">
        <v>893</v>
      </c>
      <c r="B2" s="1"/>
    </row>
    <row r="3" spans="1:2" x14ac:dyDescent="0.25">
      <c r="A3" s="1"/>
      <c r="B3" s="1"/>
    </row>
    <row r="4" spans="1:2" x14ac:dyDescent="0.25">
      <c r="A4" s="204" t="s">
        <v>892</v>
      </c>
    </row>
    <row r="6" spans="1:2" ht="15" customHeight="1" x14ac:dyDescent="0.25">
      <c r="A6" s="1" t="s">
        <v>0</v>
      </c>
    </row>
    <row r="7" spans="1:2" ht="15" customHeight="1" x14ac:dyDescent="0.25">
      <c r="A7" s="1"/>
    </row>
    <row r="8" spans="1:2" ht="15" customHeight="1" x14ac:dyDescent="0.25">
      <c r="A8" s="1" t="s">
        <v>416</v>
      </c>
      <c r="B8" s="2"/>
    </row>
    <row r="10" spans="1:2" ht="15" customHeight="1" x14ac:dyDescent="0.25">
      <c r="A10" t="s">
        <v>417</v>
      </c>
      <c r="B10" s="2"/>
    </row>
    <row r="11" spans="1:2" ht="15" customHeight="1" x14ac:dyDescent="0.25">
      <c r="B11" s="2" t="s">
        <v>422</v>
      </c>
    </row>
    <row r="12" spans="1:2" ht="15" customHeight="1" x14ac:dyDescent="0.25">
      <c r="B12" s="2" t="s">
        <v>423</v>
      </c>
    </row>
    <row r="13" spans="1:2" ht="15" customHeight="1" x14ac:dyDescent="0.25">
      <c r="B13" s="2" t="s">
        <v>456</v>
      </c>
    </row>
    <row r="14" spans="1:2" ht="15" customHeight="1" x14ac:dyDescent="0.25">
      <c r="B14" s="2" t="s">
        <v>424</v>
      </c>
    </row>
    <row r="15" spans="1:2" ht="15" customHeight="1" x14ac:dyDescent="0.25">
      <c r="B15" s="2" t="s">
        <v>588</v>
      </c>
    </row>
    <row r="16" spans="1:2" ht="15" customHeight="1" x14ac:dyDescent="0.25">
      <c r="B16" s="2"/>
    </row>
    <row r="17" spans="1:2" ht="15" customHeight="1" x14ac:dyDescent="0.25">
      <c r="A17" t="s">
        <v>95</v>
      </c>
      <c r="B17" s="2"/>
    </row>
    <row r="18" spans="1:2" ht="15" customHeight="1" x14ac:dyDescent="0.25">
      <c r="B18" s="2" t="s">
        <v>589</v>
      </c>
    </row>
    <row r="19" spans="1:2" ht="15" customHeight="1" x14ac:dyDescent="0.25">
      <c r="B19" s="2" t="s">
        <v>590</v>
      </c>
    </row>
    <row r="20" spans="1:2" ht="15" customHeight="1" x14ac:dyDescent="0.25">
      <c r="B20" s="2" t="s">
        <v>498</v>
      </c>
    </row>
    <row r="21" spans="1:2" ht="15" customHeight="1" x14ac:dyDescent="0.25">
      <c r="B21" s="2"/>
    </row>
    <row r="22" spans="1:2" ht="15" customHeight="1" x14ac:dyDescent="0.25">
      <c r="A22" t="s">
        <v>174</v>
      </c>
      <c r="B22" s="2"/>
    </row>
    <row r="23" spans="1:2" ht="15" customHeight="1" x14ac:dyDescent="0.25">
      <c r="B23" s="2" t="s">
        <v>425</v>
      </c>
    </row>
    <row r="24" spans="1:2" ht="15" customHeight="1" x14ac:dyDescent="0.25">
      <c r="B24" s="2" t="s">
        <v>433</v>
      </c>
    </row>
    <row r="25" spans="1:2" ht="15" customHeight="1" x14ac:dyDescent="0.25">
      <c r="B25" s="2" t="s">
        <v>434</v>
      </c>
    </row>
    <row r="26" spans="1:2" ht="15" customHeight="1" x14ac:dyDescent="0.25">
      <c r="B26" s="2" t="s">
        <v>435</v>
      </c>
    </row>
    <row r="27" spans="1:2" ht="15" customHeight="1" x14ac:dyDescent="0.25">
      <c r="B27" s="2" t="s">
        <v>591</v>
      </c>
    </row>
    <row r="28" spans="1:2" ht="15" customHeight="1" x14ac:dyDescent="0.25">
      <c r="B28" s="2"/>
    </row>
    <row r="29" spans="1:2" ht="15" customHeight="1" x14ac:dyDescent="0.25">
      <c r="A29" t="s">
        <v>426</v>
      </c>
      <c r="B29" s="2"/>
    </row>
    <row r="30" spans="1:2" ht="15" customHeight="1" x14ac:dyDescent="0.25">
      <c r="B30" s="2" t="s">
        <v>427</v>
      </c>
    </row>
    <row r="31" spans="1:2" ht="15" customHeight="1" x14ac:dyDescent="0.25">
      <c r="B31" s="2" t="s">
        <v>592</v>
      </c>
    </row>
    <row r="32" spans="1:2" ht="15" customHeight="1" x14ac:dyDescent="0.25">
      <c r="B32" s="2" t="s">
        <v>471</v>
      </c>
    </row>
    <row r="33" spans="1:2" ht="15" customHeight="1" x14ac:dyDescent="0.25">
      <c r="B33" s="2" t="s">
        <v>472</v>
      </c>
    </row>
    <row r="34" spans="1:2" ht="15" customHeight="1" x14ac:dyDescent="0.25">
      <c r="B34" s="2" t="s">
        <v>473</v>
      </c>
    </row>
    <row r="35" spans="1:2" ht="15" customHeight="1" x14ac:dyDescent="0.25">
      <c r="B35" s="2" t="s">
        <v>780</v>
      </c>
    </row>
    <row r="36" spans="1:2" ht="15" customHeight="1" x14ac:dyDescent="0.25">
      <c r="B36" s="2" t="s">
        <v>781</v>
      </c>
    </row>
    <row r="37" spans="1:2" ht="15" customHeight="1" x14ac:dyDescent="0.25">
      <c r="B37" s="2" t="s">
        <v>782</v>
      </c>
    </row>
    <row r="38" spans="1:2" ht="15" customHeight="1" x14ac:dyDescent="0.25">
      <c r="B38" s="2" t="s">
        <v>699</v>
      </c>
    </row>
    <row r="39" spans="1:2" ht="15" customHeight="1" x14ac:dyDescent="0.25">
      <c r="B39" s="2" t="s">
        <v>886</v>
      </c>
    </row>
    <row r="40" spans="1:2" ht="15" customHeight="1" x14ac:dyDescent="0.25">
      <c r="B40" s="2" t="s">
        <v>887</v>
      </c>
    </row>
    <row r="41" spans="1:2" ht="15" customHeight="1" x14ac:dyDescent="0.25">
      <c r="B41" s="2" t="s">
        <v>700</v>
      </c>
    </row>
    <row r="42" spans="1:2" ht="15" customHeight="1" x14ac:dyDescent="0.25">
      <c r="B42" s="2" t="s">
        <v>783</v>
      </c>
    </row>
    <row r="43" spans="1:2" ht="15" customHeight="1" x14ac:dyDescent="0.25">
      <c r="B43" s="2" t="s">
        <v>773</v>
      </c>
    </row>
    <row r="44" spans="1:2" ht="15" customHeight="1" x14ac:dyDescent="0.25">
      <c r="B44" s="2"/>
    </row>
    <row r="45" spans="1:2" ht="15" customHeight="1" x14ac:dyDescent="0.25">
      <c r="A45" t="s">
        <v>363</v>
      </c>
      <c r="B45" s="2"/>
    </row>
    <row r="46" spans="1:2" ht="15" customHeight="1" x14ac:dyDescent="0.25">
      <c r="B46" s="2" t="s">
        <v>428</v>
      </c>
    </row>
    <row r="47" spans="1:2" ht="15" customHeight="1" x14ac:dyDescent="0.25">
      <c r="B47" s="2" t="s">
        <v>593</v>
      </c>
    </row>
    <row r="48" spans="1:2" ht="15" customHeight="1" x14ac:dyDescent="0.25">
      <c r="B48" s="2" t="s">
        <v>484</v>
      </c>
    </row>
    <row r="49" spans="1:2" ht="15" customHeight="1" x14ac:dyDescent="0.25">
      <c r="B49" s="2" t="s">
        <v>235</v>
      </c>
    </row>
    <row r="50" spans="1:2" ht="15" customHeight="1" x14ac:dyDescent="0.25">
      <c r="B50" s="2" t="s">
        <v>608</v>
      </c>
    </row>
    <row r="51" spans="1:2" ht="15" customHeight="1" x14ac:dyDescent="0.25">
      <c r="B51" s="2" t="s">
        <v>614</v>
      </c>
    </row>
    <row r="52" spans="1:2" ht="15" customHeight="1" x14ac:dyDescent="0.25">
      <c r="B52" s="2" t="s">
        <v>609</v>
      </c>
    </row>
    <row r="53" spans="1:2" ht="15" customHeight="1" x14ac:dyDescent="0.25">
      <c r="B53" s="2"/>
    </row>
    <row r="54" spans="1:2" ht="15" customHeight="1" x14ac:dyDescent="0.25">
      <c r="A54" t="s">
        <v>170</v>
      </c>
      <c r="B54" s="2"/>
    </row>
    <row r="55" spans="1:2" ht="15" customHeight="1" x14ac:dyDescent="0.25">
      <c r="B55" s="2" t="s">
        <v>429</v>
      </c>
    </row>
    <row r="56" spans="1:2" ht="15" customHeight="1" x14ac:dyDescent="0.25">
      <c r="B56" s="2"/>
    </row>
    <row r="57" spans="1:2" ht="15" customHeight="1" x14ac:dyDescent="0.25">
      <c r="A57" t="s">
        <v>76</v>
      </c>
      <c r="B57" s="2"/>
    </row>
    <row r="58" spans="1:2" ht="15" customHeight="1" x14ac:dyDescent="0.25">
      <c r="B58" s="2" t="s">
        <v>432</v>
      </c>
    </row>
    <row r="59" spans="1:2" ht="15" customHeight="1" x14ac:dyDescent="0.25">
      <c r="B59" s="2" t="s">
        <v>594</v>
      </c>
    </row>
    <row r="60" spans="1:2" ht="15" customHeight="1" x14ac:dyDescent="0.25">
      <c r="B60" s="2" t="s">
        <v>436</v>
      </c>
    </row>
    <row r="61" spans="1:2" ht="15" customHeight="1" x14ac:dyDescent="0.25">
      <c r="B61" s="2"/>
    </row>
    <row r="62" spans="1:2" ht="15" customHeight="1" x14ac:dyDescent="0.25">
      <c r="A62" t="s">
        <v>30</v>
      </c>
      <c r="B62" s="2"/>
    </row>
    <row r="63" spans="1:2" ht="15" customHeight="1" x14ac:dyDescent="0.25">
      <c r="B63" s="2" t="s">
        <v>553</v>
      </c>
    </row>
    <row r="64" spans="1:2" ht="15" customHeight="1" x14ac:dyDescent="0.25">
      <c r="B64" s="2" t="s">
        <v>552</v>
      </c>
    </row>
    <row r="65" spans="1:2" ht="15" customHeight="1" x14ac:dyDescent="0.25">
      <c r="B65" s="2" t="s">
        <v>586</v>
      </c>
    </row>
    <row r="66" spans="1:2" ht="15" customHeight="1" x14ac:dyDescent="0.25">
      <c r="B66" s="2" t="s">
        <v>819</v>
      </c>
    </row>
    <row r="67" spans="1:2" ht="15" customHeight="1" x14ac:dyDescent="0.25">
      <c r="B67" s="2" t="s">
        <v>820</v>
      </c>
    </row>
    <row r="68" spans="1:2" ht="15" customHeight="1" x14ac:dyDescent="0.25">
      <c r="B68" s="2"/>
    </row>
    <row r="69" spans="1:2" s="1" customFormat="1" ht="15" customHeight="1" x14ac:dyDescent="0.25">
      <c r="A69" s="1" t="s">
        <v>779</v>
      </c>
      <c r="B69" s="441"/>
    </row>
    <row r="70" spans="1:2" ht="15" customHeight="1" x14ac:dyDescent="0.25">
      <c r="B70" s="2"/>
    </row>
    <row r="71" spans="1:2" ht="15" customHeight="1" x14ac:dyDescent="0.25">
      <c r="A71" t="s">
        <v>430</v>
      </c>
      <c r="B71" s="2"/>
    </row>
    <row r="72" spans="1:2" ht="15" customHeight="1" x14ac:dyDescent="0.25">
      <c r="B72" s="2" t="s">
        <v>431</v>
      </c>
    </row>
    <row r="73" spans="1:2" ht="15" customHeight="1" x14ac:dyDescent="0.25">
      <c r="B73" s="2" t="s">
        <v>475</v>
      </c>
    </row>
    <row r="74" spans="1:2" ht="15" customHeight="1" x14ac:dyDescent="0.25">
      <c r="B74" s="2" t="s">
        <v>595</v>
      </c>
    </row>
    <row r="75" spans="1:2" ht="15" customHeight="1" x14ac:dyDescent="0.25">
      <c r="B75" s="2" t="s">
        <v>476</v>
      </c>
    </row>
    <row r="76" spans="1:2" ht="15" customHeight="1" x14ac:dyDescent="0.25">
      <c r="B76" s="2"/>
    </row>
    <row r="77" spans="1:2" ht="15" customHeight="1" x14ac:dyDescent="0.25">
      <c r="A77" t="s">
        <v>645</v>
      </c>
      <c r="B77" s="2"/>
    </row>
    <row r="78" spans="1:2" ht="15" customHeight="1" x14ac:dyDescent="0.25">
      <c r="B78" s="2" t="s">
        <v>646</v>
      </c>
    </row>
    <row r="79" spans="1:2" ht="15" customHeight="1" x14ac:dyDescent="0.25">
      <c r="B79" s="2" t="s">
        <v>647</v>
      </c>
    </row>
    <row r="80" spans="1:2" ht="15" customHeight="1" x14ac:dyDescent="0.25">
      <c r="B80" s="2" t="s">
        <v>723</v>
      </c>
    </row>
    <row r="81" spans="1:2" ht="15" customHeight="1" x14ac:dyDescent="0.25">
      <c r="B81" s="2" t="s">
        <v>724</v>
      </c>
    </row>
    <row r="82" spans="1:2" ht="15" customHeight="1" x14ac:dyDescent="0.25">
      <c r="B82" s="2" t="s">
        <v>648</v>
      </c>
    </row>
    <row r="83" spans="1:2" ht="15" customHeight="1" x14ac:dyDescent="0.25">
      <c r="B83" s="2" t="s">
        <v>787</v>
      </c>
    </row>
    <row r="84" spans="1:2" ht="15" customHeight="1" x14ac:dyDescent="0.25">
      <c r="B84" s="2" t="s">
        <v>784</v>
      </c>
    </row>
    <row r="85" spans="1:2" ht="15" customHeight="1" x14ac:dyDescent="0.25">
      <c r="B85" s="2" t="s">
        <v>649</v>
      </c>
    </row>
    <row r="86" spans="1:2" ht="15" customHeight="1" x14ac:dyDescent="0.25">
      <c r="B86" s="2"/>
    </row>
    <row r="87" spans="1:2" ht="15" customHeight="1" x14ac:dyDescent="0.25">
      <c r="A87" t="s">
        <v>835</v>
      </c>
      <c r="B87" s="2"/>
    </row>
    <row r="88" spans="1:2" ht="15" customHeight="1" x14ac:dyDescent="0.25">
      <c r="B88" s="2" t="s">
        <v>836</v>
      </c>
    </row>
    <row r="89" spans="1:2" ht="15" customHeight="1" x14ac:dyDescent="0.25">
      <c r="B89" s="2" t="s">
        <v>859</v>
      </c>
    </row>
    <row r="90" spans="1:2" ht="15" customHeight="1" x14ac:dyDescent="0.25">
      <c r="B90" s="2" t="s">
        <v>860</v>
      </c>
    </row>
    <row r="91" spans="1:2" ht="15" customHeight="1" x14ac:dyDescent="0.25">
      <c r="B91" s="2"/>
    </row>
    <row r="92" spans="1:2" ht="15" customHeight="1" x14ac:dyDescent="0.25">
      <c r="A92" t="s">
        <v>734</v>
      </c>
      <c r="B92" s="2"/>
    </row>
    <row r="93" spans="1:2" ht="15" customHeight="1" x14ac:dyDescent="0.25">
      <c r="B93" s="2" t="s">
        <v>734</v>
      </c>
    </row>
    <row r="94" spans="1:2" ht="15" customHeight="1" x14ac:dyDescent="0.25">
      <c r="B94" s="2" t="s">
        <v>735</v>
      </c>
    </row>
    <row r="95" spans="1:2" ht="15" customHeight="1" x14ac:dyDescent="0.25">
      <c r="B95" s="2"/>
    </row>
    <row r="96" spans="1:2" ht="15" customHeight="1" x14ac:dyDescent="0.25">
      <c r="A96" t="s">
        <v>565</v>
      </c>
      <c r="B96" s="42"/>
    </row>
    <row r="97" spans="1:2" ht="15" customHeight="1" x14ac:dyDescent="0.25">
      <c r="B97" s="42" t="s">
        <v>566</v>
      </c>
    </row>
    <row r="98" spans="1:2" ht="15" customHeight="1" x14ac:dyDescent="0.25">
      <c r="B98" s="42" t="s">
        <v>574</v>
      </c>
    </row>
    <row r="99" spans="1:2" ht="15" customHeight="1" x14ac:dyDescent="0.25">
      <c r="B99" s="42" t="s">
        <v>571</v>
      </c>
    </row>
    <row r="100" spans="1:2" ht="15" customHeight="1" x14ac:dyDescent="0.25">
      <c r="B100" s="42"/>
    </row>
    <row r="101" spans="1:2" ht="15" customHeight="1" x14ac:dyDescent="0.25">
      <c r="A101" t="s">
        <v>437</v>
      </c>
      <c r="B101" s="2"/>
    </row>
    <row r="102" spans="1:2" ht="15" customHeight="1" x14ac:dyDescent="0.25">
      <c r="B102" s="42" t="s">
        <v>438</v>
      </c>
    </row>
    <row r="103" spans="1:2" ht="15" customHeight="1" x14ac:dyDescent="0.25">
      <c r="B103" s="42" t="s">
        <v>439</v>
      </c>
    </row>
    <row r="104" spans="1:2" ht="15" customHeight="1" x14ac:dyDescent="0.25">
      <c r="B104" s="42"/>
    </row>
    <row r="105" spans="1:2" ht="15" customHeight="1" x14ac:dyDescent="0.25">
      <c r="A105" t="s">
        <v>558</v>
      </c>
      <c r="B105" s="42"/>
    </row>
    <row r="106" spans="1:2" ht="15" customHeight="1" x14ac:dyDescent="0.25">
      <c r="B106" s="42" t="s">
        <v>561</v>
      </c>
    </row>
    <row r="107" spans="1:2" ht="15" customHeight="1" x14ac:dyDescent="0.25">
      <c r="B107" s="42"/>
    </row>
    <row r="108" spans="1:2" ht="15" customHeight="1" x14ac:dyDescent="0.25">
      <c r="A108" t="s">
        <v>418</v>
      </c>
      <c r="B108" s="42"/>
    </row>
    <row r="109" spans="1:2" ht="15" customHeight="1" x14ac:dyDescent="0.25">
      <c r="B109" s="42" t="s">
        <v>602</v>
      </c>
    </row>
    <row r="110" spans="1:2" ht="15" customHeight="1" x14ac:dyDescent="0.25">
      <c r="B110" s="42" t="s">
        <v>601</v>
      </c>
    </row>
    <row r="111" spans="1:2" ht="15" customHeight="1" x14ac:dyDescent="0.25">
      <c r="B111" s="42"/>
    </row>
    <row r="112" spans="1:2" ht="15" customHeight="1" x14ac:dyDescent="0.25">
      <c r="A112" t="s">
        <v>711</v>
      </c>
      <c r="B112" s="42"/>
    </row>
    <row r="113" spans="1:2" ht="15" customHeight="1" x14ac:dyDescent="0.25">
      <c r="B113" s="42" t="s">
        <v>712</v>
      </c>
    </row>
    <row r="114" spans="1:2" ht="15" customHeight="1" x14ac:dyDescent="0.25">
      <c r="B114" s="42"/>
    </row>
    <row r="115" spans="1:2" ht="15" customHeight="1" x14ac:dyDescent="0.25">
      <c r="A115" s="1" t="s">
        <v>502</v>
      </c>
      <c r="B115" s="2"/>
    </row>
    <row r="116" spans="1:2" ht="15" customHeight="1" x14ac:dyDescent="0.25">
      <c r="B116" s="2"/>
    </row>
    <row r="117" spans="1:2" ht="15" customHeight="1" x14ac:dyDescent="0.25">
      <c r="A117" t="s">
        <v>419</v>
      </c>
      <c r="B117" s="2"/>
    </row>
    <row r="118" spans="1:2" ht="15" customHeight="1" x14ac:dyDescent="0.25">
      <c r="B118" s="2" t="s">
        <v>440</v>
      </c>
    </row>
    <row r="119" spans="1:2" ht="15" customHeight="1" x14ac:dyDescent="0.25">
      <c r="B119" s="2" t="s">
        <v>557</v>
      </c>
    </row>
    <row r="120" spans="1:2" ht="15" customHeight="1" x14ac:dyDescent="0.25">
      <c r="B120" s="2" t="s">
        <v>520</v>
      </c>
    </row>
    <row r="121" spans="1:2" ht="15" customHeight="1" x14ac:dyDescent="0.25">
      <c r="B121" s="2"/>
    </row>
    <row r="122" spans="1:2" ht="15" customHeight="1" x14ac:dyDescent="0.25">
      <c r="A122" t="s">
        <v>420</v>
      </c>
      <c r="B122" s="2"/>
    </row>
    <row r="123" spans="1:2" ht="15" customHeight="1" x14ac:dyDescent="0.25">
      <c r="B123" s="2" t="s">
        <v>441</v>
      </c>
    </row>
    <row r="124" spans="1:2" ht="15" customHeight="1" x14ac:dyDescent="0.25">
      <c r="B124" s="2" t="s">
        <v>447</v>
      </c>
    </row>
    <row r="125" spans="1:2" ht="15" customHeight="1" x14ac:dyDescent="0.25">
      <c r="B125" s="2" t="s">
        <v>499</v>
      </c>
    </row>
    <row r="126" spans="1:2" ht="15" customHeight="1" x14ac:dyDescent="0.25">
      <c r="B126" s="2"/>
    </row>
    <row r="127" spans="1:2" ht="15" customHeight="1" x14ac:dyDescent="0.25">
      <c r="A127" t="s">
        <v>503</v>
      </c>
      <c r="B127" s="2"/>
    </row>
    <row r="128" spans="1:2" ht="15" customHeight="1" x14ac:dyDescent="0.25">
      <c r="B128" s="2" t="s">
        <v>556</v>
      </c>
    </row>
    <row r="129" spans="1:2" ht="15" customHeight="1" x14ac:dyDescent="0.25">
      <c r="B129" s="2" t="s">
        <v>555</v>
      </c>
    </row>
    <row r="130" spans="1:2" ht="15" customHeight="1" x14ac:dyDescent="0.25">
      <c r="B130" s="2" t="s">
        <v>640</v>
      </c>
    </row>
    <row r="131" spans="1:2" ht="15" customHeight="1" x14ac:dyDescent="0.25">
      <c r="B131" s="2" t="s">
        <v>500</v>
      </c>
    </row>
    <row r="132" spans="1:2" ht="15" customHeight="1" x14ac:dyDescent="0.25">
      <c r="B132" s="2"/>
    </row>
    <row r="133" spans="1:2" ht="15" customHeight="1" x14ac:dyDescent="0.25">
      <c r="A133" t="s">
        <v>667</v>
      </c>
      <c r="B133" s="2"/>
    </row>
    <row r="134" spans="1:2" ht="15" customHeight="1" x14ac:dyDescent="0.25">
      <c r="B134" s="2" t="s">
        <v>664</v>
      </c>
    </row>
    <row r="135" spans="1:2" ht="15" customHeight="1" x14ac:dyDescent="0.25">
      <c r="B135" s="2" t="s">
        <v>665</v>
      </c>
    </row>
    <row r="136" spans="1:2" ht="15" customHeight="1" x14ac:dyDescent="0.25">
      <c r="B136" s="2"/>
    </row>
    <row r="137" spans="1:2" ht="15" customHeight="1" x14ac:dyDescent="0.25">
      <c r="A137" t="s">
        <v>798</v>
      </c>
      <c r="B137" s="2"/>
    </row>
    <row r="138" spans="1:2" ht="15" customHeight="1" x14ac:dyDescent="0.25">
      <c r="B138" s="2" t="s">
        <v>441</v>
      </c>
    </row>
    <row r="139" spans="1:2" ht="15" customHeight="1" x14ac:dyDescent="0.25">
      <c r="B139" s="2" t="s">
        <v>443</v>
      </c>
    </row>
    <row r="140" spans="1:2" ht="15" customHeight="1" x14ac:dyDescent="0.25">
      <c r="B140" s="2" t="s">
        <v>444</v>
      </c>
    </row>
    <row r="141" spans="1:2" ht="15" customHeight="1" x14ac:dyDescent="0.25">
      <c r="B141" s="2" t="s">
        <v>446</v>
      </c>
    </row>
    <row r="142" spans="1:2" ht="15" customHeight="1" x14ac:dyDescent="0.25">
      <c r="B142" s="2" t="s">
        <v>445</v>
      </c>
    </row>
    <row r="143" spans="1:2" ht="15" customHeight="1" x14ac:dyDescent="0.25">
      <c r="B143" s="2" t="s">
        <v>635</v>
      </c>
    </row>
    <row r="144" spans="1:2" ht="15" customHeight="1" x14ac:dyDescent="0.25">
      <c r="B144" s="2"/>
    </row>
    <row r="145" spans="1:2" ht="15" customHeight="1" x14ac:dyDescent="0.25">
      <c r="A145" t="s">
        <v>799</v>
      </c>
      <c r="B145" s="2"/>
    </row>
    <row r="146" spans="1:2" ht="15" customHeight="1" x14ac:dyDescent="0.25">
      <c r="B146" s="2" t="s">
        <v>636</v>
      </c>
    </row>
    <row r="147" spans="1:2" ht="15" customHeight="1" x14ac:dyDescent="0.25">
      <c r="B147" s="2"/>
    </row>
    <row r="148" spans="1:2" ht="15" customHeight="1" x14ac:dyDescent="0.25">
      <c r="A148" t="s">
        <v>800</v>
      </c>
      <c r="B148" s="2"/>
    </row>
    <row r="149" spans="1:2" ht="15" customHeight="1" x14ac:dyDescent="0.25">
      <c r="B149" s="2" t="s">
        <v>421</v>
      </c>
    </row>
    <row r="150" spans="1:2" ht="15" customHeight="1" x14ac:dyDescent="0.25">
      <c r="B150" s="2" t="s">
        <v>710</v>
      </c>
    </row>
    <row r="151" spans="1:2" ht="15" customHeight="1" x14ac:dyDescent="0.25">
      <c r="B151" s="2"/>
    </row>
    <row r="152" spans="1:2" ht="15" customHeight="1" x14ac:dyDescent="0.25">
      <c r="A152" t="s">
        <v>501</v>
      </c>
      <c r="B152" s="2"/>
    </row>
    <row r="153" spans="1:2" ht="15" customHeight="1" x14ac:dyDescent="0.25">
      <c r="B153" s="2" t="s">
        <v>442</v>
      </c>
    </row>
    <row r="154" spans="1:2" ht="15" customHeight="1" x14ac:dyDescent="0.25">
      <c r="B154" s="2"/>
    </row>
    <row r="155" spans="1:2" ht="15" customHeight="1" x14ac:dyDescent="0.25">
      <c r="A155" t="s">
        <v>504</v>
      </c>
      <c r="B155" s="2"/>
    </row>
    <row r="156" spans="1:2" ht="15" customHeight="1" x14ac:dyDescent="0.25">
      <c r="B156" s="2" t="s">
        <v>505</v>
      </c>
    </row>
    <row r="157" spans="1:2" ht="15" customHeight="1" x14ac:dyDescent="0.25">
      <c r="B157" s="2" t="s">
        <v>514</v>
      </c>
    </row>
    <row r="158" spans="1:2" ht="15" customHeight="1" x14ac:dyDescent="0.25">
      <c r="B158" s="2" t="s">
        <v>513</v>
      </c>
    </row>
    <row r="159" spans="1:2" ht="15" customHeight="1" x14ac:dyDescent="0.25">
      <c r="B159" s="2" t="s">
        <v>717</v>
      </c>
    </row>
    <row r="160" spans="1:2" ht="15" customHeight="1" x14ac:dyDescent="0.25">
      <c r="B160" s="2"/>
    </row>
    <row r="161" spans="1:2" ht="15" customHeight="1" x14ac:dyDescent="0.25">
      <c r="A161" t="s">
        <v>725</v>
      </c>
      <c r="B161" s="2"/>
    </row>
    <row r="162" spans="1:2" ht="15" customHeight="1" x14ac:dyDescent="0.25">
      <c r="B162" s="2" t="s">
        <v>710</v>
      </c>
    </row>
    <row r="163" spans="1:2" ht="15" customHeight="1" x14ac:dyDescent="0.25">
      <c r="B163" s="2" t="s">
        <v>421</v>
      </c>
    </row>
    <row r="164" spans="1:2" ht="15" customHeight="1" x14ac:dyDescent="0.25">
      <c r="B164" s="2"/>
    </row>
    <row r="165" spans="1:2" ht="15" customHeight="1" x14ac:dyDescent="0.25">
      <c r="A165" t="s">
        <v>673</v>
      </c>
      <c r="B165" s="2"/>
    </row>
    <row r="166" spans="1:2" ht="15" customHeight="1" x14ac:dyDescent="0.25">
      <c r="B166" s="2" t="s">
        <v>674</v>
      </c>
    </row>
    <row r="167" spans="1:2" ht="15" customHeight="1" x14ac:dyDescent="0.25">
      <c r="B167" s="2" t="s">
        <v>698</v>
      </c>
    </row>
    <row r="168" spans="1:2" ht="15" customHeight="1" x14ac:dyDescent="0.25">
      <c r="B168" s="2"/>
    </row>
    <row r="169" spans="1:2" ht="15" customHeight="1" x14ac:dyDescent="0.25">
      <c r="A169" t="s">
        <v>668</v>
      </c>
      <c r="B169" s="2"/>
    </row>
    <row r="170" spans="1:2" ht="15" customHeight="1" x14ac:dyDescent="0.25">
      <c r="B170" s="2" t="s">
        <v>669</v>
      </c>
    </row>
    <row r="171" spans="1:2" ht="15" customHeight="1" x14ac:dyDescent="0.25">
      <c r="B171" s="2"/>
    </row>
    <row r="172" spans="1:2" ht="15" customHeight="1" x14ac:dyDescent="0.25">
      <c r="A172" t="s">
        <v>861</v>
      </c>
      <c r="B172" s="2"/>
    </row>
    <row r="173" spans="1:2" ht="15" customHeight="1" x14ac:dyDescent="0.25">
      <c r="B173" s="2" t="s">
        <v>874</v>
      </c>
    </row>
    <row r="174" spans="1:2" ht="15" customHeight="1" x14ac:dyDescent="0.25">
      <c r="B174" s="2" t="s">
        <v>875</v>
      </c>
    </row>
    <row r="175" spans="1:2" ht="15" customHeight="1" x14ac:dyDescent="0.25">
      <c r="B175" s="2" t="s">
        <v>876</v>
      </c>
    </row>
    <row r="176" spans="1:2" ht="15" customHeight="1" x14ac:dyDescent="0.25">
      <c r="B176" s="2"/>
    </row>
    <row r="177" spans="1:2" s="1" customFormat="1" ht="15" customHeight="1" x14ac:dyDescent="0.25">
      <c r="A177" s="1" t="s">
        <v>215</v>
      </c>
      <c r="B177" s="441"/>
    </row>
    <row r="178" spans="1:2" ht="15" customHeight="1" x14ac:dyDescent="0.25">
      <c r="B178" s="2"/>
    </row>
    <row r="179" spans="1:2" ht="15" customHeight="1" x14ac:dyDescent="0.25">
      <c r="A179" t="s">
        <v>778</v>
      </c>
      <c r="B179" s="2"/>
    </row>
    <row r="180" spans="1:2" ht="15" customHeight="1" x14ac:dyDescent="0.25">
      <c r="B180" s="2" t="s">
        <v>448</v>
      </c>
    </row>
    <row r="181" spans="1:2" ht="15" customHeight="1" x14ac:dyDescent="0.25">
      <c r="B181" s="2" t="s">
        <v>449</v>
      </c>
    </row>
    <row r="182" spans="1:2" ht="15" customHeight="1" x14ac:dyDescent="0.25">
      <c r="B182" s="2" t="s">
        <v>457</v>
      </c>
    </row>
    <row r="183" spans="1:2" ht="15" customHeight="1" x14ac:dyDescent="0.25">
      <c r="B183" s="2" t="s">
        <v>450</v>
      </c>
    </row>
    <row r="184" spans="1:2" ht="15" customHeight="1" x14ac:dyDescent="0.25">
      <c r="B184" s="2"/>
    </row>
    <row r="185" spans="1:2" ht="15" customHeight="1" x14ac:dyDescent="0.25">
      <c r="A185" t="s">
        <v>452</v>
      </c>
      <c r="B185" s="2"/>
    </row>
    <row r="186" spans="1:2" ht="15" customHeight="1" x14ac:dyDescent="0.25">
      <c r="B186" s="2" t="s">
        <v>451</v>
      </c>
    </row>
    <row r="187" spans="1:2" ht="15" customHeight="1" x14ac:dyDescent="0.25">
      <c r="B187" s="2" t="s">
        <v>587</v>
      </c>
    </row>
    <row r="188" spans="1:2" ht="15" customHeight="1" x14ac:dyDescent="0.25">
      <c r="B188" s="2"/>
    </row>
    <row r="189" spans="1:2" ht="15" customHeight="1" x14ac:dyDescent="0.25">
      <c r="A189" t="s">
        <v>515</v>
      </c>
      <c r="B189" s="2"/>
    </row>
    <row r="190" spans="1:2" ht="15" customHeight="1" x14ac:dyDescent="0.25">
      <c r="B190" s="2" t="s">
        <v>517</v>
      </c>
    </row>
    <row r="191" spans="1:2" ht="15" customHeight="1" x14ac:dyDescent="0.25">
      <c r="B191" s="2" t="s">
        <v>516</v>
      </c>
    </row>
    <row r="192" spans="1:2" ht="15" customHeight="1" x14ac:dyDescent="0.25">
      <c r="B192" s="2"/>
    </row>
    <row r="193" spans="1:2" ht="15" customHeight="1" x14ac:dyDescent="0.25">
      <c r="A193" t="s">
        <v>453</v>
      </c>
      <c r="B193" s="2"/>
    </row>
    <row r="194" spans="1:2" ht="15" customHeight="1" x14ac:dyDescent="0.25">
      <c r="B194" s="2" t="s">
        <v>454</v>
      </c>
    </row>
    <row r="195" spans="1:2" ht="15" customHeight="1" x14ac:dyDescent="0.25">
      <c r="B195" s="2" t="s">
        <v>455</v>
      </c>
    </row>
    <row r="196" spans="1:2" ht="15" customHeight="1" x14ac:dyDescent="0.25">
      <c r="B196" s="2"/>
    </row>
    <row r="197" spans="1:2" ht="15" customHeight="1" x14ac:dyDescent="0.25">
      <c r="A197" s="1" t="s">
        <v>754</v>
      </c>
    </row>
    <row r="198" spans="1:2" ht="15" customHeight="1" x14ac:dyDescent="0.25">
      <c r="B198" s="2" t="s">
        <v>755</v>
      </c>
    </row>
    <row r="199" spans="1:2" ht="15" customHeight="1" x14ac:dyDescent="0.25">
      <c r="B199" s="2" t="s">
        <v>756</v>
      </c>
    </row>
    <row r="200" spans="1:2" ht="15" customHeight="1" x14ac:dyDescent="0.25">
      <c r="B200" s="2" t="s">
        <v>795</v>
      </c>
    </row>
  </sheetData>
  <hyperlinks>
    <hyperlink ref="B11" location="'ANOVA 1'!A1" display="One factor ANOVA (Example 15.1)"/>
    <hyperlink ref="B12" location="'ANOVA 2'!A1" display="One factor ANOVA (Example 15.2)"/>
    <hyperlink ref="B13" location="'ANOVA 3'!A1" display="Error terms for Example 15.2 (Figure 15.4)"/>
    <hyperlink ref="B14" location="'ANOVA 4'!A1" display="One factor ANOVA with unequal sample sizes (Example 15.3)"/>
    <hyperlink ref="B18" location="'ANOVA 5'!A1" display="Confidence interval (Example 15.4)"/>
    <hyperlink ref="B23" location="'Contrast 1'!M5" display="Simple approach to contrasts (Example 15.5)"/>
    <hyperlink ref="B24" location="'Contrast 2'!N3" display="Contrasts (Example 15.5)"/>
    <hyperlink ref="B25" location="'Contrast 2'!N17" display="Contrasts (Example 15.6)"/>
    <hyperlink ref="B26" location="'Contrast 3'!A1" display="Contrasts using Bonferroni or Dunn/Sidák corrections (Example 15.7)"/>
    <hyperlink ref="B30" location="'Tukey 1'!A1" display="Tukey HSD test (Example 15.8)"/>
    <hyperlink ref="B34" location="'REGWQ 1'!A1" display="REGWQ test (Example 4)"/>
    <hyperlink ref="B41" location="'Scheffe 1'!A1" display="Scheffe test (Example 6)"/>
    <hyperlink ref="B46" location="'Levene 1'!A1" display="Levene's test on means (Example 1)"/>
    <hyperlink ref="B48" location="'Levene 1'!A30" display="Levene's test on medians (Example 1, extra)"/>
    <hyperlink ref="B49" location="'Levene 2'!A1" display="Levene's test on means (extra example)"/>
    <hyperlink ref="B50" location="Bartlett!A1" display="Bartlett's test (Example 2)"/>
    <hyperlink ref="B52" location="'Log Transform'!A1" display="Log transform (Example 15.13)"/>
    <hyperlink ref="B55" location="Outliers!A1" display="Identifiying outliers (Example 15.14)"/>
    <hyperlink ref="B58" location="'ANOVA 2'!N13" display="Effect size (Example 15.17)"/>
    <hyperlink ref="B118" location="'ANOVA 2.1'!A1" display="Two factor ANOVA without replication (Example 16.1)"/>
    <hyperlink ref="B128" location="'ANOVA 2.2'!P26" display="Two factor ANOVA with replication using supplemental functions"/>
    <hyperlink ref="B131" location="'ANOVA 2.4'!A1" display="Two factor ANOVA with replication - standard data format (Example 4)"/>
    <hyperlink ref="B153" location="'ANOVA 3.1'!A1" display="Three factor ANOVA (Example 16.6)"/>
    <hyperlink ref="B180" location="'Reg Anova 1'!A1" display="Categorical variable models (Example 19.8)"/>
    <hyperlink ref="B181" location="'Reg Anova 2'!A1" display="Categorical variable models (Example 19.8 alternative approach)"/>
    <hyperlink ref="B15" location="'ANOVA 4'!F21" display="Supplemental functions MSW and ANOVA1 "/>
    <hyperlink ref="B47" location="'Levene 1'!O1" display="Supplemental function LEVENE and data analysis tool"/>
    <hyperlink ref="B59" location="'ANOVA 5'!M13" display="Effect size (Example 15.17)"/>
    <hyperlink ref="B60" location="'Contrast 2'!N28" display="Effect size for contrasts via Contrast data analysis tool (Example 15.18)"/>
    <hyperlink ref="B182" location="'Reg Anova 2'!Q2" display=" Group means and group effect sizes (Figure 19.25)"/>
    <hyperlink ref="B183" location="'Reg Anova 3'!A1" display="Two factor ANOVA via Regression model (Example 19.9)"/>
    <hyperlink ref="B186" location="'Reg Anova 4'!A1" display="Unbalanced ANOVA via Regression model (Example 19.10)"/>
    <hyperlink ref="B194" location="'ANOVA 5'!N14" display="Omega square effect size for ANOVA (Example 15.1)"/>
    <hyperlink ref="B195" location="'Reg Anova 3'!O42" display="Omega square effect size for 2 factor ANOVA (Example 19.9)"/>
    <hyperlink ref="B72" location="KW!A1" display="Kruskal-Wallis test (Example 1)"/>
    <hyperlink ref="B80" location="KW!A25" display="Schaich-Hamerle Test (Example 3)"/>
    <hyperlink ref="B139" location="'Contrasts 2.1'!A59" display="Main effect for data in Example 16.4"/>
    <hyperlink ref="B140" location="'Contrasts 2.1'!A42" display="Simple effect for data in Example 16.4"/>
    <hyperlink ref="B142" location="'Contrasts 2.1'!N10" display="Contrasts for data in Example 16.4 (Example 16.5)"/>
    <hyperlink ref="B124" location="'ANOVA 2.2'!O1" display="Two factor ANOVA with replication - Interaction plots for Example 16.2 (Figure 16.7)"/>
    <hyperlink ref="B138" location="'Contrasts 2.1'!A1" display="Two factor ANOVA with replication (Example 16.4)"/>
    <hyperlink ref="B141" location="'Contrasts 2.1'!N1" display="Interaction Table for data in Example 16.4 (Figure 16.14)"/>
    <hyperlink ref="B123" location="'ANOVA 2.2'!A1" display="Two factor ANOVA with replication (Example 16.2)"/>
    <hyperlink ref="B31" location="'Tukey 2'!A1" display="Tukey HSD supplementary data analysis tool(Example 15.8)"/>
    <hyperlink ref="B27" location="'ANOVA 5'!M13" display="Effect size (Example 15.17)"/>
    <hyperlink ref="B102" location="'Brown F 1'!A1" display="Brown-Forsythe F* Test (Example E4.1)"/>
    <hyperlink ref="B103" location="'Brown F 2'!A1" display="Brown-Forsythe F* Test (extra example)"/>
    <hyperlink ref="B32" location="'Tuk-Kra'!A1" display="Tukey-Kramer data analysis tool (Example 2)"/>
    <hyperlink ref="B33" location="'Gam-How'!A1" display="Games-Howell data analysis tool (Example 3)"/>
    <hyperlink ref="B73" location="KW!Q46" display="Kruskal-Wallis test using Anova on ranks"/>
    <hyperlink ref="B75" location="KW!K24" display="Kruskal-Wallis data analysis tool"/>
    <hyperlink ref="B74" location="KW!E46" display="Kruskal-Wallis test using Real Statistics functions"/>
    <hyperlink ref="B187" location="'Reg Anova 5'!A1" display="Unbalanced ANOVA via Regression model using supplemental analysis tool (Example 1)"/>
    <hyperlink ref="B125" location="'ANOVA 2.3'!A1" display="Two factor ANOVA with replication, alternative format of data (Example 16.4)"/>
    <hyperlink ref="B129" location="'ANOVA 2.2A'!A1" display="Two factor ANOVA supplemental data analysis tool (Example 2)"/>
    <hyperlink ref="B19" location="'ANOVA 6'!A1" display="Supplemental data analysis tool with data in standard format (Example 2)"/>
    <hyperlink ref="B20" location="'ANOVA 6'!S1" display="Converting from Anova Excel format to standard format (Example 3)"/>
    <hyperlink ref="B156" location="'ANOVA 3.2'!A1" display="Standard format by rows"/>
    <hyperlink ref="B157" location="'ANOVA 3.2a'!A1" display="Standard format by columns (equivalent to the above input)"/>
    <hyperlink ref="B158" location="'ANOVA 3.3'!A1" display="Standard format by columns, including conversion (Example 1)"/>
    <hyperlink ref="B119:B120" location="'ANOVA 2.1'!A1" display="Two factor ANOVA without replication (Example 16.1)"/>
    <hyperlink ref="B119" location="'ANOVA 2.1'!O14" display="Using supplemental functions (Example 1)"/>
    <hyperlink ref="B120" location="'ANOVA 2.1'!V1" display="Using Real Statistics data analysis tool (Example 1)"/>
    <hyperlink ref="B190" location="'Reg An3.1'!A1" display="Balanced model, including data format conversion (Example 1)"/>
    <hyperlink ref="B191" location="'Reg An3.2'!A1" display="Unbalanced model (Example 2)"/>
    <hyperlink ref="B63" location="'Power Anova'!A1" display="Power of ANOVA (Example 1)"/>
    <hyperlink ref="B64" location="'Power Anova'!U1" display="Sample size required (Example 2)"/>
    <hyperlink ref="B106" location="'Moods 2'!A1" display="Mood's Median Test (Example 1)"/>
    <hyperlink ref="B99" location="'Welch 2'!A1" display="Extra examples of Welch's test"/>
    <hyperlink ref="B97" location="'Welch 1'!A1" display="Welch's Test (Example 1)"/>
    <hyperlink ref="B98" location="'Welch 1a'!A1" display="Welch's Test standard format (Example 1)"/>
    <hyperlink ref="B65" location="'Power Anova'!Z1" display="Confidence interval for effect size and power (Example 3)"/>
    <hyperlink ref="B109" location="'Anova Resamp'!A1" display="ANOVA Resampling (Example 1)"/>
    <hyperlink ref="B110" location="'Anova Resamp 1'!A1" display="ANOVA Resampling of Error Terms (Example 2)"/>
    <hyperlink ref="B51" location="Fligner!A1" display="Fligner Killeen Test (Example 1)"/>
    <hyperlink ref="B146" location="'Tukey 2.1'!A1" display="Tukey HSD (Example 1)"/>
    <hyperlink ref="B143" location="'Contrasts 2.2'!A1" display="Real Statistics data analysis tools"/>
    <hyperlink ref="B130" location="'Simple Effect'!A1" display="Two factor ANOVA simple effects"/>
    <hyperlink ref="B78" location="'KW-Post'!F1" display="Nemenyi test (Example 1)"/>
    <hyperlink ref="B79" location="'KW-Post'!N1" display="Dunn's test (Example 2)"/>
    <hyperlink ref="B82" location="'KW-Post'!A18" display="Dunnett's test (Example 4)"/>
    <hyperlink ref="B85" location="'KW-Post'!AX1" display="Contrast (Example 5)"/>
    <hyperlink ref="B134" location="'ANOVA 2.5'!A1" display="Assumptions"/>
    <hyperlink ref="B135" location="'ANOVA 2.6'!A1" display="Assumptions (stacked format)"/>
    <hyperlink ref="B170" location="Scheirer!A1" display="Scheirer-Ray-Hare test (Example 1)"/>
    <hyperlink ref="B166" location="Gage!A1" display="Gage R&amp;R (Example 1)"/>
    <hyperlink ref="B167" location="'Gage 1'!A1" display="Gage R&amp;R (Example 2)"/>
    <hyperlink ref="B38" location="Dunnett!A1" display="Dunnett's test (Example)"/>
    <hyperlink ref="B113" location="COV!A1" display="Testing for homogeneity of coefficients of variation (Example 1)"/>
    <hyperlink ref="B159" location="'ANOVA 3.4'!A1" display="Without replications (Example 2)"/>
    <hyperlink ref="B81" location="'KW-Post'!V1" display="Schaich-Hamerle Test (data analysis tool)"/>
    <hyperlink ref="B162" location="'ANOVA 3.5'!U14" display="Tukey HSD"/>
    <hyperlink ref="B163" location="'ANOVA 3.5'!U1" display="Contrasts"/>
    <hyperlink ref="B93" location="JT!A1" display="Jonckheere-Terpstre test"/>
    <hyperlink ref="B94" location="JT!T1" display="Comparison with KW test"/>
    <hyperlink ref="B198" location="'Stud. Q Table'!A1" display="'Stud. Q Table'!A1"/>
    <hyperlink ref="B199" location="'Stud. Q Table 2'!A1" display="F9 - Studentized Q Table (table 2)"/>
    <hyperlink ref="B35" location="'REGWQ 1a'!A1" display="REGWQ data analysis tool"/>
    <hyperlink ref="B36" location="'REGWQ 2'!A1" display="REGWQ expanded example"/>
    <hyperlink ref="B37" location="'REGWQ 2a'!A1" display="REGWQ expanded example using the data analysis tool"/>
    <hyperlink ref="B42" location="'Scheffe 1a'!A1" display="Scheffe test data analysis tool"/>
    <hyperlink ref="B43" location="'Pairwise t'!A1" display="Pairwise t tests"/>
    <hyperlink ref="B200" location="' Dunnett Table'!A1" display="Dunnett's test table of critical values"/>
    <hyperlink ref="B149" location="'ANOVA 2.1a'!A1" display="Contrasts"/>
    <hyperlink ref="B150" location="'ANOVA 2.1b'!A1" display="Tukey HSD"/>
    <hyperlink ref="B66" location="'Power Tukey 1'!A1" display="Tukey HSD power (Example 4)"/>
    <hyperlink ref="B67" location="'Power Tukey 2'!A1" display="Tukey HSD sample size"/>
    <hyperlink ref="B83" location="'KW-Post'!AD1" display="Conover test"/>
    <hyperlink ref="B84" location="'KW-Post'!AL1" display="Pairwise Mann-Whitney tests"/>
    <hyperlink ref="B88" location="'Nom-Ord'!A1" display="Example using Kruskal-Wallis"/>
    <hyperlink ref="B89" location="'NomOrd 2'!A1" display="Real Statistics data analysis tool (Excel format)"/>
    <hyperlink ref="B90" location="'NomOrd 3'!A1" display="Real Statistics data analysis tool (standard format)"/>
    <hyperlink ref="B173" location="'ART 2'!A1" display="Two Factor ART ANOVA example"/>
    <hyperlink ref="B174" location="'ART 2a'!A1" display="Two Factor ART ANOVA analysis"/>
    <hyperlink ref="B175" location="'ART 3'!A1" display="Three Factor ART ANOVA"/>
    <hyperlink ref="B39" location="'Hsu 1'!A1" display="Hsu's MCB"/>
    <hyperlink ref="B40" location="'Hsu 2'!A1" display="Hsu's MCB revised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3"/>
  <dimension ref="A1:X35"/>
  <sheetViews>
    <sheetView workbookViewId="0"/>
  </sheetViews>
  <sheetFormatPr defaultRowHeight="15" x14ac:dyDescent="0.25"/>
  <cols>
    <col min="5" max="5" width="15.28515625" customWidth="1"/>
  </cols>
  <sheetData>
    <row r="1" spans="1:24" x14ac:dyDescent="0.25">
      <c r="A1" s="1" t="s">
        <v>125</v>
      </c>
    </row>
    <row r="3" spans="1:24" x14ac:dyDescent="0.25">
      <c r="A3" s="48" t="s">
        <v>122</v>
      </c>
      <c r="B3" s="48" t="s">
        <v>123</v>
      </c>
      <c r="C3" s="48" t="s">
        <v>124</v>
      </c>
      <c r="E3" t="s">
        <v>126</v>
      </c>
    </row>
    <row r="4" spans="1:24" x14ac:dyDescent="0.25">
      <c r="A4" s="46">
        <v>13</v>
      </c>
      <c r="B4" s="46">
        <v>12</v>
      </c>
      <c r="C4" s="44">
        <v>7</v>
      </c>
      <c r="M4" t="s">
        <v>137</v>
      </c>
    </row>
    <row r="5" spans="1:24" ht="15.75" thickBot="1" x14ac:dyDescent="0.3">
      <c r="A5" s="37">
        <v>17</v>
      </c>
      <c r="B5" s="37">
        <v>8</v>
      </c>
      <c r="C5" s="44">
        <v>19</v>
      </c>
      <c r="D5" t="e">
        <f t="array" aca="1" ref="D5:G13" ca="1">StdAnova1(A3:B31)</f>
        <v>#NAME?</v>
      </c>
      <c r="E5" t="e">
        <f ca="1"/>
        <v>#NAME?</v>
      </c>
      <c r="F5" t="e">
        <f ca="1"/>
        <v>#NAME?</v>
      </c>
      <c r="G5" t="e">
        <f ca="1"/>
        <v>#NAME?</v>
      </c>
      <c r="P5" t="e">
        <f ca="1">FTEXT(N5)</f>
        <v>#NAME?</v>
      </c>
      <c r="S5" t="e">
        <f t="array" aca="1" ref="S5:T35" ca="1">Anova1Std(D5:G13)</f>
        <v>#NAME?</v>
      </c>
      <c r="T5" t="e">
        <f ca="1"/>
        <v>#NAME?</v>
      </c>
    </row>
    <row r="6" spans="1:24" ht="15.75" thickTop="1" x14ac:dyDescent="0.25">
      <c r="A6" s="37">
        <v>19</v>
      </c>
      <c r="B6" s="37">
        <v>6</v>
      </c>
      <c r="C6" s="44">
        <v>15</v>
      </c>
      <c r="D6" t="e">
        <f ca="1"/>
        <v>#NAME?</v>
      </c>
      <c r="E6" s="29" t="e">
        <f ca="1"/>
        <v>#NAME?</v>
      </c>
      <c r="F6" s="29" t="e">
        <f ca="1"/>
        <v>#NAME?</v>
      </c>
      <c r="G6" s="29" t="e">
        <f ca="1"/>
        <v>#NAME?</v>
      </c>
      <c r="H6" s="29" t="s">
        <v>7</v>
      </c>
      <c r="I6" s="29" t="s">
        <v>62</v>
      </c>
      <c r="J6" s="29" t="s">
        <v>88</v>
      </c>
      <c r="M6" s="29" t="s">
        <v>61</v>
      </c>
      <c r="N6" s="29" t="s">
        <v>19</v>
      </c>
      <c r="O6" s="29" t="s">
        <v>7</v>
      </c>
      <c r="P6" s="29" t="e">
        <f ca="1">FTEXT(N6)</f>
        <v>#NAME?</v>
      </c>
      <c r="S6" t="e">
        <f ca="1"/>
        <v>#NAME?</v>
      </c>
      <c r="T6" t="e">
        <f ca="1"/>
        <v>#NAME?</v>
      </c>
    </row>
    <row r="7" spans="1:24" x14ac:dyDescent="0.25">
      <c r="A7" s="37">
        <v>11</v>
      </c>
      <c r="B7" s="37">
        <v>16</v>
      </c>
      <c r="C7" s="44">
        <v>14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>
        <f>AVERAGE(A4:A13)</f>
        <v>15</v>
      </c>
      <c r="I7">
        <f>VAR(A4:A13)</f>
        <v>13.333333333333334</v>
      </c>
      <c r="J7">
        <f>DEVSQ(A4:A13)</f>
        <v>120</v>
      </c>
      <c r="M7" t="s">
        <v>122</v>
      </c>
      <c r="N7" t="e">
        <f ca="1">F7</f>
        <v>#NAME?</v>
      </c>
      <c r="O7">
        <f>H7</f>
        <v>15</v>
      </c>
      <c r="P7" t="e">
        <f ca="1">FTEXT(N7)</f>
        <v>#NAME?</v>
      </c>
      <c r="S7" t="e">
        <f ca="1"/>
        <v>#NAME?</v>
      </c>
      <c r="T7" t="e">
        <f ca="1"/>
        <v>#NAME?</v>
      </c>
    </row>
    <row r="8" spans="1:24" x14ac:dyDescent="0.25">
      <c r="A8" s="37">
        <v>20</v>
      </c>
      <c r="B8" s="37">
        <v>12</v>
      </c>
      <c r="C8" s="44">
        <v>10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>
        <f>AVERAGE(B4:B13)</f>
        <v>11.1</v>
      </c>
      <c r="I8">
        <f>VAR(B4:B13)</f>
        <v>18.766666666666676</v>
      </c>
      <c r="J8">
        <f>DEVSQ(B4:B13)</f>
        <v>168.89999999999998</v>
      </c>
      <c r="M8" t="s">
        <v>123</v>
      </c>
      <c r="N8" t="e">
        <f ca="1">F8</f>
        <v>#NAME?</v>
      </c>
      <c r="O8">
        <f>H8</f>
        <v>11.1</v>
      </c>
      <c r="P8" t="e">
        <f ca="1">FTEXT(N8)</f>
        <v>#NAME?</v>
      </c>
      <c r="S8" t="e">
        <f ca="1"/>
        <v>#NAME?</v>
      </c>
      <c r="T8" t="e">
        <f ca="1"/>
        <v>#NAME?</v>
      </c>
    </row>
    <row r="9" spans="1:24" x14ac:dyDescent="0.25">
      <c r="A9" s="37">
        <v>15</v>
      </c>
      <c r="B9" s="37">
        <v>14</v>
      </c>
      <c r="C9" s="44">
        <v>16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>
        <f>AVERAGE(C4:C13)</f>
        <v>13.5</v>
      </c>
      <c r="I9">
        <f>VAR(C4:C13)</f>
        <v>14.055555555555555</v>
      </c>
      <c r="J9">
        <f>DEVSQ(C4:C13)</f>
        <v>126.5</v>
      </c>
      <c r="K9" t="e">
        <f ca="1">QCRIT(COUNT(H5:H8),J9,J3,2)</f>
        <v>#NAME?</v>
      </c>
      <c r="M9" s="51" t="s">
        <v>124</v>
      </c>
      <c r="N9" s="51" t="e">
        <f ca="1">F9</f>
        <v>#NAME?</v>
      </c>
      <c r="O9" s="51">
        <f>H9</f>
        <v>13.5</v>
      </c>
      <c r="P9" s="51" t="e">
        <f ca="1">FTEXT(N9)</f>
        <v>#NAME?</v>
      </c>
      <c r="S9" t="e">
        <f ca="1"/>
        <v>#NAME?</v>
      </c>
      <c r="T9" t="e">
        <f ca="1"/>
        <v>#NAME?</v>
      </c>
      <c r="X9" t="e">
        <f ca="1">QCRIT(X7,40,X5,2,FALSE)</f>
        <v>#NAME?</v>
      </c>
    </row>
    <row r="10" spans="1:24" x14ac:dyDescent="0.25">
      <c r="A10" s="37">
        <v>18</v>
      </c>
      <c r="B10" s="37">
        <v>10</v>
      </c>
      <c r="C10" s="44">
        <v>18</v>
      </c>
      <c r="D10" t="e">
        <f ca="1"/>
        <v>#NAME?</v>
      </c>
      <c r="E10" s="59" t="e">
        <f ca="1"/>
        <v>#NAME?</v>
      </c>
      <c r="F10" s="59" t="e">
        <f ca="1"/>
        <v>#NAME?</v>
      </c>
      <c r="G10" s="59" t="e">
        <f ca="1"/>
        <v>#NAME?</v>
      </c>
      <c r="H10" s="59"/>
      <c r="I10" s="59"/>
      <c r="J10" s="59"/>
      <c r="O10">
        <f>AVERAGE(A4:C13)</f>
        <v>13.2</v>
      </c>
      <c r="P10" t="e">
        <f ca="1">SUMPRODUCT(N7:N9,P7:P9)</f>
        <v>#NAME?</v>
      </c>
      <c r="S10" t="e">
        <f ca="1"/>
        <v>#NAME?</v>
      </c>
      <c r="T10" t="e">
        <f ca="1"/>
        <v>#NAME?</v>
      </c>
      <c r="X10" t="e">
        <f ca="1">QCRIT(X7,48,X5,2,FALSE)</f>
        <v>#NAME?</v>
      </c>
    </row>
    <row r="11" spans="1:24" ht="15.75" thickBot="1" x14ac:dyDescent="0.3">
      <c r="A11" s="37">
        <v>9</v>
      </c>
      <c r="B11" s="37">
        <v>18</v>
      </c>
      <c r="C11" s="44">
        <v>11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s">
        <v>31</v>
      </c>
      <c r="I11">
        <v>0.05</v>
      </c>
      <c r="S11" t="e">
        <f ca="1"/>
        <v>#NAME?</v>
      </c>
      <c r="T11" t="e">
        <f ca="1"/>
        <v>#NAME?</v>
      </c>
    </row>
    <row r="12" spans="1:24" ht="15.75" thickTop="1" x14ac:dyDescent="0.25">
      <c r="A12" s="37">
        <v>12</v>
      </c>
      <c r="B12" s="37">
        <v>4</v>
      </c>
      <c r="C12" s="44">
        <v>14</v>
      </c>
      <c r="D12" t="e">
        <f ca="1"/>
        <v>#NAME?</v>
      </c>
      <c r="E12" s="29" t="e">
        <f ca="1"/>
        <v>#NAME?</v>
      </c>
      <c r="F12" s="29" t="e">
        <f ca="1"/>
        <v>#NAME?</v>
      </c>
      <c r="G12" s="29" t="e">
        <f ca="1"/>
        <v>#NAME?</v>
      </c>
      <c r="H12" s="29" t="s">
        <v>92</v>
      </c>
      <c r="I12" s="29" t="s">
        <v>82</v>
      </c>
      <c r="J12" s="29" t="s">
        <v>129</v>
      </c>
      <c r="K12" s="29" t="s">
        <v>130</v>
      </c>
      <c r="M12" t="e">
        <f ca="1">QDIST(J12,COUNT($H$5:$H$8),J$9)</f>
        <v>#NAME?</v>
      </c>
      <c r="S12" t="e">
        <f ca="1"/>
        <v>#NAME?</v>
      </c>
      <c r="T12" t="e">
        <f ca="1"/>
        <v>#NAME?</v>
      </c>
    </row>
    <row r="13" spans="1:24" x14ac:dyDescent="0.25">
      <c r="A13" s="47">
        <v>16</v>
      </c>
      <c r="B13" s="47">
        <v>11</v>
      </c>
      <c r="C13" s="47">
        <v>11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>F13/G13</f>
        <v>#NAME?</v>
      </c>
      <c r="I13" t="e">
        <f ca="1">H13/H14</f>
        <v>#NAME?</v>
      </c>
      <c r="J13" t="e">
        <f ca="1">FDIST(I13,G13,G14)</f>
        <v>#NAME?</v>
      </c>
      <c r="K13" t="e">
        <f ca="1">FINV(I11,G13,G14)</f>
        <v>#NAME?</v>
      </c>
      <c r="S13" t="e">
        <f ca="1"/>
        <v>#NAME?</v>
      </c>
      <c r="T13" t="e">
        <f ca="1"/>
        <v>#NAME?</v>
      </c>
    </row>
    <row r="14" spans="1:24" x14ac:dyDescent="0.25">
      <c r="E14" t="s">
        <v>132</v>
      </c>
      <c r="F14">
        <f>SUM(J7:J9)</f>
        <v>415.4</v>
      </c>
      <c r="G14" t="e">
        <f ca="1">G15-G13</f>
        <v>#NAME?</v>
      </c>
      <c r="H14" t="e">
        <f ca="1">F14/G14</f>
        <v>#NAME?</v>
      </c>
      <c r="S14" t="e">
        <f ca="1"/>
        <v>#NAME?</v>
      </c>
      <c r="T14" t="e">
        <f ca="1"/>
        <v>#NAME?</v>
      </c>
    </row>
    <row r="15" spans="1:24" x14ac:dyDescent="0.25">
      <c r="E15" s="51" t="s">
        <v>1</v>
      </c>
      <c r="F15" s="51">
        <f>DEVSQ(A4:C13)</f>
        <v>492.80000000000007</v>
      </c>
      <c r="G15" s="51">
        <f>COUNT(A4:C13)-1</f>
        <v>29</v>
      </c>
      <c r="H15" s="51">
        <f>F15/G15</f>
        <v>16.993103448275864</v>
      </c>
      <c r="I15" s="51"/>
      <c r="J15" s="51"/>
      <c r="K15" s="51"/>
      <c r="M15" t="s">
        <v>596</v>
      </c>
      <c r="S15" t="e">
        <f ca="1"/>
        <v>#NAME?</v>
      </c>
      <c r="T15" t="e">
        <f ca="1"/>
        <v>#NAME?</v>
      </c>
    </row>
    <row r="16" spans="1:24" x14ac:dyDescent="0.25">
      <c r="S16" t="e">
        <f ca="1"/>
        <v>#NAME?</v>
      </c>
      <c r="T16" t="e">
        <f ca="1"/>
        <v>#NAME?</v>
      </c>
      <c r="X16" t="e">
        <f ca="1">QCRIT(X7,X6,X5,2,FALSE)</f>
        <v>#NAME?</v>
      </c>
    </row>
    <row r="17" spans="5:24" x14ac:dyDescent="0.25">
      <c r="M17" t="s">
        <v>155</v>
      </c>
      <c r="N17" s="203" t="e">
        <f ca="1">MSW(A4:C13)</f>
        <v>#NAME?</v>
      </c>
      <c r="S17" t="e">
        <f ca="1"/>
        <v>#NAME?</v>
      </c>
      <c r="T17" t="e">
        <f ca="1"/>
        <v>#NAME?</v>
      </c>
    </row>
    <row r="18" spans="5:24" x14ac:dyDescent="0.25">
      <c r="E18" t="s">
        <v>133</v>
      </c>
      <c r="M18" t="s">
        <v>56</v>
      </c>
      <c r="N18" s="175" t="e">
        <f ca="1">ATEST(A4:C13)</f>
        <v>#NAME?</v>
      </c>
      <c r="S18" t="e">
        <f ca="1"/>
        <v>#NAME?</v>
      </c>
      <c r="T18" t="e">
        <f ca="1"/>
        <v>#NAME?</v>
      </c>
    </row>
    <row r="19" spans="5:24" x14ac:dyDescent="0.25">
      <c r="S19" t="e">
        <f ca="1"/>
        <v>#NAME?</v>
      </c>
      <c r="T19" t="e">
        <f ca="1"/>
        <v>#NAME?</v>
      </c>
    </row>
    <row r="20" spans="5:24" ht="15.75" thickBot="1" x14ac:dyDescent="0.3">
      <c r="E20" t="s">
        <v>52</v>
      </c>
      <c r="S20" t="e">
        <f ca="1"/>
        <v>#NAME?</v>
      </c>
      <c r="T20" t="e">
        <f ca="1"/>
        <v>#NAME?</v>
      </c>
    </row>
    <row r="21" spans="5:24" x14ac:dyDescent="0.25">
      <c r="E21" s="16" t="s">
        <v>61</v>
      </c>
      <c r="F21" s="16" t="s">
        <v>19</v>
      </c>
      <c r="G21" s="16" t="s">
        <v>18</v>
      </c>
      <c r="H21" s="16" t="s">
        <v>134</v>
      </c>
      <c r="I21" s="16" t="s">
        <v>62</v>
      </c>
      <c r="S21" t="e">
        <f ca="1"/>
        <v>#NAME?</v>
      </c>
      <c r="T21" t="e">
        <f ca="1"/>
        <v>#NAME?</v>
      </c>
    </row>
    <row r="22" spans="5:24" x14ac:dyDescent="0.25">
      <c r="E22" s="17" t="s">
        <v>122</v>
      </c>
      <c r="F22" s="17">
        <v>10</v>
      </c>
      <c r="G22" s="17">
        <v>150</v>
      </c>
      <c r="H22" s="17">
        <v>15</v>
      </c>
      <c r="I22" s="17">
        <v>13.333333333333334</v>
      </c>
      <c r="S22" t="e">
        <f ca="1"/>
        <v>#NAME?</v>
      </c>
      <c r="T22" t="e">
        <f ca="1"/>
        <v>#NAME?</v>
      </c>
      <c r="X22" t="e">
        <f ca="1">QCRIT(X7,X6,X5,2)</f>
        <v>#NAME?</v>
      </c>
    </row>
    <row r="23" spans="5:24" x14ac:dyDescent="0.25">
      <c r="E23" s="17" t="s">
        <v>123</v>
      </c>
      <c r="F23" s="17">
        <v>10</v>
      </c>
      <c r="G23" s="17" t="e">
        <f ca="1">SSBet(A4:D11)</f>
        <v>#NAME?</v>
      </c>
      <c r="H23" s="17" t="e">
        <f ca="1">dfBet(A4:D11)</f>
        <v>#NAME?</v>
      </c>
      <c r="I23" s="17" t="e">
        <f ca="1">MSBet(A4:D11)</f>
        <v>#NAME?</v>
      </c>
      <c r="J23">
        <f ca="1">[1]!ANOVA1(A4:D11)</f>
        <v>0</v>
      </c>
      <c r="K23" t="e">
        <f ca="1">ATEST(A4:D11)</f>
        <v>#NAME?</v>
      </c>
      <c r="S23" t="e">
        <f ca="1"/>
        <v>#NAME?</v>
      </c>
      <c r="T23" t="e">
        <f ca="1"/>
        <v>#NAME?</v>
      </c>
    </row>
    <row r="24" spans="5:24" ht="15.75" thickBot="1" x14ac:dyDescent="0.3">
      <c r="E24" s="18" t="s">
        <v>124</v>
      </c>
      <c r="F24" s="18">
        <v>10</v>
      </c>
      <c r="G24" s="18" t="e">
        <f ca="1">SSW(A4:D11)</f>
        <v>#NAME?</v>
      </c>
      <c r="H24" s="18" t="e">
        <f ca="1">dfW(A4:D11)</f>
        <v>#NAME?</v>
      </c>
      <c r="I24" s="18" t="e">
        <f ca="1">MSW(A4:D11)</f>
        <v>#NAME?</v>
      </c>
      <c r="S24" t="e">
        <f ca="1"/>
        <v>#NAME?</v>
      </c>
      <c r="T24" t="e">
        <f ca="1"/>
        <v>#NAME?</v>
      </c>
    </row>
    <row r="25" spans="5:24" x14ac:dyDescent="0.25">
      <c r="S25" t="e">
        <f ca="1"/>
        <v>#NAME?</v>
      </c>
      <c r="T25" t="e">
        <f ca="1"/>
        <v>#NAME?</v>
      </c>
    </row>
    <row r="26" spans="5:24" x14ac:dyDescent="0.25">
      <c r="G26" t="e">
        <f ca="1">SSTot(A4:D11)</f>
        <v>#NAME?</v>
      </c>
      <c r="H26" t="e">
        <f ca="1">dfBet(A4:D11)</f>
        <v>#NAME?</v>
      </c>
      <c r="S26" t="e">
        <f ca="1"/>
        <v>#NAME?</v>
      </c>
      <c r="T26" t="e">
        <f ca="1"/>
        <v>#NAME?</v>
      </c>
    </row>
    <row r="27" spans="5:24" ht="15.75" thickBot="1" x14ac:dyDescent="0.3">
      <c r="E27" t="s">
        <v>101</v>
      </c>
      <c r="S27" t="e">
        <f ca="1"/>
        <v>#NAME?</v>
      </c>
      <c r="T27" t="e">
        <f ca="1"/>
        <v>#NAME?</v>
      </c>
    </row>
    <row r="28" spans="5:24" x14ac:dyDescent="0.25">
      <c r="E28" s="16" t="s">
        <v>135</v>
      </c>
      <c r="F28" s="16" t="s">
        <v>88</v>
      </c>
      <c r="G28" s="16" t="s">
        <v>51</v>
      </c>
      <c r="H28" s="16" t="s">
        <v>92</v>
      </c>
      <c r="I28" s="16" t="s">
        <v>82</v>
      </c>
      <c r="J28" s="16" t="s">
        <v>74</v>
      </c>
      <c r="K28" s="16" t="s">
        <v>136</v>
      </c>
      <c r="S28" t="e">
        <f ca="1"/>
        <v>#NAME?</v>
      </c>
      <c r="T28" t="e">
        <f ca="1"/>
        <v>#NAME?</v>
      </c>
    </row>
    <row r="29" spans="5:24" x14ac:dyDescent="0.25">
      <c r="E29" s="17" t="s">
        <v>131</v>
      </c>
      <c r="F29" s="17">
        <v>77.400000000000091</v>
      </c>
      <c r="G29" s="17">
        <v>2</v>
      </c>
      <c r="H29" s="17">
        <v>38.700000000000045</v>
      </c>
      <c r="I29" s="17">
        <v>2.5154068367838258</v>
      </c>
      <c r="J29" s="17">
        <v>9.9596300316961456E-2</v>
      </c>
      <c r="K29" s="17">
        <v>3.3541308285291991</v>
      </c>
      <c r="S29" t="e">
        <f ca="1"/>
        <v>#NAME?</v>
      </c>
      <c r="T29" t="e">
        <f ca="1"/>
        <v>#NAME?</v>
      </c>
    </row>
    <row r="30" spans="5:24" x14ac:dyDescent="0.25">
      <c r="E30" s="17" t="s">
        <v>132</v>
      </c>
      <c r="F30" s="17">
        <v>415.4</v>
      </c>
      <c r="G30" s="17">
        <v>27</v>
      </c>
      <c r="H30" s="17">
        <v>15.385185185185184</v>
      </c>
      <c r="I30" s="17"/>
      <c r="J30" s="17"/>
      <c r="K30" s="17"/>
      <c r="S30" t="e">
        <f ca="1"/>
        <v>#NAME?</v>
      </c>
      <c r="T30" t="e">
        <f ca="1"/>
        <v>#NAME?</v>
      </c>
    </row>
    <row r="31" spans="5:24" x14ac:dyDescent="0.25">
      <c r="E31" s="17"/>
      <c r="F31" s="17"/>
      <c r="G31" s="17"/>
      <c r="H31" s="17"/>
      <c r="I31" s="17"/>
      <c r="J31" s="17"/>
      <c r="K31" s="17"/>
      <c r="S31" t="e">
        <f ca="1"/>
        <v>#NAME?</v>
      </c>
      <c r="T31" t="e">
        <f ca="1"/>
        <v>#NAME?</v>
      </c>
    </row>
    <row r="32" spans="5:24" ht="15.75" thickBot="1" x14ac:dyDescent="0.3">
      <c r="E32" s="18" t="s">
        <v>1</v>
      </c>
      <c r="F32" s="18">
        <v>492.80000000000007</v>
      </c>
      <c r="G32" s="18">
        <v>29</v>
      </c>
      <c r="H32" s="18"/>
      <c r="I32" s="18"/>
      <c r="J32" s="18"/>
      <c r="K32" s="18"/>
      <c r="S32" t="e">
        <f ca="1"/>
        <v>#NAME?</v>
      </c>
      <c r="T32" t="e">
        <f ca="1"/>
        <v>#NAME?</v>
      </c>
    </row>
    <row r="33" spans="19:20" x14ac:dyDescent="0.25">
      <c r="S33" t="e">
        <f ca="1"/>
        <v>#NAME?</v>
      </c>
      <c r="T33" t="e">
        <f ca="1"/>
        <v>#NAME?</v>
      </c>
    </row>
    <row r="34" spans="19:20" x14ac:dyDescent="0.25">
      <c r="S34" t="e">
        <f ca="1"/>
        <v>#NAME?</v>
      </c>
      <c r="T34" t="e">
        <f ca="1"/>
        <v>#NAME?</v>
      </c>
    </row>
    <row r="35" spans="19:20" x14ac:dyDescent="0.25">
      <c r="S35" t="e">
        <f ca="1"/>
        <v>#NAME?</v>
      </c>
      <c r="T35" t="e">
        <f ca="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4"/>
  <dimension ref="A1:T35"/>
  <sheetViews>
    <sheetView topLeftCell="B1" workbookViewId="0">
      <selection activeCell="A111" sqref="A111"/>
    </sheetView>
  </sheetViews>
  <sheetFormatPr defaultRowHeight="15" x14ac:dyDescent="0.25"/>
  <cols>
    <col min="5" max="5" width="4.570312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9" max="19" width="5.140625" customWidth="1"/>
  </cols>
  <sheetData>
    <row r="1" spans="1:20" x14ac:dyDescent="0.25">
      <c r="A1" s="1" t="s">
        <v>125</v>
      </c>
    </row>
    <row r="3" spans="1:20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153</v>
      </c>
    </row>
    <row r="4" spans="1:20" ht="15.75" thickBot="1" x14ac:dyDescent="0.3">
      <c r="A4" s="60">
        <v>51</v>
      </c>
      <c r="B4" s="60">
        <v>82</v>
      </c>
      <c r="C4" s="60">
        <v>79</v>
      </c>
      <c r="D4" s="60">
        <v>85</v>
      </c>
    </row>
    <row r="5" spans="1:20" ht="15.75" thickBot="1" x14ac:dyDescent="0.3">
      <c r="A5" s="37">
        <v>87</v>
      </c>
      <c r="B5" s="37">
        <v>91</v>
      </c>
      <c r="C5" s="37">
        <v>84</v>
      </c>
      <c r="D5" s="37">
        <v>80</v>
      </c>
      <c r="F5" t="s">
        <v>52</v>
      </c>
      <c r="N5" s="16" t="s">
        <v>61</v>
      </c>
      <c r="O5" s="16" t="s">
        <v>19</v>
      </c>
      <c r="P5" s="16" t="s">
        <v>51</v>
      </c>
      <c r="Q5" s="16" t="s">
        <v>62</v>
      </c>
      <c r="R5" s="16" t="s">
        <v>154</v>
      </c>
    </row>
    <row r="6" spans="1:20" x14ac:dyDescent="0.25">
      <c r="A6" s="37">
        <v>50</v>
      </c>
      <c r="B6" s="37">
        <v>92</v>
      </c>
      <c r="C6" s="37">
        <v>74</v>
      </c>
      <c r="D6" s="37">
        <v>65</v>
      </c>
      <c r="F6" s="16" t="s">
        <v>61</v>
      </c>
      <c r="G6" s="16" t="s">
        <v>19</v>
      </c>
      <c r="H6" s="16" t="s">
        <v>18</v>
      </c>
      <c r="I6" s="16" t="s">
        <v>134</v>
      </c>
      <c r="J6" s="16" t="s">
        <v>62</v>
      </c>
      <c r="N6" s="17" t="s">
        <v>33</v>
      </c>
      <c r="O6" s="17">
        <v>8</v>
      </c>
      <c r="P6" s="17">
        <f>O6-1</f>
        <v>7</v>
      </c>
      <c r="Q6" s="17">
        <f>J7</f>
        <v>214.26785714285714</v>
      </c>
      <c r="R6">
        <f>P6*Q6</f>
        <v>1499.875</v>
      </c>
    </row>
    <row r="7" spans="1:20" x14ac:dyDescent="0.25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8</v>
      </c>
      <c r="H7" s="17">
        <v>483</v>
      </c>
      <c r="I7" s="17">
        <v>60.375</v>
      </c>
      <c r="J7" s="17">
        <v>214.26785714285714</v>
      </c>
      <c r="N7" s="17" t="s">
        <v>34</v>
      </c>
      <c r="O7" s="17">
        <v>8</v>
      </c>
      <c r="P7" s="17">
        <f>O7-1</f>
        <v>7</v>
      </c>
      <c r="Q7" s="17">
        <f>J8</f>
        <v>157.55357142857142</v>
      </c>
      <c r="R7">
        <f>P7*Q7</f>
        <v>1102.875</v>
      </c>
    </row>
    <row r="8" spans="1:20" x14ac:dyDescent="0.25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17" t="s">
        <v>40</v>
      </c>
      <c r="O8" s="17">
        <v>8</v>
      </c>
      <c r="P8" s="17">
        <f>O8-1</f>
        <v>7</v>
      </c>
      <c r="Q8" s="17">
        <f>J9</f>
        <v>164.57142857142858</v>
      </c>
      <c r="R8">
        <f>P8*Q8</f>
        <v>1152</v>
      </c>
    </row>
    <row r="9" spans="1:20" ht="15.75" thickBot="1" x14ac:dyDescent="0.3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18" t="s">
        <v>41</v>
      </c>
      <c r="O9" s="18">
        <v>8</v>
      </c>
      <c r="P9" s="18">
        <f>O9-1</f>
        <v>7</v>
      </c>
      <c r="Q9" s="18">
        <f>J10</f>
        <v>181.55357142857142</v>
      </c>
      <c r="R9" s="18">
        <f>P9*Q9</f>
        <v>1270.875</v>
      </c>
      <c r="T9" s="44" t="s">
        <v>155</v>
      </c>
    </row>
    <row r="10" spans="1:20" ht="15.75" thickBot="1" x14ac:dyDescent="0.3">
      <c r="A10" s="37">
        <v>53</v>
      </c>
      <c r="B10" s="37">
        <v>73</v>
      </c>
      <c r="C10" s="37">
        <v>85</v>
      </c>
      <c r="D10" s="37">
        <v>63</v>
      </c>
      <c r="F10" s="18" t="s">
        <v>41</v>
      </c>
      <c r="G10" s="18">
        <v>8</v>
      </c>
      <c r="H10" s="18">
        <v>575</v>
      </c>
      <c r="I10" s="18">
        <v>71.875</v>
      </c>
      <c r="J10" s="18">
        <v>181.55357142857142</v>
      </c>
      <c r="P10" s="17">
        <f>SUM(P6:P9)</f>
        <v>28</v>
      </c>
      <c r="R10">
        <f>SUM(R5:R9)</f>
        <v>5025.625</v>
      </c>
      <c r="T10" s="72">
        <f>R10/P10</f>
        <v>179.48660714285714</v>
      </c>
    </row>
    <row r="11" spans="1:20" x14ac:dyDescent="0.25">
      <c r="A11" s="55">
        <v>54</v>
      </c>
      <c r="B11" s="55">
        <v>74</v>
      </c>
      <c r="C11" s="55">
        <v>58</v>
      </c>
      <c r="D11" s="55">
        <v>93</v>
      </c>
    </row>
    <row r="12" spans="1:20" x14ac:dyDescent="0.25">
      <c r="A12" s="37"/>
      <c r="B12" s="37"/>
      <c r="C12" s="44"/>
      <c r="D12" s="44"/>
    </row>
    <row r="13" spans="1:20" ht="15.75" thickBot="1" x14ac:dyDescent="0.3">
      <c r="A13" s="37"/>
      <c r="B13" s="37"/>
      <c r="F13" t="s">
        <v>101</v>
      </c>
      <c r="N13" t="s">
        <v>403</v>
      </c>
      <c r="Q13" s="187">
        <f>DEVSQ(H7:H10)/G7</f>
        <v>1645.34375</v>
      </c>
    </row>
    <row r="14" spans="1:20" x14ac:dyDescent="0.25">
      <c r="A14" s="37"/>
      <c r="B14" s="37"/>
      <c r="F14" s="16" t="s">
        <v>135</v>
      </c>
      <c r="G14" s="16" t="s">
        <v>88</v>
      </c>
      <c r="H14" s="16" t="s">
        <v>51</v>
      </c>
      <c r="I14" s="16" t="s">
        <v>92</v>
      </c>
      <c r="J14" s="16" t="s">
        <v>82</v>
      </c>
      <c r="K14" s="16" t="s">
        <v>74</v>
      </c>
      <c r="L14" s="16" t="s">
        <v>136</v>
      </c>
    </row>
    <row r="15" spans="1:20" x14ac:dyDescent="0.25">
      <c r="A15" s="37"/>
      <c r="B15" s="37"/>
      <c r="F15" s="17" t="s">
        <v>131</v>
      </c>
      <c r="G15" s="17">
        <v>1645.34375</v>
      </c>
      <c r="H15" s="17">
        <v>3</v>
      </c>
      <c r="I15" s="17">
        <v>548.44791666666663</v>
      </c>
      <c r="J15" s="17">
        <v>3.0556481366330885</v>
      </c>
      <c r="K15" s="17">
        <v>4.4662597948147184E-2</v>
      </c>
      <c r="L15" s="17">
        <v>2.9466852660172647</v>
      </c>
      <c r="N15" t="s">
        <v>76</v>
      </c>
    </row>
    <row r="16" spans="1:20" x14ac:dyDescent="0.25">
      <c r="A16" s="37"/>
      <c r="B16" s="37"/>
      <c r="F16" s="17" t="s">
        <v>132</v>
      </c>
      <c r="G16" s="17">
        <v>5025.625</v>
      </c>
      <c r="H16" s="17">
        <v>28</v>
      </c>
      <c r="I16" s="17">
        <v>179.48660714285714</v>
      </c>
      <c r="J16" s="17"/>
      <c r="K16" s="17"/>
      <c r="L16" s="17"/>
    </row>
    <row r="17" spans="1:15" x14ac:dyDescent="0.25">
      <c r="A17" s="37"/>
      <c r="B17" s="37"/>
      <c r="F17" s="17"/>
      <c r="G17" s="17"/>
      <c r="H17" s="17"/>
      <c r="I17" s="17"/>
      <c r="J17" s="17"/>
      <c r="K17" s="17"/>
      <c r="L17" s="17"/>
      <c r="N17" t="s">
        <v>38</v>
      </c>
      <c r="O17" s="184">
        <f>SQRT(DEVSQ(I7:I10)/(H15*I16))</f>
        <v>0.61802590324284634</v>
      </c>
    </row>
    <row r="18" spans="1:15" ht="18" thickBot="1" x14ac:dyDescent="0.3">
      <c r="A18" s="37"/>
      <c r="B18" s="37"/>
      <c r="F18" s="18" t="s">
        <v>1</v>
      </c>
      <c r="G18" s="18">
        <v>6670.96875</v>
      </c>
      <c r="H18" s="18">
        <v>31</v>
      </c>
      <c r="I18" s="18"/>
      <c r="J18" s="18"/>
      <c r="K18" s="18"/>
      <c r="L18" s="18"/>
      <c r="N18" s="27" t="s">
        <v>227</v>
      </c>
      <c r="O18" s="175">
        <f>(G18-H18*I16)/(G18+I16)</f>
        <v>0.16157815369416265</v>
      </c>
    </row>
    <row r="19" spans="1:15" x14ac:dyDescent="0.25">
      <c r="A19" s="37"/>
      <c r="B19" s="37"/>
    </row>
    <row r="20" spans="1:15" x14ac:dyDescent="0.25">
      <c r="A20" s="37"/>
      <c r="B20" s="37"/>
    </row>
    <row r="21" spans="1:15" x14ac:dyDescent="0.25">
      <c r="A21" s="37"/>
      <c r="B21" s="37"/>
    </row>
    <row r="22" spans="1:15" x14ac:dyDescent="0.25">
      <c r="A22" s="37"/>
      <c r="B22" s="37"/>
    </row>
    <row r="23" spans="1:15" x14ac:dyDescent="0.25">
      <c r="A23" s="37"/>
      <c r="B23" s="37"/>
    </row>
    <row r="24" spans="1:15" x14ac:dyDescent="0.25">
      <c r="A24" s="37"/>
      <c r="B24" s="37"/>
    </row>
    <row r="25" spans="1:15" x14ac:dyDescent="0.25">
      <c r="A25" s="37"/>
      <c r="B25" s="37"/>
    </row>
    <row r="26" spans="1:15" x14ac:dyDescent="0.25">
      <c r="A26" s="37"/>
      <c r="B26" s="37"/>
    </row>
    <row r="27" spans="1:15" x14ac:dyDescent="0.25">
      <c r="A27" s="37"/>
      <c r="B27" s="37"/>
    </row>
    <row r="28" spans="1:15" x14ac:dyDescent="0.25">
      <c r="A28" s="37"/>
      <c r="B28" s="37"/>
    </row>
    <row r="29" spans="1:15" x14ac:dyDescent="0.25">
      <c r="A29" s="37"/>
      <c r="B29" s="37"/>
    </row>
    <row r="30" spans="1:15" x14ac:dyDescent="0.25">
      <c r="A30" s="37"/>
      <c r="B30" s="37"/>
    </row>
    <row r="31" spans="1:15" x14ac:dyDescent="0.25">
      <c r="A31" s="37"/>
      <c r="B31" s="37"/>
    </row>
    <row r="32" spans="1:15" x14ac:dyDescent="0.25">
      <c r="A32" s="37"/>
      <c r="B32" s="37"/>
    </row>
    <row r="33" spans="1:2" x14ac:dyDescent="0.25">
      <c r="A33" s="37"/>
      <c r="B33" s="37"/>
    </row>
    <row r="34" spans="1:2" x14ac:dyDescent="0.25">
      <c r="A34" s="37"/>
      <c r="B34" s="37"/>
    </row>
    <row r="35" spans="1:2" x14ac:dyDescent="0.25">
      <c r="A35" s="37"/>
      <c r="B35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5"/>
  <dimension ref="A1:O26"/>
  <sheetViews>
    <sheetView workbookViewId="0">
      <selection activeCell="G26" sqref="G26"/>
    </sheetView>
  </sheetViews>
  <sheetFormatPr defaultRowHeight="15" x14ac:dyDescent="0.25"/>
  <cols>
    <col min="1" max="1" width="6.28515625" customWidth="1"/>
    <col min="7" max="7" width="7.5703125" customWidth="1"/>
    <col min="13" max="13" width="15" customWidth="1"/>
    <col min="16" max="16" width="15.28515625" customWidth="1"/>
  </cols>
  <sheetData>
    <row r="1" spans="1:14" x14ac:dyDescent="0.25">
      <c r="A1" s="1" t="s">
        <v>148</v>
      </c>
    </row>
    <row r="3" spans="1:14" ht="18" x14ac:dyDescent="0.35">
      <c r="B3" s="60" t="s">
        <v>140</v>
      </c>
      <c r="C3" s="60" t="s">
        <v>141</v>
      </c>
      <c r="D3" s="60" t="s">
        <v>142</v>
      </c>
      <c r="E3" s="60" t="s">
        <v>143</v>
      </c>
      <c r="H3" s="60" t="s">
        <v>144</v>
      </c>
      <c r="I3" s="60" t="s">
        <v>145</v>
      </c>
      <c r="J3" s="60" t="s">
        <v>146</v>
      </c>
      <c r="K3" s="60" t="s">
        <v>147</v>
      </c>
      <c r="M3" t="s">
        <v>149</v>
      </c>
      <c r="N3" s="184">
        <f>VAR(H4:K11)</f>
        <v>162.11693548387098</v>
      </c>
    </row>
    <row r="4" spans="1:14" ht="18" x14ac:dyDescent="0.35">
      <c r="B4" s="60">
        <v>51</v>
      </c>
      <c r="C4" s="60">
        <v>82</v>
      </c>
      <c r="D4" s="60">
        <v>79</v>
      </c>
      <c r="E4" s="60">
        <v>85</v>
      </c>
      <c r="H4" s="71">
        <f>B4-$F$12-B$13</f>
        <v>-9.375</v>
      </c>
      <c r="I4" s="71">
        <f>C4-$F$12-C$13</f>
        <v>4.125</v>
      </c>
      <c r="J4" s="71">
        <f>D4-$F$12-D$13</f>
        <v>1</v>
      </c>
      <c r="K4" s="71">
        <f>E4-$F$12-E$13</f>
        <v>13.125</v>
      </c>
      <c r="M4" t="s">
        <v>150</v>
      </c>
      <c r="N4" s="179">
        <f>'ANOVA 2'!I16</f>
        <v>179.48660714285714</v>
      </c>
    </row>
    <row r="5" spans="1:14" x14ac:dyDescent="0.25">
      <c r="B5" s="37">
        <v>87</v>
      </c>
      <c r="C5" s="37">
        <v>91</v>
      </c>
      <c r="D5" s="37">
        <v>84</v>
      </c>
      <c r="E5" s="37">
        <v>80</v>
      </c>
      <c r="H5" s="23">
        <f t="shared" ref="H5:H11" si="0">B5-$F$12-B$13</f>
        <v>26.625</v>
      </c>
      <c r="I5" s="23">
        <f t="shared" ref="I5:I11" si="1">C5-$F$12-C$13</f>
        <v>13.125</v>
      </c>
      <c r="J5" s="23">
        <f t="shared" ref="J5:J11" si="2">D5-$F$12-D$13</f>
        <v>6</v>
      </c>
      <c r="K5" s="23">
        <f t="shared" ref="K5:K11" si="3">E5-$F$12-E$13</f>
        <v>8.125</v>
      </c>
      <c r="M5" t="s">
        <v>28</v>
      </c>
      <c r="N5" s="179">
        <f>COUNT(B4:E11)</f>
        <v>32</v>
      </c>
    </row>
    <row r="6" spans="1:14" x14ac:dyDescent="0.25">
      <c r="B6" s="37">
        <v>50</v>
      </c>
      <c r="C6" s="37">
        <v>92</v>
      </c>
      <c r="D6" s="37">
        <v>74</v>
      </c>
      <c r="E6" s="37">
        <v>65</v>
      </c>
      <c r="H6" s="23">
        <f t="shared" si="0"/>
        <v>-10.375</v>
      </c>
      <c r="I6" s="23">
        <f t="shared" si="1"/>
        <v>14.125</v>
      </c>
      <c r="J6" s="23">
        <f t="shared" si="2"/>
        <v>-4</v>
      </c>
      <c r="K6" s="23">
        <f t="shared" si="3"/>
        <v>-6.875</v>
      </c>
      <c r="M6" t="s">
        <v>151</v>
      </c>
      <c r="N6" s="179">
        <f>COUNT(B4:E4)</f>
        <v>4</v>
      </c>
    </row>
    <row r="7" spans="1:14" ht="18" x14ac:dyDescent="0.35">
      <c r="B7" s="37">
        <v>48</v>
      </c>
      <c r="C7" s="37">
        <v>80</v>
      </c>
      <c r="D7" s="37">
        <v>98</v>
      </c>
      <c r="E7" s="37">
        <v>71</v>
      </c>
      <c r="H7" s="23">
        <f t="shared" si="0"/>
        <v>-12.375</v>
      </c>
      <c r="I7" s="23">
        <f t="shared" si="1"/>
        <v>2.125</v>
      </c>
      <c r="J7" s="23">
        <f t="shared" si="2"/>
        <v>20</v>
      </c>
      <c r="K7" s="23">
        <f t="shared" si="3"/>
        <v>-0.875</v>
      </c>
      <c r="M7" t="s">
        <v>152</v>
      </c>
      <c r="N7" s="175">
        <f>(N5-N6)/(N5-1)*N4</f>
        <v>162.11693548387095</v>
      </c>
    </row>
    <row r="8" spans="1:14" x14ac:dyDescent="0.25">
      <c r="B8" s="37">
        <v>79</v>
      </c>
      <c r="C8" s="37">
        <v>52</v>
      </c>
      <c r="D8" s="37">
        <v>63</v>
      </c>
      <c r="E8" s="37">
        <v>67</v>
      </c>
      <c r="H8" s="23">
        <f t="shared" si="0"/>
        <v>18.625</v>
      </c>
      <c r="I8" s="23">
        <f t="shared" si="1"/>
        <v>-25.875</v>
      </c>
      <c r="J8" s="23">
        <f t="shared" si="2"/>
        <v>-15</v>
      </c>
      <c r="K8" s="23">
        <f t="shared" si="3"/>
        <v>-4.875</v>
      </c>
    </row>
    <row r="9" spans="1:14" x14ac:dyDescent="0.25">
      <c r="B9" s="37">
        <v>61</v>
      </c>
      <c r="C9" s="37">
        <v>79</v>
      </c>
      <c r="D9" s="37">
        <v>83</v>
      </c>
      <c r="E9" s="37">
        <v>51</v>
      </c>
      <c r="H9" s="23">
        <f t="shared" si="0"/>
        <v>0.625</v>
      </c>
      <c r="I9" s="23">
        <f t="shared" si="1"/>
        <v>1.125</v>
      </c>
      <c r="J9" s="23">
        <f t="shared" si="2"/>
        <v>5</v>
      </c>
      <c r="K9" s="23">
        <f t="shared" si="3"/>
        <v>-20.875</v>
      </c>
    </row>
    <row r="10" spans="1:14" x14ac:dyDescent="0.25">
      <c r="B10" s="37">
        <v>53</v>
      </c>
      <c r="C10" s="37">
        <v>73</v>
      </c>
      <c r="D10" s="37">
        <v>85</v>
      </c>
      <c r="E10" s="37">
        <v>63</v>
      </c>
      <c r="H10" s="23">
        <f t="shared" si="0"/>
        <v>-7.375</v>
      </c>
      <c r="I10" s="23">
        <f t="shared" si="1"/>
        <v>-4.875</v>
      </c>
      <c r="J10" s="23">
        <f t="shared" si="2"/>
        <v>7</v>
      </c>
      <c r="K10" s="23">
        <f t="shared" si="3"/>
        <v>-8.875</v>
      </c>
    </row>
    <row r="11" spans="1:14" x14ac:dyDescent="0.25">
      <c r="B11" s="55">
        <v>54</v>
      </c>
      <c r="C11" s="55">
        <v>74</v>
      </c>
      <c r="D11" s="55">
        <v>58</v>
      </c>
      <c r="E11" s="55">
        <v>93</v>
      </c>
      <c r="F11" s="68" t="s">
        <v>121</v>
      </c>
      <c r="H11" s="69">
        <f t="shared" si="0"/>
        <v>-6.375</v>
      </c>
      <c r="I11" s="69">
        <f t="shared" si="1"/>
        <v>-3.875</v>
      </c>
      <c r="J11" s="69">
        <f t="shared" si="2"/>
        <v>-20</v>
      </c>
      <c r="K11" s="69">
        <f t="shared" si="3"/>
        <v>21.125</v>
      </c>
    </row>
    <row r="12" spans="1:14" ht="18" x14ac:dyDescent="0.35">
      <c r="A12" s="70" t="s">
        <v>139</v>
      </c>
      <c r="B12" s="44">
        <f>AVERAGE(B4:B11)</f>
        <v>60.375</v>
      </c>
      <c r="C12" s="44">
        <f>AVERAGE(C4:C11)</f>
        <v>77.875</v>
      </c>
      <c r="D12" s="44">
        <f>AVERAGE(D4:D11)</f>
        <v>78</v>
      </c>
      <c r="E12" s="44">
        <f>AVERAGE(E4:E11)</f>
        <v>71.875</v>
      </c>
      <c r="F12" s="59">
        <f>AVERAGE(B4:E11)</f>
        <v>72.03125</v>
      </c>
      <c r="H12" s="23">
        <f>SUM(H4:H11)</f>
        <v>0</v>
      </c>
      <c r="I12" s="23">
        <f>SUM(I4:I11)</f>
        <v>0</v>
      </c>
      <c r="J12" s="23">
        <f>SUM(J4:J11)</f>
        <v>0</v>
      </c>
      <c r="K12" s="23">
        <f>SUM(K4:K11)</f>
        <v>0</v>
      </c>
    </row>
    <row r="13" spans="1:14" ht="18" x14ac:dyDescent="0.35">
      <c r="A13" s="70" t="s">
        <v>138</v>
      </c>
      <c r="B13" s="55">
        <f>B12-$F$12</f>
        <v>-11.65625</v>
      </c>
      <c r="C13" s="55">
        <f>C12-$F$12</f>
        <v>5.84375</v>
      </c>
      <c r="D13" s="55">
        <f>D12-$F$12</f>
        <v>5.96875</v>
      </c>
      <c r="E13" s="55">
        <f>E12-$F$12</f>
        <v>-0.15625</v>
      </c>
      <c r="F13" s="51">
        <f>SUM(B13:E13)</f>
        <v>0</v>
      </c>
    </row>
    <row r="14" spans="1:14" x14ac:dyDescent="0.25">
      <c r="A14" s="70"/>
    </row>
    <row r="15" spans="1:14" x14ac:dyDescent="0.25">
      <c r="A15" s="70"/>
    </row>
    <row r="21" spans="7:15" x14ac:dyDescent="0.25">
      <c r="G21" s="37"/>
      <c r="H21" s="37"/>
      <c r="I21" s="37"/>
      <c r="J21" s="37"/>
      <c r="K21" s="37"/>
      <c r="L21" s="37"/>
      <c r="M21" s="37"/>
      <c r="N21" s="37"/>
      <c r="O21" s="37"/>
    </row>
    <row r="26" spans="7:15" x14ac:dyDescent="0.25">
      <c r="G26" s="37"/>
      <c r="H26" s="37"/>
      <c r="I26" s="37"/>
      <c r="J26" s="37"/>
      <c r="K26" s="37"/>
      <c r="L26" s="37"/>
      <c r="M26" s="37"/>
      <c r="N26" s="37"/>
      <c r="O26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T26"/>
  <sheetViews>
    <sheetView workbookViewId="0"/>
  </sheetViews>
  <sheetFormatPr defaultRowHeight="15" x14ac:dyDescent="0.25"/>
  <cols>
    <col min="6" max="6" width="17.7109375" customWidth="1"/>
  </cols>
  <sheetData>
    <row r="1" spans="1:20" x14ac:dyDescent="0.25">
      <c r="A1" s="1" t="s">
        <v>125</v>
      </c>
      <c r="F1" t="s">
        <v>133</v>
      </c>
      <c r="N1" t="s">
        <v>707</v>
      </c>
    </row>
    <row r="2" spans="1:20" ht="15.75" thickBot="1" x14ac:dyDescent="0.3"/>
    <row r="3" spans="1:20" ht="16.5" thickTop="1" thickBot="1" x14ac:dyDescent="0.3">
      <c r="A3" s="368" t="s">
        <v>33</v>
      </c>
      <c r="B3" s="368" t="s">
        <v>34</v>
      </c>
      <c r="C3" s="368" t="s">
        <v>40</v>
      </c>
      <c r="D3" s="368" t="s">
        <v>41</v>
      </c>
      <c r="F3" t="s">
        <v>52</v>
      </c>
      <c r="N3" s="251" t="s">
        <v>61</v>
      </c>
      <c r="O3" s="251" t="s">
        <v>19</v>
      </c>
      <c r="P3" s="251" t="s">
        <v>7</v>
      </c>
      <c r="Q3" s="251" t="s">
        <v>88</v>
      </c>
    </row>
    <row r="4" spans="1:20" x14ac:dyDescent="0.25">
      <c r="A4">
        <v>51</v>
      </c>
      <c r="B4">
        <v>82</v>
      </c>
      <c r="C4">
        <v>79</v>
      </c>
      <c r="D4">
        <v>85</v>
      </c>
      <c r="F4" s="391" t="s">
        <v>61</v>
      </c>
      <c r="G4" s="391" t="s">
        <v>19</v>
      </c>
      <c r="H4" s="391" t="s">
        <v>18</v>
      </c>
      <c r="I4" s="391" t="s">
        <v>134</v>
      </c>
      <c r="J4" s="391" t="s">
        <v>62</v>
      </c>
      <c r="N4" t="str">
        <f>F5</f>
        <v>Method 1</v>
      </c>
      <c r="O4">
        <f>G5</f>
        <v>7</v>
      </c>
      <c r="P4">
        <f>I5</f>
        <v>61.285714285714285</v>
      </c>
    </row>
    <row r="5" spans="1:20" x14ac:dyDescent="0.25">
      <c r="A5">
        <v>87</v>
      </c>
      <c r="B5">
        <v>91</v>
      </c>
      <c r="C5">
        <v>84</v>
      </c>
      <c r="D5">
        <v>80</v>
      </c>
      <c r="F5" s="17" t="s">
        <v>33</v>
      </c>
      <c r="G5" s="17">
        <v>7</v>
      </c>
      <c r="H5" s="17">
        <v>429</v>
      </c>
      <c r="I5" s="17">
        <v>61.285714285714285</v>
      </c>
      <c r="J5" s="17">
        <v>242.23809523809541</v>
      </c>
      <c r="N5" t="str">
        <f t="shared" ref="N5:O7" si="0">F6</f>
        <v>Method 2</v>
      </c>
      <c r="O5">
        <f t="shared" si="0"/>
        <v>8</v>
      </c>
      <c r="P5">
        <f>I6</f>
        <v>77.875</v>
      </c>
    </row>
    <row r="6" spans="1:20" x14ac:dyDescent="0.25">
      <c r="A6">
        <v>50</v>
      </c>
      <c r="B6">
        <v>92</v>
      </c>
      <c r="C6">
        <v>74</v>
      </c>
      <c r="D6">
        <v>65</v>
      </c>
      <c r="F6" s="17" t="s">
        <v>34</v>
      </c>
      <c r="G6" s="17">
        <v>8</v>
      </c>
      <c r="H6" s="17">
        <v>623</v>
      </c>
      <c r="I6" s="17">
        <v>77.875</v>
      </c>
      <c r="J6" s="17">
        <v>157.55357142857142</v>
      </c>
      <c r="N6" t="str">
        <f t="shared" si="0"/>
        <v>Method 3</v>
      </c>
      <c r="O6">
        <f t="shared" si="0"/>
        <v>8</v>
      </c>
      <c r="P6">
        <f>I7</f>
        <v>78</v>
      </c>
    </row>
    <row r="7" spans="1:20" x14ac:dyDescent="0.25">
      <c r="A7">
        <v>48</v>
      </c>
      <c r="B7">
        <v>80</v>
      </c>
      <c r="C7">
        <v>98</v>
      </c>
      <c r="D7">
        <v>71</v>
      </c>
      <c r="F7" s="17" t="s">
        <v>40</v>
      </c>
      <c r="G7" s="17">
        <v>8</v>
      </c>
      <c r="H7" s="17">
        <v>624</v>
      </c>
      <c r="I7" s="17">
        <v>78</v>
      </c>
      <c r="J7" s="17">
        <v>164.57142857142858</v>
      </c>
      <c r="N7" s="224" t="str">
        <f t="shared" si="0"/>
        <v>Method 4</v>
      </c>
      <c r="O7" s="224">
        <f t="shared" si="0"/>
        <v>6</v>
      </c>
      <c r="P7" s="224">
        <f>I8</f>
        <v>69.833333333333329</v>
      </c>
      <c r="Q7" s="224"/>
    </row>
    <row r="8" spans="1:20" ht="15.75" thickBot="1" x14ac:dyDescent="0.3">
      <c r="A8">
        <v>79</v>
      </c>
      <c r="B8">
        <v>52</v>
      </c>
      <c r="C8">
        <v>63</v>
      </c>
      <c r="D8">
        <v>67</v>
      </c>
      <c r="F8" s="18" t="s">
        <v>41</v>
      </c>
      <c r="G8" s="18">
        <v>6</v>
      </c>
      <c r="H8" s="18">
        <v>419</v>
      </c>
      <c r="I8" s="18">
        <v>69.833333333333329</v>
      </c>
      <c r="J8" s="18">
        <v>144.16666666666643</v>
      </c>
      <c r="O8" s="28">
        <f>SUM(O4:O7)</f>
        <v>29</v>
      </c>
      <c r="P8" s="28">
        <f>AVERAGE(A4:D11)</f>
        <v>72.241379310344826</v>
      </c>
    </row>
    <row r="9" spans="1:20" x14ac:dyDescent="0.25">
      <c r="A9">
        <v>61</v>
      </c>
      <c r="B9">
        <v>79</v>
      </c>
      <c r="C9">
        <v>83</v>
      </c>
      <c r="D9">
        <v>51</v>
      </c>
    </row>
    <row r="10" spans="1:20" x14ac:dyDescent="0.25">
      <c r="A10">
        <v>53</v>
      </c>
      <c r="B10">
        <v>73</v>
      </c>
      <c r="C10">
        <v>85</v>
      </c>
      <c r="N10" t="s">
        <v>708</v>
      </c>
    </row>
    <row r="11" spans="1:20" ht="15.75" thickBot="1" x14ac:dyDescent="0.3">
      <c r="A11" s="224"/>
      <c r="B11" s="224">
        <v>74</v>
      </c>
      <c r="C11" s="224">
        <v>58</v>
      </c>
      <c r="D11" s="224"/>
      <c r="F11" t="s">
        <v>101</v>
      </c>
    </row>
    <row r="12" spans="1:20" ht="15.75" thickTop="1" x14ac:dyDescent="0.25">
      <c r="F12" s="391" t="s">
        <v>135</v>
      </c>
      <c r="G12" s="391" t="s">
        <v>88</v>
      </c>
      <c r="H12" s="391" t="s">
        <v>51</v>
      </c>
      <c r="I12" s="391" t="s">
        <v>92</v>
      </c>
      <c r="J12" s="391" t="s">
        <v>82</v>
      </c>
      <c r="K12" s="391" t="s">
        <v>74</v>
      </c>
      <c r="L12" s="391" t="s">
        <v>136</v>
      </c>
      <c r="N12" s="251" t="s">
        <v>61</v>
      </c>
      <c r="O12" s="251" t="s">
        <v>19</v>
      </c>
      <c r="P12" s="251" t="s">
        <v>51</v>
      </c>
      <c r="Q12" s="251" t="s">
        <v>62</v>
      </c>
      <c r="R12" s="251" t="s">
        <v>88</v>
      </c>
    </row>
    <row r="13" spans="1:20" x14ac:dyDescent="0.25">
      <c r="F13" s="17" t="s">
        <v>131</v>
      </c>
      <c r="G13" s="17">
        <v>1394.1734400656824</v>
      </c>
      <c r="H13" s="17">
        <v>3</v>
      </c>
      <c r="I13" s="17">
        <v>464.72448002189412</v>
      </c>
      <c r="J13" s="17">
        <v>2.6231097052015611</v>
      </c>
      <c r="K13" s="17">
        <v>7.2760576413978123E-2</v>
      </c>
      <c r="L13" s="17">
        <v>2.9912409095499513</v>
      </c>
      <c r="N13" t="str">
        <f>F5</f>
        <v>Method 1</v>
      </c>
      <c r="O13">
        <f>G5</f>
        <v>7</v>
      </c>
      <c r="P13">
        <f>O13-1</f>
        <v>6</v>
      </c>
      <c r="Q13">
        <f>J5</f>
        <v>242.23809523809541</v>
      </c>
      <c r="R13">
        <f>P13*Q13</f>
        <v>1453.4285714285725</v>
      </c>
    </row>
    <row r="14" spans="1:20" x14ac:dyDescent="0.25">
      <c r="F14" s="17" t="s">
        <v>132</v>
      </c>
      <c r="G14" s="17">
        <v>4429.1369047619046</v>
      </c>
      <c r="H14" s="17">
        <v>25</v>
      </c>
      <c r="I14" s="17">
        <v>177.16547619047617</v>
      </c>
      <c r="J14" s="17"/>
      <c r="K14" s="17"/>
      <c r="L14" s="17"/>
      <c r="N14" t="str">
        <f t="shared" ref="N14:O16" si="1">F6</f>
        <v>Method 2</v>
      </c>
      <c r="O14">
        <f t="shared" si="1"/>
        <v>8</v>
      </c>
      <c r="P14">
        <f>O14-1</f>
        <v>7</v>
      </c>
      <c r="Q14">
        <f>J6</f>
        <v>157.55357142857142</v>
      </c>
      <c r="R14">
        <f>P14*Q14</f>
        <v>1102.875</v>
      </c>
    </row>
    <row r="15" spans="1:20" x14ac:dyDescent="0.25">
      <c r="F15" s="17"/>
      <c r="G15" s="17"/>
      <c r="H15" s="17"/>
      <c r="I15" s="17"/>
      <c r="J15" s="17"/>
      <c r="K15" s="17"/>
      <c r="L15" s="17"/>
      <c r="N15" t="str">
        <f t="shared" si="1"/>
        <v>Method 3</v>
      </c>
      <c r="O15">
        <f t="shared" si="1"/>
        <v>8</v>
      </c>
      <c r="P15">
        <f>O15-1</f>
        <v>7</v>
      </c>
      <c r="Q15">
        <f>J7</f>
        <v>164.57142857142858</v>
      </c>
      <c r="R15">
        <f>P15*Q15</f>
        <v>1152</v>
      </c>
    </row>
    <row r="16" spans="1:20" ht="15.75" thickBot="1" x14ac:dyDescent="0.3">
      <c r="F16" s="18" t="s">
        <v>1</v>
      </c>
      <c r="G16" s="18">
        <v>5823.310344827587</v>
      </c>
      <c r="H16" s="18">
        <v>28</v>
      </c>
      <c r="I16" s="18"/>
      <c r="J16" s="18"/>
      <c r="K16" s="18"/>
      <c r="L16" s="18"/>
      <c r="N16" s="224" t="str">
        <f t="shared" si="1"/>
        <v>Method 4</v>
      </c>
      <c r="O16" s="224">
        <f t="shared" si="1"/>
        <v>6</v>
      </c>
      <c r="P16" s="224">
        <f>O16-1</f>
        <v>5</v>
      </c>
      <c r="Q16" s="224">
        <f>J8</f>
        <v>144.16666666666643</v>
      </c>
      <c r="R16" s="224">
        <f>P16*Q16</f>
        <v>720.83333333333212</v>
      </c>
      <c r="T16" s="389" t="s">
        <v>155</v>
      </c>
    </row>
    <row r="17" spans="6:20" x14ac:dyDescent="0.25">
      <c r="P17" s="28">
        <f>SUM(P13:P16)</f>
        <v>25</v>
      </c>
      <c r="Q17" s="28"/>
      <c r="R17" s="28">
        <f>SUM(R13:R16)</f>
        <v>4429.1369047619046</v>
      </c>
      <c r="T17" s="368">
        <f>R17/P17</f>
        <v>177.16547619047617</v>
      </c>
    </row>
    <row r="19" spans="6:20" x14ac:dyDescent="0.25">
      <c r="F19" t="s">
        <v>596</v>
      </c>
    </row>
    <row r="21" spans="6:20" ht="15.75" thickBot="1" x14ac:dyDescent="0.3">
      <c r="F21" t="s">
        <v>101</v>
      </c>
    </row>
    <row r="22" spans="6:20" x14ac:dyDescent="0.25">
      <c r="F22" s="391" t="s">
        <v>135</v>
      </c>
      <c r="G22" s="391" t="s">
        <v>88</v>
      </c>
      <c r="H22" s="391" t="s">
        <v>51</v>
      </c>
      <c r="I22" s="391" t="s">
        <v>92</v>
      </c>
      <c r="J22" s="391" t="s">
        <v>82</v>
      </c>
      <c r="K22" s="391" t="s">
        <v>74</v>
      </c>
    </row>
    <row r="23" spans="6:20" x14ac:dyDescent="0.25">
      <c r="F23" s="17" t="s">
        <v>131</v>
      </c>
      <c r="G23" s="17" t="e">
        <f ca="1">SSBet(A4:D11)</f>
        <v>#NAME?</v>
      </c>
      <c r="H23" s="17" t="e">
        <f ca="1">dfBet(A4:D11)</f>
        <v>#NAME?</v>
      </c>
      <c r="I23" s="17" t="e">
        <f ca="1">MSBet(A4:D11)</f>
        <v>#NAME?</v>
      </c>
      <c r="J23" s="17">
        <f ca="1">[1]!ANOVA1(A4:D11)</f>
        <v>0</v>
      </c>
      <c r="K23" s="17" t="e">
        <f ca="1">ATEST(A4:D11)</f>
        <v>#NAME?</v>
      </c>
    </row>
    <row r="24" spans="6:20" x14ac:dyDescent="0.25">
      <c r="F24" s="17" t="s">
        <v>132</v>
      </c>
      <c r="G24" s="17" t="e">
        <f ca="1">SSW(A4:D11)</f>
        <v>#NAME?</v>
      </c>
      <c r="H24" s="17" t="e">
        <f ca="1">dfW(A4:D11)</f>
        <v>#NAME?</v>
      </c>
      <c r="I24" s="17" t="e">
        <f ca="1">MSW(A4:D11)</f>
        <v>#NAME?</v>
      </c>
      <c r="J24" s="17"/>
      <c r="K24" s="17"/>
    </row>
    <row r="25" spans="6:20" x14ac:dyDescent="0.25">
      <c r="F25" s="17"/>
      <c r="G25" s="17"/>
      <c r="H25" s="17"/>
      <c r="I25" s="17"/>
      <c r="J25" s="17"/>
      <c r="K25" s="17"/>
    </row>
    <row r="26" spans="6:20" ht="15.75" thickBot="1" x14ac:dyDescent="0.3">
      <c r="F26" s="18" t="s">
        <v>1</v>
      </c>
      <c r="G26" s="18" t="e">
        <f ca="1">SSTot(A4:D11)</f>
        <v>#NAME?</v>
      </c>
      <c r="H26" s="18" t="e">
        <f ca="1">dfBet(A4:D11)</f>
        <v>#NAME?</v>
      </c>
      <c r="I26" s="18"/>
      <c r="J26" s="18"/>
      <c r="K2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/>
  <dimension ref="A1:S17"/>
  <sheetViews>
    <sheetView workbookViewId="0"/>
  </sheetViews>
  <sheetFormatPr defaultRowHeight="15" x14ac:dyDescent="0.25"/>
  <cols>
    <col min="5" max="5" width="3.85546875" customWidth="1"/>
    <col min="6" max="6" width="16.28515625" customWidth="1"/>
    <col min="7" max="7" width="8" customWidth="1"/>
    <col min="8" max="8" width="7.42578125" customWidth="1"/>
    <col min="9" max="9" width="8.28515625" customWidth="1"/>
    <col min="11" max="12" width="8.28515625" customWidth="1"/>
    <col min="15" max="15" width="8.5703125" customWidth="1"/>
    <col min="16" max="16" width="10.85546875" customWidth="1"/>
    <col min="17" max="17" width="9.140625" customWidth="1"/>
    <col min="19" max="19" width="6.7109375" hidden="1" customWidth="1"/>
  </cols>
  <sheetData>
    <row r="1" spans="1:14" x14ac:dyDescent="0.25">
      <c r="A1" s="1" t="s">
        <v>156</v>
      </c>
    </row>
    <row r="2" spans="1:14" x14ac:dyDescent="0.25">
      <c r="A2" s="37"/>
      <c r="B2" s="37"/>
    </row>
    <row r="3" spans="1:14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</row>
    <row r="4" spans="1:14" x14ac:dyDescent="0.25">
      <c r="A4" s="60">
        <v>51</v>
      </c>
      <c r="B4" s="60">
        <v>82</v>
      </c>
      <c r="C4" s="60">
        <v>79</v>
      </c>
      <c r="D4" s="60">
        <v>85</v>
      </c>
    </row>
    <row r="5" spans="1:14" ht="15.75" thickBot="1" x14ac:dyDescent="0.3">
      <c r="A5" s="37">
        <v>87</v>
      </c>
      <c r="B5" s="37">
        <v>91</v>
      </c>
      <c r="C5" s="37">
        <v>84</v>
      </c>
      <c r="D5" s="37">
        <v>80</v>
      </c>
      <c r="F5" t="s">
        <v>127</v>
      </c>
      <c r="K5" t="s">
        <v>31</v>
      </c>
      <c r="L5">
        <v>0.05</v>
      </c>
    </row>
    <row r="6" spans="1:14" ht="15.75" thickTop="1" x14ac:dyDescent="0.25">
      <c r="A6" s="37">
        <v>50</v>
      </c>
      <c r="B6" s="37">
        <v>92</v>
      </c>
      <c r="C6" s="37">
        <v>74</v>
      </c>
      <c r="D6" s="37">
        <v>65</v>
      </c>
      <c r="F6" s="29" t="s">
        <v>61</v>
      </c>
      <c r="G6" s="29" t="s">
        <v>19</v>
      </c>
      <c r="H6" s="29" t="s">
        <v>18</v>
      </c>
      <c r="I6" s="29" t="s">
        <v>7</v>
      </c>
      <c r="J6" s="29" t="s">
        <v>62</v>
      </c>
      <c r="K6" s="29" t="s">
        <v>88</v>
      </c>
      <c r="L6" s="29" t="s">
        <v>50</v>
      </c>
      <c r="M6" s="29" t="s">
        <v>110</v>
      </c>
      <c r="N6" s="29" t="s">
        <v>111</v>
      </c>
    </row>
    <row r="7" spans="1:14" x14ac:dyDescent="0.25">
      <c r="A7" s="37">
        <v>48</v>
      </c>
      <c r="B7" s="37">
        <v>80</v>
      </c>
      <c r="C7" s="37">
        <v>98</v>
      </c>
      <c r="D7" s="37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L7">
        <f>SQRT(I15/G7)</f>
        <v>5.0308402619737986</v>
      </c>
      <c r="M7">
        <f>I7-L7*TINV(L5,H15)</f>
        <v>50.924504813435746</v>
      </c>
      <c r="N7">
        <f>I7+L7*TINV(L5,H15)</f>
        <v>71.646923757992823</v>
      </c>
    </row>
    <row r="8" spans="1:14" x14ac:dyDescent="0.25">
      <c r="A8" s="37">
        <v>79</v>
      </c>
      <c r="B8" s="37">
        <v>52</v>
      </c>
      <c r="C8" s="37">
        <v>63</v>
      </c>
      <c r="D8" s="37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4.7059201569735034</v>
      </c>
      <c r="M8">
        <f>I8-L8*TINV(L5,H15)</f>
        <v>68.182976010534219</v>
      </c>
      <c r="N8">
        <f>I8+L8*TINV(L5,H15)</f>
        <v>87.567023989465781</v>
      </c>
    </row>
    <row r="9" spans="1:14" x14ac:dyDescent="0.25">
      <c r="A9" s="37">
        <v>61</v>
      </c>
      <c r="B9" s="37">
        <v>79</v>
      </c>
      <c r="C9" s="37">
        <v>83</v>
      </c>
      <c r="D9" s="37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4.7059201569735034</v>
      </c>
      <c r="M9">
        <f>I9-L9*TINV(L5,H15)</f>
        <v>68.307976010534219</v>
      </c>
      <c r="N9">
        <f>I9+L9*TINV(L5,H15)</f>
        <v>87.692023989465781</v>
      </c>
    </row>
    <row r="10" spans="1:14" x14ac:dyDescent="0.25">
      <c r="A10" s="37">
        <v>53</v>
      </c>
      <c r="B10" s="37">
        <v>73</v>
      </c>
      <c r="C10" s="37">
        <v>85</v>
      </c>
      <c r="D10" s="37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L10">
        <f>SQRT(I15/G10)</f>
        <v>5.4339285388270762</v>
      </c>
      <c r="M10">
        <f>I10-L10*TINV(L5,H15)</f>
        <v>58.641948014712568</v>
      </c>
      <c r="N10">
        <f>I10+L10*TINV(L5,H15)</f>
        <v>81.024718651954089</v>
      </c>
    </row>
    <row r="11" spans="1:14" x14ac:dyDescent="0.25">
      <c r="A11" s="55"/>
      <c r="B11" s="55">
        <v>74</v>
      </c>
      <c r="C11" s="55">
        <v>58</v>
      </c>
      <c r="D11" s="55"/>
      <c r="F11" s="183"/>
      <c r="G11" s="183"/>
      <c r="H11" s="183"/>
      <c r="I11" s="183"/>
      <c r="J11" s="183"/>
      <c r="K11" s="183"/>
      <c r="L11" s="183"/>
      <c r="M11" s="183"/>
      <c r="N11" s="183"/>
    </row>
    <row r="12" spans="1:14" ht="15.75" thickBot="1" x14ac:dyDescent="0.3">
      <c r="A12" s="37"/>
      <c r="B12" s="37"/>
      <c r="F12" t="s">
        <v>101</v>
      </c>
    </row>
    <row r="13" spans="1:14" ht="15.75" thickTop="1" x14ac:dyDescent="0.25">
      <c r="A13" s="37"/>
      <c r="B13" s="37"/>
      <c r="F13" s="29" t="s">
        <v>128</v>
      </c>
      <c r="G13" s="29" t="s">
        <v>88</v>
      </c>
      <c r="H13" s="29" t="s">
        <v>51</v>
      </c>
      <c r="I13" s="29" t="s">
        <v>92</v>
      </c>
      <c r="J13" s="29" t="s">
        <v>82</v>
      </c>
      <c r="K13" s="29" t="s">
        <v>129</v>
      </c>
      <c r="L13" s="251" t="s">
        <v>878</v>
      </c>
      <c r="M13" s="29" t="s">
        <v>383</v>
      </c>
      <c r="N13" s="29" t="s">
        <v>384</v>
      </c>
    </row>
    <row r="14" spans="1:14" x14ac:dyDescent="0.25">
      <c r="A14" s="37"/>
      <c r="B14" s="37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G14/G16</f>
        <v>0.23941252612511418</v>
      </c>
      <c r="M14">
        <f>SQRT(DEVSQ(I7:I10)/(I15*H14))</f>
        <v>0.59750859005399493</v>
      </c>
      <c r="N14">
        <f>(G16-H16*I15)/(G16+I15)</f>
        <v>0.14376810060171005</v>
      </c>
    </row>
    <row r="15" spans="1:14" x14ac:dyDescent="0.25">
      <c r="A15" s="37"/>
      <c r="B15" s="37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4" x14ac:dyDescent="0.25">
      <c r="A16" s="37"/>
      <c r="B16" s="37"/>
      <c r="F16" s="10" t="s">
        <v>1</v>
      </c>
      <c r="G16" s="10">
        <f>DEVSQ(A4:D11)</f>
        <v>5823.310344827587</v>
      </c>
      <c r="H16" s="10">
        <f>COUNT(A4:D11)-1</f>
        <v>28</v>
      </c>
      <c r="I16" s="10">
        <f>G16/H16</f>
        <v>207.97536945812811</v>
      </c>
      <c r="J16" s="10"/>
      <c r="K16" s="10"/>
      <c r="L16" s="10"/>
      <c r="M16" s="171"/>
      <c r="N16" s="171"/>
    </row>
    <row r="17" spans="1:2" x14ac:dyDescent="0.25">
      <c r="A17" s="37"/>
      <c r="B17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6"/>
  <dimension ref="A1:T35"/>
  <sheetViews>
    <sheetView topLeftCell="B1" zoomScaleNormal="100" workbookViewId="0">
      <selection activeCell="T26" sqref="T26"/>
    </sheetView>
  </sheetViews>
  <sheetFormatPr defaultRowHeight="15" x14ac:dyDescent="0.25"/>
  <cols>
    <col min="1" max="1" width="9.85546875" customWidth="1"/>
    <col min="2" max="2" width="5.7109375" customWidth="1"/>
    <col min="3" max="3" width="4.5703125" customWidth="1"/>
    <col min="8" max="8" width="4.5703125" customWidth="1"/>
    <col min="9" max="9" width="16" customWidth="1"/>
    <col min="11" max="11" width="7.140625" customWidth="1"/>
    <col min="19" max="19" width="10.42578125" customWidth="1"/>
  </cols>
  <sheetData>
    <row r="1" spans="1:20" x14ac:dyDescent="0.25">
      <c r="A1" s="1" t="s">
        <v>496</v>
      </c>
    </row>
    <row r="3" spans="1:20" x14ac:dyDescent="0.25">
      <c r="A3" s="216" t="s">
        <v>33</v>
      </c>
      <c r="B3" s="218">
        <v>48</v>
      </c>
      <c r="D3" t="s">
        <v>495</v>
      </c>
      <c r="S3" t="s">
        <v>497</v>
      </c>
    </row>
    <row r="4" spans="1:20" x14ac:dyDescent="0.25">
      <c r="A4" s="180" t="s">
        <v>33</v>
      </c>
      <c r="B4" s="181">
        <v>50</v>
      </c>
    </row>
    <row r="5" spans="1:20" x14ac:dyDescent="0.25">
      <c r="A5" s="180" t="s">
        <v>33</v>
      </c>
      <c r="B5" s="181">
        <v>51</v>
      </c>
      <c r="D5" t="e">
        <f t="array" aca="1" ref="D5:G13" ca="1">StdAnova1(A3:B31)</f>
        <v>#NAME?</v>
      </c>
      <c r="E5" t="e">
        <f ca="1"/>
        <v>#NAME?</v>
      </c>
      <c r="F5" t="e">
        <f ca="1"/>
        <v>#NAME?</v>
      </c>
      <c r="G5" t="e">
        <f ca="1"/>
        <v>#NAME?</v>
      </c>
      <c r="I5" t="s">
        <v>126</v>
      </c>
      <c r="S5" s="216" t="e">
        <f t="array" aca="1" ref="S5:T35" ca="1">Anova1Std(D5:G13)</f>
        <v>#NAME?</v>
      </c>
      <c r="T5" s="218" t="e">
        <f ca="1"/>
        <v>#NAME?</v>
      </c>
    </row>
    <row r="6" spans="1:20" x14ac:dyDescent="0.25">
      <c r="A6" s="180" t="s">
        <v>41</v>
      </c>
      <c r="B6" s="181">
        <v>51</v>
      </c>
      <c r="D6" s="233" t="e">
        <f ca="1"/>
        <v>#NAME?</v>
      </c>
      <c r="E6" s="234" t="e">
        <f ca="1"/>
        <v>#NAME?</v>
      </c>
      <c r="F6" s="234" t="e">
        <f ca="1"/>
        <v>#NAME?</v>
      </c>
      <c r="G6" s="235" t="e">
        <f ca="1"/>
        <v>#NAME?</v>
      </c>
      <c r="S6" s="180" t="e">
        <f ca="1"/>
        <v>#NAME?</v>
      </c>
      <c r="T6" s="181" t="e">
        <f ca="1"/>
        <v>#NAME?</v>
      </c>
    </row>
    <row r="7" spans="1:20" ht="15.75" thickBot="1" x14ac:dyDescent="0.3">
      <c r="A7" s="180" t="s">
        <v>34</v>
      </c>
      <c r="B7" s="181">
        <v>52</v>
      </c>
      <c r="D7" s="178" t="e">
        <f ca="1"/>
        <v>#NAME?</v>
      </c>
      <c r="E7" s="7" t="e">
        <f ca="1"/>
        <v>#NAME?</v>
      </c>
      <c r="F7" s="7" t="e">
        <f ca="1"/>
        <v>#NAME?</v>
      </c>
      <c r="G7" s="40" t="e">
        <f ca="1"/>
        <v>#NAME?</v>
      </c>
      <c r="I7" t="s">
        <v>127</v>
      </c>
      <c r="N7" t="s">
        <v>31</v>
      </c>
      <c r="O7">
        <v>0.05</v>
      </c>
      <c r="S7" s="180" t="e">
        <f ca="1"/>
        <v>#NAME?</v>
      </c>
      <c r="T7" s="181" t="e">
        <f ca="1"/>
        <v>#NAME?</v>
      </c>
    </row>
    <row r="8" spans="1:20" ht="15.75" thickTop="1" x14ac:dyDescent="0.25">
      <c r="A8" s="180" t="s">
        <v>33</v>
      </c>
      <c r="B8" s="181">
        <v>53</v>
      </c>
      <c r="D8" s="178" t="e">
        <f ca="1"/>
        <v>#NAME?</v>
      </c>
      <c r="E8" s="7" t="e">
        <f ca="1"/>
        <v>#NAME?</v>
      </c>
      <c r="F8" s="7" t="e">
        <f ca="1"/>
        <v>#NAME?</v>
      </c>
      <c r="G8" s="40" t="e">
        <f ca="1"/>
        <v>#NAME?</v>
      </c>
      <c r="I8" s="217" t="s">
        <v>61</v>
      </c>
      <c r="J8" s="217" t="s">
        <v>19</v>
      </c>
      <c r="K8" s="217" t="s">
        <v>18</v>
      </c>
      <c r="L8" s="217" t="s">
        <v>7</v>
      </c>
      <c r="M8" s="217" t="s">
        <v>62</v>
      </c>
      <c r="N8" s="217" t="s">
        <v>88</v>
      </c>
      <c r="O8" s="217" t="s">
        <v>50</v>
      </c>
      <c r="P8" s="217" t="s">
        <v>110</v>
      </c>
      <c r="Q8" s="217" t="s">
        <v>111</v>
      </c>
      <c r="S8" s="180" t="e">
        <f ca="1"/>
        <v>#NAME?</v>
      </c>
      <c r="T8" s="181" t="e">
        <f ca="1"/>
        <v>#NAME?</v>
      </c>
    </row>
    <row r="9" spans="1:20" x14ac:dyDescent="0.25">
      <c r="A9" s="180" t="s">
        <v>40</v>
      </c>
      <c r="B9" s="181">
        <v>58</v>
      </c>
      <c r="D9" s="178" t="e">
        <f ca="1"/>
        <v>#NAME?</v>
      </c>
      <c r="E9" s="7" t="e">
        <f ca="1"/>
        <v>#NAME?</v>
      </c>
      <c r="F9" s="7" t="e">
        <f ca="1"/>
        <v>#NAME?</v>
      </c>
      <c r="G9" s="40" t="e">
        <f ca="1"/>
        <v>#NAME?</v>
      </c>
      <c r="I9" t="e">
        <f ca="1">D5</f>
        <v>#NAME?</v>
      </c>
      <c r="J9">
        <f ca="1">COUNT(D6:D13)</f>
        <v>0</v>
      </c>
      <c r="K9" t="e">
        <f ca="1">SUM(D6:D13)</f>
        <v>#NAME?</v>
      </c>
      <c r="L9" t="e">
        <f ca="1">AVERAGE(D6:D13)</f>
        <v>#NAME?</v>
      </c>
      <c r="M9" t="e">
        <f ca="1">VAR(D6:D13)</f>
        <v>#NAME?</v>
      </c>
      <c r="N9" t="e">
        <f ca="1">DEVSQ(D6:D13)</f>
        <v>#NAME?</v>
      </c>
      <c r="O9" t="e">
        <f ca="1">SQRT(L17/J9)</f>
        <v>#NAME?</v>
      </c>
      <c r="P9" t="e">
        <f ca="1">L9-O9*TINV(O7,K17)</f>
        <v>#NAME?</v>
      </c>
      <c r="Q9" t="e">
        <f ca="1">L9+O9*TINV(O7,K17)</f>
        <v>#NAME?</v>
      </c>
      <c r="S9" s="180" t="e">
        <f ca="1"/>
        <v>#NAME?</v>
      </c>
      <c r="T9" s="181" t="e">
        <f ca="1"/>
        <v>#NAME?</v>
      </c>
    </row>
    <row r="10" spans="1:20" x14ac:dyDescent="0.25">
      <c r="A10" s="180" t="s">
        <v>33</v>
      </c>
      <c r="B10" s="181">
        <v>61</v>
      </c>
      <c r="D10" s="178" t="e">
        <f ca="1"/>
        <v>#NAME?</v>
      </c>
      <c r="E10" s="7" t="e">
        <f ca="1"/>
        <v>#NAME?</v>
      </c>
      <c r="F10" s="7" t="e">
        <f ca="1"/>
        <v>#NAME?</v>
      </c>
      <c r="G10" s="40" t="e">
        <f ca="1"/>
        <v>#NAME?</v>
      </c>
      <c r="I10" t="e">
        <f ca="1">E5</f>
        <v>#NAME?</v>
      </c>
      <c r="J10">
        <f ca="1">COUNT(E6:E13)</f>
        <v>0</v>
      </c>
      <c r="K10" t="e">
        <f ca="1">SUM(E6:E13)</f>
        <v>#NAME?</v>
      </c>
      <c r="L10" t="e">
        <f ca="1">AVERAGE(E6:E13)</f>
        <v>#NAME?</v>
      </c>
      <c r="M10" t="e">
        <f ca="1">VAR(E6:E13)</f>
        <v>#NAME?</v>
      </c>
      <c r="N10" t="e">
        <f ca="1">DEVSQ(E6:E13)</f>
        <v>#NAME?</v>
      </c>
      <c r="O10" t="e">
        <f ca="1">SQRT(L17/J10)</f>
        <v>#NAME?</v>
      </c>
      <c r="P10" t="e">
        <f ca="1">L10-O10*TINV(O7,K17)</f>
        <v>#NAME?</v>
      </c>
      <c r="Q10" t="e">
        <f ca="1">L10+O10*TINV(O7,K17)</f>
        <v>#NAME?</v>
      </c>
      <c r="S10" s="180" t="e">
        <f ca="1"/>
        <v>#NAME?</v>
      </c>
      <c r="T10" s="181" t="e">
        <f ca="1"/>
        <v>#NAME?</v>
      </c>
    </row>
    <row r="11" spans="1:20" x14ac:dyDescent="0.25">
      <c r="A11" s="180" t="s">
        <v>40</v>
      </c>
      <c r="B11" s="181">
        <v>63</v>
      </c>
      <c r="D11" s="178" t="e">
        <f ca="1"/>
        <v>#NAME?</v>
      </c>
      <c r="E11" s="7" t="e">
        <f ca="1"/>
        <v>#NAME?</v>
      </c>
      <c r="F11" s="7" t="e">
        <f ca="1"/>
        <v>#NAME?</v>
      </c>
      <c r="G11" s="40" t="e">
        <f ca="1"/>
        <v>#NAME?</v>
      </c>
      <c r="I11" t="e">
        <f ca="1">F5</f>
        <v>#NAME?</v>
      </c>
      <c r="J11">
        <f ca="1">COUNT(F6:F13)</f>
        <v>0</v>
      </c>
      <c r="K11" t="e">
        <f ca="1">SUM(F6:F13)</f>
        <v>#NAME?</v>
      </c>
      <c r="L11" t="e">
        <f ca="1">AVERAGE(F6:F13)</f>
        <v>#NAME?</v>
      </c>
      <c r="M11" t="e">
        <f ca="1">VAR(F6:F13)</f>
        <v>#NAME?</v>
      </c>
      <c r="N11" t="e">
        <f ca="1">DEVSQ(F6:F13)</f>
        <v>#NAME?</v>
      </c>
      <c r="O11" t="e">
        <f ca="1">SQRT(L17/J11)</f>
        <v>#NAME?</v>
      </c>
      <c r="P11" t="e">
        <f ca="1">L11-O11*TINV(O7,K17)</f>
        <v>#NAME?</v>
      </c>
      <c r="Q11" t="e">
        <f ca="1">L11+O11*TINV(O7,K17)</f>
        <v>#NAME?</v>
      </c>
      <c r="S11" s="180" t="e">
        <f ca="1"/>
        <v>#NAME?</v>
      </c>
      <c r="T11" s="181" t="e">
        <f ca="1"/>
        <v>#NAME?</v>
      </c>
    </row>
    <row r="12" spans="1:20" x14ac:dyDescent="0.25">
      <c r="A12" s="180" t="s">
        <v>41</v>
      </c>
      <c r="B12" s="181">
        <v>65</v>
      </c>
      <c r="D12" s="178" t="e">
        <f ca="1"/>
        <v>#NAME?</v>
      </c>
      <c r="E12" s="7" t="e">
        <f ca="1"/>
        <v>#NAME?</v>
      </c>
      <c r="F12" s="7" t="e">
        <f ca="1"/>
        <v>#NAME?</v>
      </c>
      <c r="G12" s="40" t="e">
        <f ca="1"/>
        <v>#NAME?</v>
      </c>
      <c r="I12" t="e">
        <f ca="1">G5</f>
        <v>#NAME?</v>
      </c>
      <c r="J12">
        <f ca="1">COUNT(G6:G13)</f>
        <v>0</v>
      </c>
      <c r="K12" t="e">
        <f ca="1">SUM(G6:G13)</f>
        <v>#NAME?</v>
      </c>
      <c r="L12" t="e">
        <f ca="1">AVERAGE(G6:G13)</f>
        <v>#NAME?</v>
      </c>
      <c r="M12" t="e">
        <f ca="1">VAR(G6:G13)</f>
        <v>#NAME?</v>
      </c>
      <c r="N12" t="e">
        <f ca="1">DEVSQ(G6:G13)</f>
        <v>#NAME?</v>
      </c>
      <c r="O12" t="e">
        <f ca="1">SQRT(L17/J12)</f>
        <v>#NAME?</v>
      </c>
      <c r="P12" t="e">
        <f ca="1">L12-O12*TINV(O7,K17)</f>
        <v>#NAME?</v>
      </c>
      <c r="Q12" t="e">
        <f ca="1">L12+O12*TINV(O7,K17)</f>
        <v>#NAME?</v>
      </c>
      <c r="S12" s="180" t="e">
        <f ca="1"/>
        <v>#NAME?</v>
      </c>
      <c r="T12" s="181" t="e">
        <f ca="1"/>
        <v>#NAME?</v>
      </c>
    </row>
    <row r="13" spans="1:20" x14ac:dyDescent="0.25">
      <c r="A13" s="180" t="s">
        <v>41</v>
      </c>
      <c r="B13" s="181">
        <v>67</v>
      </c>
      <c r="D13" s="221" t="e">
        <f ca="1"/>
        <v>#NAME?</v>
      </c>
      <c r="E13" s="222" t="e">
        <f ca="1"/>
        <v>#NAME?</v>
      </c>
      <c r="F13" s="222" t="e">
        <f ca="1"/>
        <v>#NAME?</v>
      </c>
      <c r="G13" s="223" t="e">
        <f ca="1"/>
        <v>#NAME?</v>
      </c>
      <c r="I13" s="4"/>
      <c r="J13" s="4"/>
      <c r="K13" s="4"/>
      <c r="L13" s="4"/>
      <c r="M13" s="4"/>
      <c r="N13" s="4"/>
      <c r="O13" s="4"/>
      <c r="P13" s="4"/>
      <c r="Q13" s="4"/>
      <c r="S13" s="180" t="e">
        <f ca="1"/>
        <v>#NAME?</v>
      </c>
      <c r="T13" s="181" t="e">
        <f ca="1"/>
        <v>#NAME?</v>
      </c>
    </row>
    <row r="14" spans="1:20" ht="15.75" thickBot="1" x14ac:dyDescent="0.3">
      <c r="A14" s="180" t="s">
        <v>41</v>
      </c>
      <c r="B14" s="181">
        <v>71</v>
      </c>
      <c r="I14" t="s">
        <v>101</v>
      </c>
      <c r="S14" s="180" t="e">
        <f ca="1"/>
        <v>#NAME?</v>
      </c>
      <c r="T14" s="181" t="e">
        <f ca="1"/>
        <v>#NAME?</v>
      </c>
    </row>
    <row r="15" spans="1:20" ht="15.75" thickTop="1" x14ac:dyDescent="0.25">
      <c r="A15" s="180" t="s">
        <v>34</v>
      </c>
      <c r="B15" s="181">
        <v>73</v>
      </c>
      <c r="I15" s="217" t="s">
        <v>128</v>
      </c>
      <c r="J15" s="217" t="s">
        <v>88</v>
      </c>
      <c r="K15" s="217" t="s">
        <v>51</v>
      </c>
      <c r="L15" s="217" t="s">
        <v>92</v>
      </c>
      <c r="M15" s="217" t="s">
        <v>82</v>
      </c>
      <c r="N15" s="217" t="s">
        <v>129</v>
      </c>
      <c r="O15" s="251" t="s">
        <v>878</v>
      </c>
      <c r="P15" s="217" t="s">
        <v>383</v>
      </c>
      <c r="Q15" s="217" t="s">
        <v>384</v>
      </c>
      <c r="S15" s="180" t="e">
        <f ca="1"/>
        <v>#NAME?</v>
      </c>
      <c r="T15" s="181" t="e">
        <f ca="1"/>
        <v>#NAME?</v>
      </c>
    </row>
    <row r="16" spans="1:20" x14ac:dyDescent="0.25">
      <c r="A16" s="180" t="s">
        <v>34</v>
      </c>
      <c r="B16" s="181">
        <v>74</v>
      </c>
      <c r="I16" t="s">
        <v>131</v>
      </c>
      <c r="J16" t="e">
        <f ca="1">J18-J17</f>
        <v>#NAME?</v>
      </c>
      <c r="K16">
        <f ca="1">COUNTA(I9:I12)-1</f>
        <v>3</v>
      </c>
      <c r="L16" t="e">
        <f ca="1">J16/K16</f>
        <v>#NAME?</v>
      </c>
      <c r="M16" t="e">
        <f ca="1">L16/L17</f>
        <v>#NAME?</v>
      </c>
      <c r="N16" t="e">
        <f ca="1">FDIST(M16,K16,K17)</f>
        <v>#NAME?</v>
      </c>
      <c r="O16" t="e">
        <f ca="1">J16/J18</f>
        <v>#NAME?</v>
      </c>
      <c r="P16" t="e">
        <f ca="1">SQRT(DEVSQ(L9:L12)/(L17*K16))</f>
        <v>#NAME?</v>
      </c>
      <c r="Q16" t="e">
        <f ca="1">(J18-K18*L17)/(J18+L17)</f>
        <v>#NAME?</v>
      </c>
      <c r="S16" s="180" t="e">
        <f ca="1"/>
        <v>#NAME?</v>
      </c>
      <c r="T16" s="181" t="e">
        <f ca="1"/>
        <v>#NAME?</v>
      </c>
    </row>
    <row r="17" spans="1:20" x14ac:dyDescent="0.25">
      <c r="A17" s="180" t="s">
        <v>40</v>
      </c>
      <c r="B17" s="181">
        <v>74</v>
      </c>
      <c r="I17" t="s">
        <v>132</v>
      </c>
      <c r="J17" t="e">
        <f ca="1">SUM(N9:N12)</f>
        <v>#NAME?</v>
      </c>
      <c r="K17">
        <f ca="1">K18-K16</f>
        <v>-4</v>
      </c>
      <c r="L17" t="e">
        <f ca="1">J17/K17</f>
        <v>#NAME?</v>
      </c>
      <c r="S17" s="180" t="e">
        <f ca="1"/>
        <v>#NAME?</v>
      </c>
      <c r="T17" s="181" t="e">
        <f ca="1"/>
        <v>#NAME?</v>
      </c>
    </row>
    <row r="18" spans="1:20" x14ac:dyDescent="0.25">
      <c r="A18" s="180" t="s">
        <v>33</v>
      </c>
      <c r="B18" s="181">
        <v>79</v>
      </c>
      <c r="I18" s="224" t="s">
        <v>1</v>
      </c>
      <c r="J18" s="224" t="e">
        <f ca="1">DEVSQ(D6:G13)</f>
        <v>#NAME?</v>
      </c>
      <c r="K18" s="224">
        <f ca="1">COUNT(D6:G13)-1</f>
        <v>-1</v>
      </c>
      <c r="L18" s="224" t="e">
        <f ca="1">J18/K18</f>
        <v>#NAME?</v>
      </c>
      <c r="M18" s="224"/>
      <c r="N18" s="224"/>
      <c r="O18" s="224"/>
      <c r="P18" s="224"/>
      <c r="Q18" s="224"/>
      <c r="S18" s="180" t="e">
        <f ca="1"/>
        <v>#NAME?</v>
      </c>
      <c r="T18" s="181" t="e">
        <f ca="1"/>
        <v>#NAME?</v>
      </c>
    </row>
    <row r="19" spans="1:20" x14ac:dyDescent="0.25">
      <c r="A19" s="180" t="s">
        <v>34</v>
      </c>
      <c r="B19" s="181">
        <v>79</v>
      </c>
      <c r="S19" s="180" t="e">
        <f ca="1"/>
        <v>#NAME?</v>
      </c>
      <c r="T19" s="181" t="e">
        <f ca="1"/>
        <v>#NAME?</v>
      </c>
    </row>
    <row r="20" spans="1:20" x14ac:dyDescent="0.25">
      <c r="A20" s="180" t="s">
        <v>40</v>
      </c>
      <c r="B20" s="181">
        <v>79</v>
      </c>
      <c r="S20" s="180" t="e">
        <f ca="1"/>
        <v>#NAME?</v>
      </c>
      <c r="T20" s="181" t="e">
        <f ca="1"/>
        <v>#NAME?</v>
      </c>
    </row>
    <row r="21" spans="1:20" x14ac:dyDescent="0.25">
      <c r="A21" s="180" t="s">
        <v>34</v>
      </c>
      <c r="B21" s="181">
        <v>80</v>
      </c>
      <c r="S21" s="180" t="e">
        <f ca="1"/>
        <v>#NAME?</v>
      </c>
      <c r="T21" s="181" t="e">
        <f ca="1"/>
        <v>#NAME?</v>
      </c>
    </row>
    <row r="22" spans="1:20" x14ac:dyDescent="0.25">
      <c r="A22" s="180" t="s">
        <v>41</v>
      </c>
      <c r="B22" s="181">
        <v>80</v>
      </c>
      <c r="S22" s="180" t="e">
        <f ca="1"/>
        <v>#NAME?</v>
      </c>
      <c r="T22" s="181" t="e">
        <f ca="1"/>
        <v>#NAME?</v>
      </c>
    </row>
    <row r="23" spans="1:20" x14ac:dyDescent="0.25">
      <c r="A23" s="180" t="s">
        <v>34</v>
      </c>
      <c r="B23" s="181">
        <v>82</v>
      </c>
      <c r="S23" s="180" t="e">
        <f ca="1"/>
        <v>#NAME?</v>
      </c>
      <c r="T23" s="181" t="e">
        <f ca="1"/>
        <v>#NAME?</v>
      </c>
    </row>
    <row r="24" spans="1:20" x14ac:dyDescent="0.25">
      <c r="A24" s="180" t="s">
        <v>40</v>
      </c>
      <c r="B24" s="181">
        <v>83</v>
      </c>
      <c r="S24" s="180" t="e">
        <f ca="1"/>
        <v>#NAME?</v>
      </c>
      <c r="T24" s="181" t="e">
        <f ca="1"/>
        <v>#NAME?</v>
      </c>
    </row>
    <row r="25" spans="1:20" x14ac:dyDescent="0.25">
      <c r="A25" s="180" t="s">
        <v>40</v>
      </c>
      <c r="B25" s="181">
        <v>84</v>
      </c>
      <c r="S25" s="180" t="e">
        <f ca="1"/>
        <v>#NAME?</v>
      </c>
      <c r="T25" s="181" t="e">
        <f ca="1"/>
        <v>#NAME?</v>
      </c>
    </row>
    <row r="26" spans="1:20" x14ac:dyDescent="0.25">
      <c r="A26" s="180" t="s">
        <v>40</v>
      </c>
      <c r="B26" s="181">
        <v>85</v>
      </c>
      <c r="S26" s="180" t="e">
        <f ca="1"/>
        <v>#NAME?</v>
      </c>
      <c r="T26" s="181" t="e">
        <f ca="1"/>
        <v>#NAME?</v>
      </c>
    </row>
    <row r="27" spans="1:20" x14ac:dyDescent="0.25">
      <c r="A27" s="180" t="s">
        <v>41</v>
      </c>
      <c r="B27" s="181">
        <v>85</v>
      </c>
      <c r="S27" s="180" t="e">
        <f ca="1"/>
        <v>#NAME?</v>
      </c>
      <c r="T27" s="181" t="e">
        <f ca="1"/>
        <v>#NAME?</v>
      </c>
    </row>
    <row r="28" spans="1:20" x14ac:dyDescent="0.25">
      <c r="A28" s="180" t="s">
        <v>33</v>
      </c>
      <c r="B28" s="181">
        <v>87</v>
      </c>
      <c r="S28" s="180" t="e">
        <f ca="1"/>
        <v>#NAME?</v>
      </c>
      <c r="T28" s="181" t="e">
        <f ca="1"/>
        <v>#NAME?</v>
      </c>
    </row>
    <row r="29" spans="1:20" x14ac:dyDescent="0.25">
      <c r="A29" s="180" t="s">
        <v>34</v>
      </c>
      <c r="B29" s="181">
        <v>91</v>
      </c>
      <c r="S29" s="180" t="e">
        <f ca="1"/>
        <v>#NAME?</v>
      </c>
      <c r="T29" s="181" t="e">
        <f ca="1"/>
        <v>#NAME?</v>
      </c>
    </row>
    <row r="30" spans="1:20" x14ac:dyDescent="0.25">
      <c r="A30" s="180" t="s">
        <v>34</v>
      </c>
      <c r="B30" s="181">
        <v>92</v>
      </c>
      <c r="S30" s="180" t="e">
        <f ca="1"/>
        <v>#NAME?</v>
      </c>
      <c r="T30" s="181" t="e">
        <f ca="1"/>
        <v>#NAME?</v>
      </c>
    </row>
    <row r="31" spans="1:20" x14ac:dyDescent="0.25">
      <c r="A31" s="170" t="s">
        <v>40</v>
      </c>
      <c r="B31" s="174">
        <v>98</v>
      </c>
      <c r="S31" s="180" t="e">
        <f ca="1"/>
        <v>#NAME?</v>
      </c>
      <c r="T31" s="181" t="e">
        <f ca="1"/>
        <v>#NAME?</v>
      </c>
    </row>
    <row r="32" spans="1:20" x14ac:dyDescent="0.25">
      <c r="S32" s="180" t="e">
        <f ca="1"/>
        <v>#NAME?</v>
      </c>
      <c r="T32" s="181" t="e">
        <f ca="1"/>
        <v>#NAME?</v>
      </c>
    </row>
    <row r="33" spans="19:20" x14ac:dyDescent="0.25">
      <c r="S33" s="180" t="e">
        <f ca="1"/>
        <v>#NAME?</v>
      </c>
      <c r="T33" s="181" t="e">
        <f ca="1"/>
        <v>#NAME?</v>
      </c>
    </row>
    <row r="34" spans="19:20" x14ac:dyDescent="0.25">
      <c r="S34" s="180" t="e">
        <f ca="1"/>
        <v>#NAME?</v>
      </c>
      <c r="T34" s="181" t="e">
        <f ca="1"/>
        <v>#NAME?</v>
      </c>
    </row>
    <row r="35" spans="19:20" x14ac:dyDescent="0.25">
      <c r="S35" s="170" t="e">
        <f ca="1"/>
        <v>#NAME?</v>
      </c>
      <c r="T35" s="174" t="e">
        <f ca="1"/>
        <v>#NAME?</v>
      </c>
    </row>
  </sheetData>
  <sortState ref="A3:B31">
    <sortCondition ref="B3:B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P18"/>
  <sheetViews>
    <sheetView workbookViewId="0">
      <selection activeCell="P5" sqref="P5"/>
    </sheetView>
  </sheetViews>
  <sheetFormatPr defaultRowHeight="15" x14ac:dyDescent="0.25"/>
  <cols>
    <col min="5" max="5" width="4.570312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4" max="14" width="8.5703125" customWidth="1"/>
    <col min="15" max="15" width="4.85546875" customWidth="1"/>
    <col min="16" max="16" width="22" customWidth="1"/>
    <col min="17" max="17" width="9.7109375" customWidth="1"/>
    <col min="18" max="18" width="0" hidden="1" customWidth="1"/>
    <col min="19" max="19" width="5.140625" customWidth="1"/>
  </cols>
  <sheetData>
    <row r="1" spans="1:16" x14ac:dyDescent="0.25">
      <c r="A1" s="1" t="s">
        <v>234</v>
      </c>
    </row>
    <row r="2" spans="1:16" x14ac:dyDescent="0.25">
      <c r="A2" s="37"/>
      <c r="B2" s="37"/>
    </row>
    <row r="3" spans="1:16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</row>
    <row r="4" spans="1:16" x14ac:dyDescent="0.25">
      <c r="A4" s="60">
        <v>51</v>
      </c>
      <c r="B4" s="60">
        <v>82</v>
      </c>
      <c r="C4" s="60">
        <v>79</v>
      </c>
      <c r="D4" s="60">
        <v>85</v>
      </c>
    </row>
    <row r="5" spans="1:16" ht="18.75" thickBot="1" x14ac:dyDescent="0.4">
      <c r="A5" s="37">
        <v>87</v>
      </c>
      <c r="B5" s="37">
        <v>91</v>
      </c>
      <c r="C5" s="37">
        <v>84</v>
      </c>
      <c r="D5" s="37">
        <v>80</v>
      </c>
      <c r="F5" t="s">
        <v>52</v>
      </c>
      <c r="M5" s="39" t="s">
        <v>180</v>
      </c>
      <c r="N5" s="75">
        <f>I7-I8</f>
        <v>-16.589285714285715</v>
      </c>
      <c r="O5" s="7"/>
      <c r="P5" s="14" t="e">
        <f ca="1">FTEXT(N5)</f>
        <v>#NAME?</v>
      </c>
    </row>
    <row r="6" spans="1:16" ht="18" x14ac:dyDescent="0.35">
      <c r="A6" s="37">
        <v>50</v>
      </c>
      <c r="B6" s="37">
        <v>92</v>
      </c>
      <c r="C6" s="37">
        <v>74</v>
      </c>
      <c r="D6" s="37">
        <v>65</v>
      </c>
      <c r="F6" s="54" t="s">
        <v>61</v>
      </c>
      <c r="G6" s="54" t="s">
        <v>19</v>
      </c>
      <c r="H6" s="54" t="s">
        <v>18</v>
      </c>
      <c r="I6" s="54" t="s">
        <v>134</v>
      </c>
      <c r="J6" s="54" t="s">
        <v>62</v>
      </c>
      <c r="M6" s="39" t="s">
        <v>150</v>
      </c>
      <c r="N6" s="21">
        <f>I16</f>
        <v>177.16547619047617</v>
      </c>
      <c r="O6" s="7"/>
      <c r="P6" s="14" t="e">
        <f ca="1">FTEXT(N6)</f>
        <v>#NAME?</v>
      </c>
    </row>
    <row r="7" spans="1:16" x14ac:dyDescent="0.25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7</v>
      </c>
      <c r="H7" s="17">
        <v>429</v>
      </c>
      <c r="I7" s="17">
        <v>61.285714285714285</v>
      </c>
      <c r="J7" s="17">
        <v>242.23809523809541</v>
      </c>
      <c r="M7" s="39" t="s">
        <v>119</v>
      </c>
      <c r="N7" s="21">
        <f>SQRT(N6*(1/G7+1/G8))</f>
        <v>6.888761736720622</v>
      </c>
      <c r="O7" s="7"/>
      <c r="P7" s="14" t="e">
        <f ca="1">FTEXT(N7)</f>
        <v>#NAME?</v>
      </c>
    </row>
    <row r="8" spans="1:16" x14ac:dyDescent="0.25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M8" s="39" t="s">
        <v>53</v>
      </c>
      <c r="N8" s="21">
        <f>N5/N7</f>
        <v>-2.4081665687254561</v>
      </c>
      <c r="O8" s="7"/>
      <c r="P8" s="14" t="e">
        <f ca="1">FTEXT(N8)</f>
        <v>#NAME?</v>
      </c>
    </row>
    <row r="9" spans="1:16" ht="18" x14ac:dyDescent="0.35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M9" s="39" t="s">
        <v>181</v>
      </c>
      <c r="N9" s="21">
        <f>H16</f>
        <v>25</v>
      </c>
      <c r="O9" s="7"/>
      <c r="P9" s="14" t="e">
        <f ca="1">FTEXT(N9)</f>
        <v>#NAME?</v>
      </c>
    </row>
    <row r="10" spans="1:16" ht="15.75" thickBot="1" x14ac:dyDescent="0.3">
      <c r="A10" s="37">
        <v>53</v>
      </c>
      <c r="B10" s="37">
        <v>73</v>
      </c>
      <c r="C10" s="37">
        <v>85</v>
      </c>
      <c r="D10" s="37"/>
      <c r="F10" s="18" t="s">
        <v>41</v>
      </c>
      <c r="G10" s="18">
        <v>6</v>
      </c>
      <c r="H10" s="18">
        <v>419</v>
      </c>
      <c r="I10" s="18">
        <v>69.833333333333329</v>
      </c>
      <c r="J10" s="18">
        <v>144.16666666666643</v>
      </c>
      <c r="M10" s="39" t="s">
        <v>56</v>
      </c>
      <c r="N10" s="58">
        <f>TDIST(ABS(N8),N9,2)</f>
        <v>2.3734329328748829E-2</v>
      </c>
      <c r="O10" s="7"/>
      <c r="P10" s="14" t="s">
        <v>709</v>
      </c>
    </row>
    <row r="11" spans="1:16" x14ac:dyDescent="0.25">
      <c r="A11" s="64"/>
      <c r="B11" s="64">
        <v>74</v>
      </c>
      <c r="C11" s="64">
        <v>58</v>
      </c>
      <c r="D11" s="64"/>
    </row>
    <row r="12" spans="1:16" x14ac:dyDescent="0.25">
      <c r="A12" s="37"/>
      <c r="B12" s="37"/>
    </row>
    <row r="13" spans="1:16" ht="15.75" thickBot="1" x14ac:dyDescent="0.3">
      <c r="A13" s="37"/>
      <c r="B13" s="37"/>
      <c r="F13" t="s">
        <v>101</v>
      </c>
    </row>
    <row r="14" spans="1:16" x14ac:dyDescent="0.25">
      <c r="A14" s="37"/>
      <c r="B14" s="37"/>
      <c r="F14" s="54" t="s">
        <v>135</v>
      </c>
      <c r="G14" s="54" t="s">
        <v>88</v>
      </c>
      <c r="H14" s="54" t="s">
        <v>51</v>
      </c>
      <c r="I14" s="54" t="s">
        <v>92</v>
      </c>
      <c r="J14" s="54" t="s">
        <v>82</v>
      </c>
      <c r="K14" s="54" t="s">
        <v>74</v>
      </c>
      <c r="L14" s="54" t="s">
        <v>136</v>
      </c>
    </row>
    <row r="15" spans="1:16" x14ac:dyDescent="0.25">
      <c r="A15" s="37"/>
      <c r="B15" s="37"/>
      <c r="F15" s="17" t="s">
        <v>131</v>
      </c>
      <c r="G15" s="17">
        <v>1394.1734400656824</v>
      </c>
      <c r="H15" s="17">
        <v>3</v>
      </c>
      <c r="I15" s="17">
        <v>464.72448002189412</v>
      </c>
      <c r="J15" s="17">
        <v>2.6231097052015611</v>
      </c>
      <c r="K15" s="17">
        <v>7.2760576413978123E-2</v>
      </c>
      <c r="L15" s="17">
        <v>2.9912409095499513</v>
      </c>
    </row>
    <row r="16" spans="1:16" x14ac:dyDescent="0.25">
      <c r="A16" s="37"/>
      <c r="B16" s="37"/>
      <c r="F16" s="17" t="s">
        <v>132</v>
      </c>
      <c r="G16" s="17">
        <v>4429.1369047619046</v>
      </c>
      <c r="H16" s="17">
        <v>25</v>
      </c>
      <c r="I16" s="17">
        <v>177.16547619047617</v>
      </c>
      <c r="J16" s="17"/>
      <c r="K16" s="17"/>
      <c r="L16" s="17"/>
    </row>
    <row r="17" spans="1:12" x14ac:dyDescent="0.25">
      <c r="A17" s="37"/>
      <c r="B17" s="37"/>
      <c r="F17" s="17"/>
      <c r="G17" s="17"/>
      <c r="H17" s="17"/>
      <c r="I17" s="17"/>
      <c r="J17" s="17"/>
      <c r="K17" s="17"/>
      <c r="L17" s="17"/>
    </row>
    <row r="18" spans="1:12" ht="15.75" thickBot="1" x14ac:dyDescent="0.3">
      <c r="F18" s="18" t="s">
        <v>1</v>
      </c>
      <c r="G18" s="18">
        <v>5823.310344827587</v>
      </c>
      <c r="H18" s="18">
        <v>28</v>
      </c>
      <c r="I18" s="18"/>
      <c r="J18" s="18"/>
      <c r="K18" s="18"/>
      <c r="L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U26"/>
  <sheetViews>
    <sheetView workbookViewId="0"/>
  </sheetViews>
  <sheetFormatPr defaultRowHeight="15" x14ac:dyDescent="0.25"/>
  <cols>
    <col min="5" max="5" width="4.5703125" customWidth="1"/>
    <col min="6" max="6" width="16.2851562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6.7109375" customWidth="1"/>
    <col min="14" max="14" width="9.42578125" customWidth="1"/>
    <col min="15" max="15" width="7.7109375" customWidth="1"/>
    <col min="17" max="17" width="7.5703125" customWidth="1"/>
  </cols>
  <sheetData>
    <row r="1" spans="1:19" x14ac:dyDescent="0.25">
      <c r="A1" s="1" t="s">
        <v>233</v>
      </c>
    </row>
    <row r="2" spans="1:19" x14ac:dyDescent="0.25">
      <c r="A2" s="37"/>
      <c r="B2" s="37"/>
    </row>
    <row r="3" spans="1:19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  <c r="N3" t="s">
        <v>174</v>
      </c>
    </row>
    <row r="4" spans="1:19" x14ac:dyDescent="0.25">
      <c r="A4" s="60">
        <v>51</v>
      </c>
      <c r="B4" s="60">
        <v>82</v>
      </c>
      <c r="C4" s="60">
        <v>79</v>
      </c>
      <c r="D4" s="60">
        <v>85</v>
      </c>
    </row>
    <row r="5" spans="1:19" ht="15.75" thickBot="1" x14ac:dyDescent="0.3">
      <c r="A5" s="37">
        <v>87</v>
      </c>
      <c r="B5" s="37">
        <v>91</v>
      </c>
      <c r="C5" s="37">
        <v>84</v>
      </c>
      <c r="D5" s="37">
        <v>80</v>
      </c>
      <c r="F5" t="s">
        <v>127</v>
      </c>
      <c r="N5" t="s">
        <v>179</v>
      </c>
      <c r="R5" s="52" t="s">
        <v>31</v>
      </c>
      <c r="S5" s="52">
        <v>0.05</v>
      </c>
    </row>
    <row r="6" spans="1:19" ht="15.75" thickTop="1" x14ac:dyDescent="0.25">
      <c r="A6" s="37">
        <v>50</v>
      </c>
      <c r="B6" s="37">
        <v>92</v>
      </c>
      <c r="C6" s="37">
        <v>74</v>
      </c>
      <c r="D6" s="37">
        <v>65</v>
      </c>
      <c r="F6" s="29" t="s">
        <v>61</v>
      </c>
      <c r="G6" s="29" t="s">
        <v>19</v>
      </c>
      <c r="H6" s="29" t="s">
        <v>18</v>
      </c>
      <c r="I6" s="29" t="s">
        <v>7</v>
      </c>
      <c r="J6" s="29" t="s">
        <v>62</v>
      </c>
      <c r="K6" s="29" t="s">
        <v>88</v>
      </c>
      <c r="N6" s="29" t="s">
        <v>61</v>
      </c>
      <c r="O6" s="29" t="s">
        <v>37</v>
      </c>
      <c r="P6" s="29" t="s">
        <v>4</v>
      </c>
      <c r="Q6" s="29" t="s">
        <v>28</v>
      </c>
      <c r="R6" s="29" t="s">
        <v>175</v>
      </c>
      <c r="S6" s="29" t="s">
        <v>177</v>
      </c>
    </row>
    <row r="7" spans="1:19" x14ac:dyDescent="0.25">
      <c r="A7" s="37">
        <v>48</v>
      </c>
      <c r="B7" s="37">
        <v>80</v>
      </c>
      <c r="C7" s="37">
        <v>98</v>
      </c>
      <c r="D7" s="37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33</v>
      </c>
      <c r="O7">
        <v>-1</v>
      </c>
      <c r="P7">
        <f>I7</f>
        <v>61.285714285714285</v>
      </c>
      <c r="Q7">
        <f>G7</f>
        <v>7</v>
      </c>
      <c r="R7">
        <f>O7^2/Q7</f>
        <v>0.14285714285714285</v>
      </c>
      <c r="S7">
        <f>O7*P7</f>
        <v>-61.285714285714285</v>
      </c>
    </row>
    <row r="8" spans="1:19" x14ac:dyDescent="0.25">
      <c r="A8" s="37">
        <v>79</v>
      </c>
      <c r="B8" s="37">
        <v>52</v>
      </c>
      <c r="C8" s="37">
        <v>63</v>
      </c>
      <c r="D8" s="37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34</v>
      </c>
      <c r="O8">
        <v>1</v>
      </c>
      <c r="P8">
        <f>I8</f>
        <v>77.875</v>
      </c>
      <c r="Q8">
        <f>G8</f>
        <v>8</v>
      </c>
      <c r="R8">
        <f>O8^2/Q8</f>
        <v>0.125</v>
      </c>
      <c r="S8">
        <f>O8*P8</f>
        <v>77.875</v>
      </c>
    </row>
    <row r="9" spans="1:19" x14ac:dyDescent="0.25">
      <c r="A9" s="37">
        <v>61</v>
      </c>
      <c r="B9" s="37">
        <v>79</v>
      </c>
      <c r="C9" s="37">
        <v>83</v>
      </c>
      <c r="D9" s="37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t="s">
        <v>40</v>
      </c>
    </row>
    <row r="10" spans="1:19" x14ac:dyDescent="0.25">
      <c r="A10" s="37">
        <v>53</v>
      </c>
      <c r="B10" s="37">
        <v>73</v>
      </c>
      <c r="C10" s="37">
        <v>85</v>
      </c>
      <c r="D10" s="37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41</v>
      </c>
      <c r="O10" s="51"/>
      <c r="P10" s="51"/>
      <c r="Q10" s="51"/>
      <c r="R10" s="51"/>
      <c r="S10" s="51"/>
    </row>
    <row r="11" spans="1:19" x14ac:dyDescent="0.25">
      <c r="A11" s="64"/>
      <c r="B11" s="64">
        <v>74</v>
      </c>
      <c r="C11" s="64">
        <v>58</v>
      </c>
      <c r="D11" s="64"/>
      <c r="F11" s="59"/>
      <c r="G11" s="59"/>
      <c r="H11" s="59"/>
      <c r="I11" s="59"/>
      <c r="J11" s="59"/>
      <c r="K11" s="59"/>
      <c r="N11" s="59"/>
      <c r="O11" s="7"/>
      <c r="P11" s="7"/>
      <c r="R11">
        <f>SUM(R7:R10)</f>
        <v>0.26785714285714285</v>
      </c>
      <c r="S11">
        <f>SUM(S7:S10)</f>
        <v>16.589285714285715</v>
      </c>
    </row>
    <row r="12" spans="1:19" ht="15.75" thickBot="1" x14ac:dyDescent="0.3">
      <c r="A12" s="37"/>
      <c r="B12" s="37"/>
      <c r="F12" t="s">
        <v>101</v>
      </c>
      <c r="I12" t="s">
        <v>31</v>
      </c>
      <c r="J12">
        <v>0.05</v>
      </c>
      <c r="N12" t="s">
        <v>176</v>
      </c>
    </row>
    <row r="13" spans="1:19" ht="15.75" thickTop="1" x14ac:dyDescent="0.25">
      <c r="A13" s="37"/>
      <c r="B13" s="37"/>
      <c r="F13" s="29" t="s">
        <v>128</v>
      </c>
      <c r="G13" s="29" t="s">
        <v>88</v>
      </c>
      <c r="H13" s="29" t="s">
        <v>51</v>
      </c>
      <c r="I13" s="29" t="s">
        <v>92</v>
      </c>
      <c r="J13" s="29" t="s">
        <v>82</v>
      </c>
      <c r="K13" s="29" t="s">
        <v>129</v>
      </c>
      <c r="L13" s="29" t="s">
        <v>130</v>
      </c>
      <c r="N13" s="29" t="s">
        <v>85</v>
      </c>
      <c r="O13" s="29" t="s">
        <v>67</v>
      </c>
      <c r="P13" s="29" t="s">
        <v>51</v>
      </c>
      <c r="Q13" s="29" t="s">
        <v>56</v>
      </c>
      <c r="R13" s="29" t="s">
        <v>188</v>
      </c>
    </row>
    <row r="14" spans="1:19" x14ac:dyDescent="0.25">
      <c r="A14" s="37"/>
      <c r="B14" s="37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  <c r="N14" s="79">
        <f>SQRT($I$15*R11)</f>
        <v>6.888761736720622</v>
      </c>
      <c r="O14" s="79">
        <f>S11/N14</f>
        <v>2.4081665687254561</v>
      </c>
      <c r="P14" s="79">
        <f>$H$15</f>
        <v>25</v>
      </c>
      <c r="Q14" s="79">
        <f>TDIST(ABS(O14),P14,2)</f>
        <v>2.3734329328748829E-2</v>
      </c>
      <c r="R14" s="80" t="str">
        <f>IF(Q14&lt;S5,"yes","no")</f>
        <v>yes</v>
      </c>
    </row>
    <row r="15" spans="1:19" x14ac:dyDescent="0.25">
      <c r="A15" s="37"/>
      <c r="B15" s="37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9" x14ac:dyDescent="0.25">
      <c r="A16" s="37"/>
      <c r="B16" s="37"/>
      <c r="F16" s="51" t="s">
        <v>1</v>
      </c>
      <c r="G16" s="51">
        <f>DEVSQ(A4:D11)</f>
        <v>5823.310344827587</v>
      </c>
      <c r="H16" s="51">
        <f>COUNT(A4:D11)-1</f>
        <v>28</v>
      </c>
      <c r="I16" s="51">
        <f>G16/H16</f>
        <v>207.97536945812811</v>
      </c>
      <c r="J16" s="51"/>
      <c r="K16" s="51"/>
      <c r="L16" s="51"/>
    </row>
    <row r="17" spans="1:21" ht="15.75" thickBot="1" x14ac:dyDescent="0.3">
      <c r="A17" s="37"/>
      <c r="B17" s="37"/>
      <c r="N17" t="s">
        <v>178</v>
      </c>
      <c r="R17" s="52" t="s">
        <v>31</v>
      </c>
      <c r="S17" s="52">
        <v>0.05</v>
      </c>
    </row>
    <row r="18" spans="1:21" ht="15.75" thickTop="1" x14ac:dyDescent="0.25">
      <c r="N18" s="29" t="s">
        <v>61</v>
      </c>
      <c r="O18" s="29" t="s">
        <v>37</v>
      </c>
      <c r="P18" s="29" t="s">
        <v>4</v>
      </c>
      <c r="Q18" s="29" t="s">
        <v>28</v>
      </c>
      <c r="R18" s="29" t="s">
        <v>175</v>
      </c>
      <c r="S18" s="29" t="s">
        <v>177</v>
      </c>
    </row>
    <row r="19" spans="1:21" x14ac:dyDescent="0.25">
      <c r="N19" t="s">
        <v>33</v>
      </c>
      <c r="O19">
        <v>-0.5</v>
      </c>
      <c r="P19">
        <f>I7</f>
        <v>61.285714285714285</v>
      </c>
      <c r="Q19">
        <f>G7</f>
        <v>7</v>
      </c>
      <c r="R19">
        <f>O19^2/Q19</f>
        <v>3.5714285714285712E-2</v>
      </c>
      <c r="S19">
        <f>O19*P19</f>
        <v>-30.642857142857142</v>
      </c>
    </row>
    <row r="20" spans="1:21" x14ac:dyDescent="0.25">
      <c r="N20" t="s">
        <v>34</v>
      </c>
      <c r="O20">
        <v>-0.5</v>
      </c>
      <c r="P20">
        <f>I8</f>
        <v>77.875</v>
      </c>
      <c r="Q20">
        <f>G8</f>
        <v>8</v>
      </c>
      <c r="R20">
        <f>O20^2/Q20</f>
        <v>3.125E-2</v>
      </c>
      <c r="S20">
        <f>O20*P20</f>
        <v>-38.9375</v>
      </c>
    </row>
    <row r="21" spans="1:21" x14ac:dyDescent="0.25">
      <c r="N21" t="s">
        <v>40</v>
      </c>
    </row>
    <row r="22" spans="1:21" x14ac:dyDescent="0.25">
      <c r="N22" t="s">
        <v>41</v>
      </c>
      <c r="O22" s="51">
        <v>1</v>
      </c>
      <c r="P22" s="51">
        <f>I10</f>
        <v>69.833333333333329</v>
      </c>
      <c r="Q22" s="51">
        <f>G10</f>
        <v>6</v>
      </c>
      <c r="R22" s="51">
        <f>O22^2/Q22</f>
        <v>0.16666666666666666</v>
      </c>
      <c r="S22" s="51">
        <f>O22*P22</f>
        <v>69.833333333333329</v>
      </c>
    </row>
    <row r="23" spans="1:21" x14ac:dyDescent="0.25">
      <c r="N23" s="59"/>
      <c r="O23" s="7"/>
      <c r="P23" s="7"/>
      <c r="R23">
        <f>SUM(R19:R22)</f>
        <v>0.23363095238095238</v>
      </c>
      <c r="S23">
        <f>SUM(S19:S22)</f>
        <v>0.2529761904761898</v>
      </c>
    </row>
    <row r="24" spans="1:21" ht="15.75" thickBot="1" x14ac:dyDescent="0.3">
      <c r="N24" t="s">
        <v>176</v>
      </c>
    </row>
    <row r="25" spans="1:21" ht="15.75" thickTop="1" x14ac:dyDescent="0.25">
      <c r="N25" s="29" t="s">
        <v>85</v>
      </c>
      <c r="O25" s="29" t="s">
        <v>67</v>
      </c>
      <c r="P25" s="29" t="s">
        <v>51</v>
      </c>
      <c r="Q25" s="29" t="s">
        <v>56</v>
      </c>
      <c r="R25" s="29" t="s">
        <v>188</v>
      </c>
      <c r="S25" s="29" t="s">
        <v>57</v>
      </c>
      <c r="T25" s="29" t="s">
        <v>26</v>
      </c>
      <c r="U25" s="29" t="s">
        <v>27</v>
      </c>
    </row>
    <row r="26" spans="1:21" x14ac:dyDescent="0.25">
      <c r="N26" s="79">
        <f>SQRT($I$15*R23)</f>
        <v>6.4336101009779796</v>
      </c>
      <c r="O26" s="79">
        <f>S23/N26</f>
        <v>3.9321032282906704E-2</v>
      </c>
      <c r="P26" s="79">
        <f>$H$15</f>
        <v>25</v>
      </c>
      <c r="Q26" s="79">
        <f>TDIST(ABS(O26),P26,2)</f>
        <v>0.96894676801306101</v>
      </c>
      <c r="R26" s="80" t="str">
        <f>IF(Q26&lt;S17,"yes","no")</f>
        <v>no</v>
      </c>
      <c r="S26" s="80">
        <f>TINV(S17,P26)</f>
        <v>2.0595385527532977</v>
      </c>
      <c r="T26" s="80">
        <f>S23-N26*S26</f>
        <v>-12.997291845870995</v>
      </c>
      <c r="U26" s="80">
        <f>S23+N26*S26</f>
        <v>13.503244226823375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7"/>
  <sheetViews>
    <sheetView workbookViewId="0">
      <selection activeCell="Q12" sqref="Q12"/>
    </sheetView>
  </sheetViews>
  <sheetFormatPr defaultRowHeight="15" x14ac:dyDescent="0.25"/>
  <sheetData>
    <row r="1" spans="1:26" x14ac:dyDescent="0.25">
      <c r="A1" s="1" t="s">
        <v>233</v>
      </c>
    </row>
    <row r="2" spans="1:26" x14ac:dyDescent="0.25">
      <c r="A2" s="406"/>
      <c r="B2" s="406"/>
    </row>
    <row r="3" spans="1:26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F3" t="s">
        <v>126</v>
      </c>
      <c r="P3" t="s">
        <v>178</v>
      </c>
      <c r="S3" t="s">
        <v>31</v>
      </c>
      <c r="T3">
        <v>0.05</v>
      </c>
    </row>
    <row r="4" spans="1:26" ht="15.75" thickTop="1" x14ac:dyDescent="0.25">
      <c r="A4" s="255">
        <v>51</v>
      </c>
      <c r="B4" s="255">
        <v>82</v>
      </c>
      <c r="C4" s="255">
        <v>79</v>
      </c>
      <c r="D4" s="255">
        <v>85</v>
      </c>
      <c r="P4" s="251" t="s">
        <v>757</v>
      </c>
      <c r="Q4" s="251" t="s">
        <v>758</v>
      </c>
      <c r="R4" s="251" t="s">
        <v>4</v>
      </c>
      <c r="S4" s="251" t="s">
        <v>666</v>
      </c>
      <c r="T4" s="251" t="s">
        <v>385</v>
      </c>
    </row>
    <row r="5" spans="1:26" ht="15.75" thickBot="1" x14ac:dyDescent="0.3">
      <c r="A5" s="406">
        <v>87</v>
      </c>
      <c r="B5" s="406">
        <v>91</v>
      </c>
      <c r="C5" s="406">
        <v>84</v>
      </c>
      <c r="D5" s="406">
        <v>80</v>
      </c>
      <c r="F5" t="s">
        <v>127</v>
      </c>
      <c r="K5" t="s">
        <v>31</v>
      </c>
      <c r="L5">
        <v>0.05</v>
      </c>
      <c r="P5" t="str">
        <f>A3</f>
        <v>Method 1</v>
      </c>
      <c r="Q5" s="213">
        <v>-0.5</v>
      </c>
      <c r="R5">
        <f>AVERAGE(A4:A11)</f>
        <v>61.285714285714285</v>
      </c>
      <c r="S5">
        <f>COUNT(A4:A11)</f>
        <v>7</v>
      </c>
      <c r="T5">
        <f>DEVSQ(A4:A11)</f>
        <v>1453.4285714285713</v>
      </c>
    </row>
    <row r="6" spans="1:26" ht="15.75" thickTop="1" x14ac:dyDescent="0.25">
      <c r="A6" s="406">
        <v>50</v>
      </c>
      <c r="B6" s="406">
        <v>92</v>
      </c>
      <c r="C6" s="406">
        <v>74</v>
      </c>
      <c r="D6" s="406">
        <v>65</v>
      </c>
      <c r="F6" s="251" t="s">
        <v>759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t="str">
        <f>B3</f>
        <v>Method 2</v>
      </c>
      <c r="Q6" s="213">
        <v>-0.5</v>
      </c>
      <c r="R6">
        <f>AVERAGE(B4:B11)</f>
        <v>77.875</v>
      </c>
      <c r="S6">
        <f>COUNT(B4:B11)</f>
        <v>8</v>
      </c>
      <c r="T6">
        <f>DEVSQ(B4:B11)</f>
        <v>1102.875</v>
      </c>
    </row>
    <row r="7" spans="1:26" x14ac:dyDescent="0.25">
      <c r="A7" s="406">
        <v>48</v>
      </c>
      <c r="B7" s="406">
        <v>80</v>
      </c>
      <c r="C7" s="406">
        <v>98</v>
      </c>
      <c r="D7" s="406">
        <v>71</v>
      </c>
      <c r="F7" t="str">
        <f>A3</f>
        <v>Method 1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L7">
        <f>SQRT(I15/G7)</f>
        <v>5.0308402619737986</v>
      </c>
      <c r="M7">
        <f>I7-L7*TINV(L5,H15)</f>
        <v>50.924504813435746</v>
      </c>
      <c r="N7">
        <f>I7+L7*TINV(L5,H15)</f>
        <v>71.646923757992823</v>
      </c>
      <c r="P7" t="str">
        <f>C3</f>
        <v>Method 3</v>
      </c>
      <c r="Q7" s="213"/>
      <c r="R7">
        <f>AVERAGE(C4:C11)</f>
        <v>78</v>
      </c>
      <c r="S7">
        <f>COUNT(C4:C11)</f>
        <v>8</v>
      </c>
      <c r="T7">
        <f>DEVSQ(C4:C11)</f>
        <v>1152</v>
      </c>
    </row>
    <row r="8" spans="1:26" x14ac:dyDescent="0.25">
      <c r="A8" s="406">
        <v>79</v>
      </c>
      <c r="B8" s="406">
        <v>52</v>
      </c>
      <c r="C8" s="406">
        <v>63</v>
      </c>
      <c r="D8" s="406">
        <v>67</v>
      </c>
      <c r="F8" t="str">
        <f>B3</f>
        <v>Method 2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4.7059201569735034</v>
      </c>
      <c r="M8">
        <f>I8-L8*TINV(L5,H15)</f>
        <v>68.182976010534219</v>
      </c>
      <c r="N8">
        <f>I8+L8*TINV(L5,H15)</f>
        <v>87.567023989465781</v>
      </c>
      <c r="P8" t="str">
        <f>D3</f>
        <v>Method 4</v>
      </c>
      <c r="Q8" s="213">
        <v>1</v>
      </c>
      <c r="R8">
        <f>AVERAGE(D4:D11)</f>
        <v>69.833333333333329</v>
      </c>
      <c r="S8">
        <f>COUNT(D4:D11)</f>
        <v>6</v>
      </c>
      <c r="T8">
        <f>DEVSQ(D4:D11)</f>
        <v>720.83333333333348</v>
      </c>
    </row>
    <row r="9" spans="1:26" x14ac:dyDescent="0.25">
      <c r="A9" s="406">
        <v>61</v>
      </c>
      <c r="B9" s="406">
        <v>79</v>
      </c>
      <c r="C9" s="406">
        <v>83</v>
      </c>
      <c r="D9" s="406">
        <v>51</v>
      </c>
      <c r="F9" t="str">
        <f>C3</f>
        <v>Method 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4.7059201569735034</v>
      </c>
      <c r="M9">
        <f>I9-L9*TINV(L5,H15)</f>
        <v>68.307976010534219</v>
      </c>
      <c r="N9">
        <f>I9+L9*TINV(L5,H15)</f>
        <v>87.692023989465781</v>
      </c>
      <c r="P9" s="252"/>
      <c r="Q9" s="252">
        <f>SUM(Q5:Q8)</f>
        <v>0</v>
      </c>
      <c r="R9" s="252">
        <f>SUMPRODUCT(Q5:Q8,R5:R8)</f>
        <v>0.2529761904761898</v>
      </c>
      <c r="S9" s="252">
        <f>SUM(S5:S8)</f>
        <v>29</v>
      </c>
      <c r="T9" s="252">
        <f>SUM(T5:T8)</f>
        <v>4429.1369047619046</v>
      </c>
    </row>
    <row r="10" spans="1:26" ht="15.75" thickBot="1" x14ac:dyDescent="0.3">
      <c r="A10" s="406">
        <v>53</v>
      </c>
      <c r="B10" s="406">
        <v>73</v>
      </c>
      <c r="C10" s="406">
        <v>85</v>
      </c>
      <c r="D10" s="406"/>
      <c r="F10" t="str">
        <f>D3</f>
        <v>Method 4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L10">
        <f>SQRT(I15/G10)</f>
        <v>5.4339285388270762</v>
      </c>
      <c r="M10">
        <f>I10-L10*TINV(L5,H15)</f>
        <v>58.641948014712568</v>
      </c>
      <c r="N10">
        <f>I10+L10*TINV(L5,H15)</f>
        <v>81.024718651954089</v>
      </c>
      <c r="P10" t="s">
        <v>55</v>
      </c>
    </row>
    <row r="11" spans="1:26" ht="15.75" thickTop="1" x14ac:dyDescent="0.25">
      <c r="A11" s="397"/>
      <c r="B11" s="397">
        <v>74</v>
      </c>
      <c r="C11" s="397">
        <v>58</v>
      </c>
      <c r="D11" s="397"/>
      <c r="F11" s="252"/>
      <c r="G11" s="252"/>
      <c r="H11" s="252"/>
      <c r="I11" s="252"/>
      <c r="J11" s="252"/>
      <c r="K11" s="252"/>
      <c r="L11" s="252"/>
      <c r="M11" s="252"/>
      <c r="N11" s="252"/>
      <c r="P11" s="251" t="s">
        <v>370</v>
      </c>
      <c r="Q11" s="251" t="s">
        <v>67</v>
      </c>
      <c r="R11" s="251" t="s">
        <v>51</v>
      </c>
      <c r="S11" s="251" t="s">
        <v>56</v>
      </c>
      <c r="T11" s="251" t="s">
        <v>57</v>
      </c>
      <c r="U11" s="251" t="s">
        <v>26</v>
      </c>
      <c r="V11" s="251" t="s">
        <v>27</v>
      </c>
      <c r="W11" s="251" t="s">
        <v>188</v>
      </c>
      <c r="X11" s="251" t="s">
        <v>54</v>
      </c>
      <c r="Y11" s="251" t="s">
        <v>371</v>
      </c>
    </row>
    <row r="12" spans="1:26" ht="15.75" thickBot="1" x14ac:dyDescent="0.3">
      <c r="A12" s="406"/>
      <c r="B12" s="406"/>
      <c r="F12" t="s">
        <v>101</v>
      </c>
      <c r="P12" s="326">
        <f>SQRT(SUMPRODUCT(Q5:Q8^2,1/S5:S8)*T9/R12)</f>
        <v>6.4336101009779805</v>
      </c>
      <c r="Q12" s="326">
        <f>R9/P12</f>
        <v>3.9321032282906697E-2</v>
      </c>
      <c r="R12" s="326">
        <f>S9-COUNT(S5:S8)</f>
        <v>25</v>
      </c>
      <c r="S12" s="326">
        <f>TDIST(ABS(Q12),R12,2)</f>
        <v>0.96894676801306101</v>
      </c>
      <c r="T12" s="326">
        <f>TINV(T3,R12)</f>
        <v>2.0595385527532977</v>
      </c>
      <c r="U12" s="326">
        <f>R9-P12*T12</f>
        <v>-12.997291845870997</v>
      </c>
      <c r="V12" s="326">
        <f>R9+P12*T12</f>
        <v>13.503244226823377</v>
      </c>
      <c r="W12" s="327" t="str">
        <f>IF(S12&lt;T3,"yes","no")</f>
        <v>no</v>
      </c>
      <c r="X12" s="326">
        <f>ABS(R9)*SQRT(R12/T9)</f>
        <v>1.9005972668212089E-2</v>
      </c>
      <c r="Y12" s="326">
        <f>SQRT(Q12^2/(Q12^2+R12))</f>
        <v>7.8639632840142113E-3</v>
      </c>
      <c r="Z12" s="413"/>
    </row>
    <row r="13" spans="1:26" ht="15.75" thickTop="1" x14ac:dyDescent="0.25">
      <c r="A13" s="406"/>
      <c r="B13" s="406"/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878</v>
      </c>
      <c r="M13" s="251" t="s">
        <v>383</v>
      </c>
      <c r="N13" s="251" t="s">
        <v>384</v>
      </c>
    </row>
    <row r="14" spans="1:26" x14ac:dyDescent="0.25">
      <c r="A14" s="406"/>
      <c r="B14" s="406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G14/G16</f>
        <v>0.23941252612511418</v>
      </c>
      <c r="M14">
        <f>SQRT(DEVSQ(I7:I10)/(I15*H14))</f>
        <v>0.59750859005399493</v>
      </c>
      <c r="N14">
        <f>(G16-H16*I15)/(G16+I15)</f>
        <v>0.14376810060171005</v>
      </c>
    </row>
    <row r="15" spans="1:26" x14ac:dyDescent="0.25">
      <c r="A15" s="406"/>
      <c r="B15" s="406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26" x14ac:dyDescent="0.25">
      <c r="A16" s="406"/>
      <c r="B16" s="406"/>
      <c r="F16" s="393" t="s">
        <v>1</v>
      </c>
      <c r="G16" s="393">
        <f>DEVSQ(A4:D11)</f>
        <v>5823.310344827587</v>
      </c>
      <c r="H16" s="393">
        <f>COUNT(A4:D11)-1</f>
        <v>28</v>
      </c>
      <c r="I16" s="393">
        <f>G16/H16</f>
        <v>207.97536945812811</v>
      </c>
      <c r="J16" s="393"/>
      <c r="K16" s="393"/>
      <c r="L16" s="393"/>
      <c r="M16" s="393"/>
      <c r="N16" s="393"/>
    </row>
    <row r="17" spans="1:2" x14ac:dyDescent="0.25">
      <c r="A17" s="406"/>
      <c r="B17" s="40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U107"/>
  <sheetViews>
    <sheetView workbookViewId="0"/>
  </sheetViews>
  <sheetFormatPr defaultRowHeight="15" x14ac:dyDescent="0.25"/>
  <cols>
    <col min="1" max="4" width="8" customWidth="1"/>
    <col min="5" max="5" width="4.5703125" customWidth="1"/>
    <col min="6" max="6" width="17.14062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6.7109375" customWidth="1"/>
    <col min="14" max="14" width="13" customWidth="1"/>
    <col min="15" max="15" width="7.7109375" customWidth="1"/>
    <col min="17" max="17" width="7.5703125" customWidth="1"/>
  </cols>
  <sheetData>
    <row r="1" spans="1:21" x14ac:dyDescent="0.25">
      <c r="A1" s="1" t="s">
        <v>233</v>
      </c>
    </row>
    <row r="2" spans="1:21" x14ac:dyDescent="0.25">
      <c r="A2" s="1"/>
    </row>
    <row r="3" spans="1:21" x14ac:dyDescent="0.25">
      <c r="A3" s="566" t="s">
        <v>108</v>
      </c>
      <c r="B3" s="566"/>
      <c r="C3" s="566" t="s">
        <v>109</v>
      </c>
      <c r="D3" s="566"/>
      <c r="F3" t="s">
        <v>133</v>
      </c>
      <c r="N3" t="s">
        <v>174</v>
      </c>
    </row>
    <row r="4" spans="1:21" x14ac:dyDescent="0.25">
      <c r="A4" s="81" t="s">
        <v>66</v>
      </c>
      <c r="B4" s="80" t="s">
        <v>65</v>
      </c>
      <c r="C4" s="81" t="s">
        <v>66</v>
      </c>
      <c r="D4" s="84" t="s">
        <v>65</v>
      </c>
    </row>
    <row r="5" spans="1:21" ht="15.75" thickBot="1" x14ac:dyDescent="0.3">
      <c r="A5" s="82">
        <v>3</v>
      </c>
      <c r="B5" s="74">
        <v>2</v>
      </c>
      <c r="C5" s="82">
        <v>5</v>
      </c>
      <c r="D5" s="83">
        <v>4</v>
      </c>
      <c r="F5" t="s">
        <v>52</v>
      </c>
      <c r="N5" t="s">
        <v>179</v>
      </c>
    </row>
    <row r="6" spans="1:21" ht="15.75" thickTop="1" x14ac:dyDescent="0.25">
      <c r="A6" s="32">
        <v>5</v>
      </c>
      <c r="B6" s="37">
        <v>4</v>
      </c>
      <c r="C6" s="32">
        <v>8</v>
      </c>
      <c r="D6" s="33">
        <v>5</v>
      </c>
      <c r="F6" s="54" t="s">
        <v>61</v>
      </c>
      <c r="G6" s="54" t="s">
        <v>19</v>
      </c>
      <c r="H6" s="54" t="s">
        <v>18</v>
      </c>
      <c r="I6" s="54" t="s">
        <v>134</v>
      </c>
      <c r="J6" s="54" t="s">
        <v>62</v>
      </c>
      <c r="K6" s="54" t="s">
        <v>88</v>
      </c>
      <c r="N6" s="29" t="s">
        <v>61</v>
      </c>
      <c r="O6" s="29" t="s">
        <v>37</v>
      </c>
      <c r="P6" s="29" t="s">
        <v>4</v>
      </c>
      <c r="Q6" s="29" t="s">
        <v>28</v>
      </c>
      <c r="R6" s="29" t="s">
        <v>175</v>
      </c>
      <c r="S6" s="29" t="s">
        <v>177</v>
      </c>
    </row>
    <row r="7" spans="1:21" x14ac:dyDescent="0.25">
      <c r="A7" s="32">
        <v>6</v>
      </c>
      <c r="B7" s="37">
        <v>3</v>
      </c>
      <c r="C7" s="32">
        <v>6</v>
      </c>
      <c r="D7" s="33">
        <v>3</v>
      </c>
      <c r="F7" s="17" t="s">
        <v>182</v>
      </c>
      <c r="G7">
        <f>COUNT(A5:A16)</f>
        <v>12</v>
      </c>
      <c r="H7">
        <f>SUM(A5:A16)</f>
        <v>51</v>
      </c>
      <c r="I7">
        <f>AVERAGE(A5:A16)</f>
        <v>4.25</v>
      </c>
      <c r="J7">
        <f>VAR(A5:A16)</f>
        <v>3.1136363636363638</v>
      </c>
      <c r="K7">
        <f>DEVSQ(A5:A16)</f>
        <v>34.25</v>
      </c>
      <c r="N7" s="17" t="s">
        <v>182</v>
      </c>
      <c r="O7">
        <v>0.5</v>
      </c>
      <c r="P7">
        <f>$I$7</f>
        <v>4.25</v>
      </c>
      <c r="Q7">
        <f>$G$7</f>
        <v>12</v>
      </c>
      <c r="R7">
        <f>O7^2/Q7</f>
        <v>2.0833333333333332E-2</v>
      </c>
      <c r="S7">
        <f>O7*P7</f>
        <v>2.125</v>
      </c>
    </row>
    <row r="8" spans="1:21" x14ac:dyDescent="0.25">
      <c r="A8" s="32">
        <v>1</v>
      </c>
      <c r="B8" s="37">
        <v>5</v>
      </c>
      <c r="C8" s="32">
        <v>4</v>
      </c>
      <c r="D8" s="33">
        <v>7</v>
      </c>
      <c r="F8" s="17" t="s">
        <v>183</v>
      </c>
      <c r="G8">
        <f>COUNT(B5:B16)</f>
        <v>12</v>
      </c>
      <c r="H8">
        <f>SUM(B5:B16)</f>
        <v>38</v>
      </c>
      <c r="I8">
        <f>AVERAGE(B5:B16)</f>
        <v>3.1666666666666665</v>
      </c>
      <c r="J8">
        <f>VAR(B5:B16)</f>
        <v>2.6969696969696972</v>
      </c>
      <c r="K8">
        <f>DEVSQ(B5:B16)</f>
        <v>29.666666666666664</v>
      </c>
      <c r="N8" s="17" t="s">
        <v>183</v>
      </c>
      <c r="O8">
        <v>-0.5</v>
      </c>
      <c r="P8">
        <f>$I$8</f>
        <v>3.1666666666666665</v>
      </c>
      <c r="Q8">
        <f>$G$8</f>
        <v>12</v>
      </c>
      <c r="R8">
        <f>O8^2/Q8</f>
        <v>2.0833333333333332E-2</v>
      </c>
      <c r="S8">
        <f>O8*P8</f>
        <v>-1.5833333333333333</v>
      </c>
    </row>
    <row r="9" spans="1:21" x14ac:dyDescent="0.25">
      <c r="A9" s="32">
        <v>5</v>
      </c>
      <c r="B9" s="37">
        <v>1</v>
      </c>
      <c r="C9" s="32">
        <v>7</v>
      </c>
      <c r="D9" s="33">
        <v>6</v>
      </c>
      <c r="F9" s="17" t="s">
        <v>184</v>
      </c>
      <c r="G9">
        <f>COUNT(C5:C16)</f>
        <v>12</v>
      </c>
      <c r="H9">
        <f>SUM(C5:C16)</f>
        <v>67</v>
      </c>
      <c r="I9">
        <f>AVERAGE(C5:C16)</f>
        <v>5.583333333333333</v>
      </c>
      <c r="J9">
        <f>VAR(C5:C16)</f>
        <v>2.4469696969696986</v>
      </c>
      <c r="K9">
        <f>DEVSQ(C5:C16)</f>
        <v>26.916666666666668</v>
      </c>
      <c r="N9" s="17" t="s">
        <v>186</v>
      </c>
      <c r="O9">
        <v>0.5</v>
      </c>
      <c r="P9">
        <f>$I$9</f>
        <v>5.583333333333333</v>
      </c>
      <c r="Q9">
        <f>$G$9</f>
        <v>12</v>
      </c>
      <c r="R9">
        <f>O9^2/Q9</f>
        <v>2.0833333333333332E-2</v>
      </c>
      <c r="S9">
        <f>O9*P9</f>
        <v>2.7916666666666665</v>
      </c>
    </row>
    <row r="10" spans="1:21" ht="15.75" thickBot="1" x14ac:dyDescent="0.3">
      <c r="A10" s="32">
        <v>6</v>
      </c>
      <c r="B10" s="37">
        <v>5</v>
      </c>
      <c r="C10" s="32">
        <v>8</v>
      </c>
      <c r="D10" s="33">
        <v>3</v>
      </c>
      <c r="F10" s="18" t="s">
        <v>185</v>
      </c>
      <c r="G10" s="18">
        <f>COUNT(D5:D16)</f>
        <v>12</v>
      </c>
      <c r="H10" s="18">
        <f>SUM(D5:D16)</f>
        <v>46</v>
      </c>
      <c r="I10" s="18">
        <f>AVERAGE(D5:D16)</f>
        <v>3.8333333333333335</v>
      </c>
      <c r="J10" s="18">
        <f>VAR(D5:D16)</f>
        <v>2.6969696969696959</v>
      </c>
      <c r="K10" s="18">
        <f>DEVSQ(D5:D16)</f>
        <v>29.666666666666664</v>
      </c>
      <c r="N10" s="56" t="s">
        <v>187</v>
      </c>
      <c r="O10" s="51">
        <v>-0.5</v>
      </c>
      <c r="P10" s="51">
        <f>$I$10</f>
        <v>3.8333333333333335</v>
      </c>
      <c r="Q10" s="51">
        <f>$G$10</f>
        <v>12</v>
      </c>
      <c r="R10" s="51">
        <f>O10^2/Q10</f>
        <v>2.0833333333333332E-2</v>
      </c>
      <c r="S10" s="51">
        <f>O10*P10</f>
        <v>-1.9166666666666667</v>
      </c>
    </row>
    <row r="11" spans="1:21" x14ac:dyDescent="0.25">
      <c r="A11" s="32">
        <v>4</v>
      </c>
      <c r="B11" s="37">
        <v>2</v>
      </c>
      <c r="C11" s="32">
        <v>5</v>
      </c>
      <c r="D11" s="33">
        <v>2</v>
      </c>
      <c r="N11" s="7"/>
      <c r="O11" s="7"/>
      <c r="P11" s="7"/>
      <c r="R11">
        <f>SUM(R7:R10)</f>
        <v>8.3333333333333329E-2</v>
      </c>
      <c r="S11">
        <f>SUM(S7:S10)</f>
        <v>1.4166666666666663</v>
      </c>
    </row>
    <row r="12" spans="1:21" x14ac:dyDescent="0.25">
      <c r="A12" s="32">
        <v>3</v>
      </c>
      <c r="B12" s="37">
        <v>3</v>
      </c>
      <c r="C12" s="32">
        <v>6</v>
      </c>
      <c r="D12" s="33">
        <v>2</v>
      </c>
    </row>
    <row r="13" spans="1:21" ht="15.75" thickBot="1" x14ac:dyDescent="0.3">
      <c r="A13" s="32">
        <v>7</v>
      </c>
      <c r="B13" s="37">
        <v>6</v>
      </c>
      <c r="C13" s="32">
        <v>6</v>
      </c>
      <c r="D13" s="33">
        <v>4</v>
      </c>
      <c r="F13" t="s">
        <v>101</v>
      </c>
      <c r="I13" t="s">
        <v>31</v>
      </c>
      <c r="J13">
        <v>0.05</v>
      </c>
      <c r="N13" t="s">
        <v>176</v>
      </c>
      <c r="R13" s="52" t="s">
        <v>31</v>
      </c>
      <c r="S13" s="52">
        <v>0.05</v>
      </c>
    </row>
    <row r="14" spans="1:21" ht="15.75" thickTop="1" x14ac:dyDescent="0.25">
      <c r="A14" s="32">
        <v>4</v>
      </c>
      <c r="B14" s="37">
        <v>2</v>
      </c>
      <c r="C14" s="32">
        <v>3</v>
      </c>
      <c r="D14" s="33">
        <v>5</v>
      </c>
      <c r="F14" s="54" t="s">
        <v>135</v>
      </c>
      <c r="G14" s="54" t="s">
        <v>88</v>
      </c>
      <c r="H14" s="54" t="s">
        <v>51</v>
      </c>
      <c r="I14" s="54" t="s">
        <v>92</v>
      </c>
      <c r="J14" s="54" t="s">
        <v>82</v>
      </c>
      <c r="K14" s="54" t="s">
        <v>74</v>
      </c>
      <c r="L14" s="54" t="s">
        <v>136</v>
      </c>
      <c r="N14" s="29" t="s">
        <v>85</v>
      </c>
      <c r="O14" s="29" t="s">
        <v>67</v>
      </c>
      <c r="P14" s="29" t="s">
        <v>51</v>
      </c>
      <c r="Q14" s="29" t="s">
        <v>56</v>
      </c>
      <c r="R14" s="29" t="s">
        <v>188</v>
      </c>
      <c r="S14" s="29" t="s">
        <v>57</v>
      </c>
      <c r="T14" s="29" t="s">
        <v>26</v>
      </c>
      <c r="U14" s="29" t="s">
        <v>27</v>
      </c>
    </row>
    <row r="15" spans="1:21" x14ac:dyDescent="0.25">
      <c r="A15" s="32">
        <v>5</v>
      </c>
      <c r="B15" s="37">
        <v>4</v>
      </c>
      <c r="C15" s="32">
        <v>4</v>
      </c>
      <c r="D15" s="33">
        <v>2</v>
      </c>
      <c r="F15" s="17" t="s">
        <v>131</v>
      </c>
      <c r="G15">
        <f>G18-G16</f>
        <v>37.416666666666714</v>
      </c>
      <c r="H15">
        <f>COUNTA(A4:D4)-1</f>
        <v>3</v>
      </c>
      <c r="I15">
        <f>G15/H15</f>
        <v>12.472222222222237</v>
      </c>
      <c r="J15">
        <f>I15/I16</f>
        <v>4.554172429691107</v>
      </c>
      <c r="K15">
        <f>FDIST(J15,H15,H16)</f>
        <v>7.2835322244351394E-3</v>
      </c>
      <c r="L15">
        <f>FINV(J13,H15,H16)</f>
        <v>2.8164658165656813</v>
      </c>
      <c r="N15" s="79">
        <f>SQRT($I$16*R11)</f>
        <v>0.47772345239656905</v>
      </c>
      <c r="O15" s="79">
        <f>ABS(S11/N15)</f>
        <v>2.9654534638392827</v>
      </c>
      <c r="P15" s="79">
        <f>$H$16</f>
        <v>44</v>
      </c>
      <c r="Q15" s="79">
        <f>TDIST(ABS(O15),P15,2)</f>
        <v>4.8678818348383687E-3</v>
      </c>
      <c r="R15" s="80" t="str">
        <f>IF(Q15&lt;S13,"yes","no")</f>
        <v>yes</v>
      </c>
      <c r="S15" s="80">
        <f>TINV(S13,P15)</f>
        <v>2.0153675744437649</v>
      </c>
      <c r="T15" s="80">
        <f>S11-N15*S15</f>
        <v>0.45387831115529154</v>
      </c>
      <c r="U15" s="80">
        <f>S11+N15*S15</f>
        <v>2.3794550221780408</v>
      </c>
    </row>
    <row r="16" spans="1:21" x14ac:dyDescent="0.25">
      <c r="A16" s="61">
        <v>2</v>
      </c>
      <c r="B16" s="64">
        <v>1</v>
      </c>
      <c r="C16" s="61">
        <v>5</v>
      </c>
      <c r="D16" s="62">
        <v>3</v>
      </c>
      <c r="F16" s="17" t="s">
        <v>132</v>
      </c>
      <c r="G16">
        <f>SUM(K7:K10)</f>
        <v>120.5</v>
      </c>
      <c r="H16">
        <f>H18-H15</f>
        <v>44</v>
      </c>
      <c r="I16">
        <f>G16/H16</f>
        <v>2.7386363636363638</v>
      </c>
    </row>
    <row r="17" spans="1:21" ht="15.75" thickBot="1" x14ac:dyDescent="0.3">
      <c r="A17" s="37"/>
      <c r="B17" s="37"/>
      <c r="F17" s="17"/>
      <c r="G17" s="17"/>
      <c r="H17" s="17"/>
      <c r="I17" s="17"/>
      <c r="J17" s="17"/>
      <c r="K17" s="17"/>
      <c r="L17" s="17"/>
      <c r="N17" t="s">
        <v>190</v>
      </c>
      <c r="R17" s="52" t="s">
        <v>31</v>
      </c>
      <c r="S17" s="52">
        <f>S13/$H$15</f>
        <v>1.6666666666666666E-2</v>
      </c>
    </row>
    <row r="18" spans="1:21" ht="16.5" thickTop="1" thickBot="1" x14ac:dyDescent="0.3">
      <c r="F18" s="18" t="s">
        <v>1</v>
      </c>
      <c r="G18" s="18">
        <f>DEVSQ(A5:D16)</f>
        <v>157.91666666666671</v>
      </c>
      <c r="H18" s="18">
        <f>COUNT(A5:D16)-1</f>
        <v>47</v>
      </c>
      <c r="I18" s="18">
        <f>G18/H18</f>
        <v>3.3599290780141855</v>
      </c>
      <c r="J18" s="18"/>
      <c r="K18" s="18"/>
      <c r="L18" s="18"/>
      <c r="N18" s="29" t="s">
        <v>85</v>
      </c>
      <c r="O18" s="29" t="s">
        <v>67</v>
      </c>
      <c r="P18" s="29" t="s">
        <v>51</v>
      </c>
      <c r="Q18" s="29" t="s">
        <v>56</v>
      </c>
      <c r="R18" s="29" t="s">
        <v>188</v>
      </c>
      <c r="S18" s="29" t="s">
        <v>57</v>
      </c>
      <c r="T18" s="29" t="s">
        <v>26</v>
      </c>
      <c r="U18" s="29" t="s">
        <v>27</v>
      </c>
    </row>
    <row r="19" spans="1:21" x14ac:dyDescent="0.25">
      <c r="N19" s="79">
        <f>N15</f>
        <v>0.47772345239656905</v>
      </c>
      <c r="O19" s="79">
        <f>O15</f>
        <v>2.9654534638392827</v>
      </c>
      <c r="P19" s="79">
        <f>P15</f>
        <v>44</v>
      </c>
      <c r="Q19" s="79">
        <f>TDIST(ABS(O19),P19,2)</f>
        <v>4.8678818348383687E-3</v>
      </c>
      <c r="R19" s="80" t="str">
        <f>IF(Q19&lt;S17,"yes","no")</f>
        <v>yes</v>
      </c>
      <c r="S19" s="80">
        <f>TINV(S17,P19)</f>
        <v>2.4889679492395662</v>
      </c>
      <c r="T19" s="80">
        <f>S11-N19*S19</f>
        <v>0.2276283050515322</v>
      </c>
      <c r="U19" s="80">
        <f>S11+N19*S19</f>
        <v>2.6057050282818004</v>
      </c>
    </row>
    <row r="21" spans="1:21" ht="15.75" thickBot="1" x14ac:dyDescent="0.3">
      <c r="N21" s="38" t="s">
        <v>189</v>
      </c>
      <c r="R21" s="52" t="s">
        <v>31</v>
      </c>
      <c r="S21" s="52">
        <f>1-(1-S13)^(1/$H$15)</f>
        <v>1.6952427508441503E-2</v>
      </c>
    </row>
    <row r="22" spans="1:21" ht="15.75" thickTop="1" x14ac:dyDescent="0.25">
      <c r="N22" s="29" t="s">
        <v>85</v>
      </c>
      <c r="O22" s="29" t="s">
        <v>67</v>
      </c>
      <c r="P22" s="29" t="s">
        <v>51</v>
      </c>
      <c r="Q22" s="29" t="s">
        <v>56</v>
      </c>
      <c r="R22" s="29" t="s">
        <v>188</v>
      </c>
      <c r="S22" s="29" t="s">
        <v>57</v>
      </c>
      <c r="T22" s="29" t="s">
        <v>26</v>
      </c>
      <c r="U22" s="29" t="s">
        <v>27</v>
      </c>
    </row>
    <row r="23" spans="1:21" x14ac:dyDescent="0.25">
      <c r="N23" s="79">
        <f>N15</f>
        <v>0.47772345239656905</v>
      </c>
      <c r="O23" s="79">
        <f>O15</f>
        <v>2.9654534638392827</v>
      </c>
      <c r="P23" s="79">
        <f>P15</f>
        <v>44</v>
      </c>
      <c r="Q23" s="79">
        <f>TDIST(ABS(O23),P23,2)</f>
        <v>4.8678818348383687E-3</v>
      </c>
      <c r="R23" s="80" t="str">
        <f>IF(Q23&lt;S21,"yes","no")</f>
        <v>yes</v>
      </c>
      <c r="S23" s="80">
        <f>TINV(S21,P23)</f>
        <v>2.4820442076580118</v>
      </c>
      <c r="T23" s="80">
        <f>S11-N23*S23</f>
        <v>0.23093593878337404</v>
      </c>
      <c r="U23" s="80">
        <f>S11+N23*S23</f>
        <v>2.6023973945499588</v>
      </c>
    </row>
    <row r="26" spans="1:21" ht="15.75" thickBot="1" x14ac:dyDescent="0.3">
      <c r="N26" t="s">
        <v>179</v>
      </c>
    </row>
    <row r="27" spans="1:21" ht="15.75" thickTop="1" x14ac:dyDescent="0.25">
      <c r="N27" s="29" t="s">
        <v>61</v>
      </c>
      <c r="O27" s="29" t="s">
        <v>37</v>
      </c>
      <c r="P27" s="29" t="s">
        <v>4</v>
      </c>
      <c r="Q27" s="29" t="s">
        <v>28</v>
      </c>
      <c r="R27" s="29" t="s">
        <v>175</v>
      </c>
      <c r="S27" s="29" t="s">
        <v>177</v>
      </c>
    </row>
    <row r="28" spans="1:21" x14ac:dyDescent="0.25">
      <c r="N28" s="17" t="s">
        <v>182</v>
      </c>
      <c r="O28">
        <v>1</v>
      </c>
      <c r="P28">
        <f>$I$7</f>
        <v>4.25</v>
      </c>
      <c r="Q28">
        <f>$G$7</f>
        <v>12</v>
      </c>
      <c r="R28">
        <f>O28^2/Q28</f>
        <v>8.3333333333333329E-2</v>
      </c>
      <c r="S28">
        <f>O28*P28</f>
        <v>4.25</v>
      </c>
    </row>
    <row r="29" spans="1:21" x14ac:dyDescent="0.25">
      <c r="N29" s="17" t="s">
        <v>183</v>
      </c>
      <c r="O29">
        <v>-1</v>
      </c>
      <c r="P29">
        <f>$I$8</f>
        <v>3.1666666666666665</v>
      </c>
      <c r="Q29">
        <f>$G$8</f>
        <v>12</v>
      </c>
      <c r="R29">
        <f>O29^2/Q29</f>
        <v>8.3333333333333329E-2</v>
      </c>
      <c r="S29">
        <f>O29*P29</f>
        <v>-3.1666666666666665</v>
      </c>
    </row>
    <row r="30" spans="1:21" x14ac:dyDescent="0.25">
      <c r="N30" s="17" t="s">
        <v>186</v>
      </c>
      <c r="O30">
        <v>0</v>
      </c>
      <c r="P30">
        <f>$I$9</f>
        <v>5.583333333333333</v>
      </c>
      <c r="Q30">
        <f>$G$9</f>
        <v>12</v>
      </c>
      <c r="R30">
        <f>O30^2/Q30</f>
        <v>0</v>
      </c>
      <c r="S30">
        <f>O30*P30</f>
        <v>0</v>
      </c>
    </row>
    <row r="31" spans="1:21" x14ac:dyDescent="0.25">
      <c r="N31" s="56" t="s">
        <v>187</v>
      </c>
      <c r="O31" s="51">
        <v>0</v>
      </c>
      <c r="P31" s="51">
        <f>$I$10</f>
        <v>3.8333333333333335</v>
      </c>
      <c r="Q31" s="51">
        <f>$G$10</f>
        <v>12</v>
      </c>
      <c r="R31" s="51">
        <f>O31^2/Q31</f>
        <v>0</v>
      </c>
      <c r="S31" s="51">
        <f>O31*P31</f>
        <v>0</v>
      </c>
    </row>
    <row r="32" spans="1:21" x14ac:dyDescent="0.25">
      <c r="N32" s="7"/>
      <c r="O32" s="7"/>
      <c r="P32" s="7"/>
      <c r="R32">
        <f>SUM(R28:R31)</f>
        <v>0.16666666666666666</v>
      </c>
      <c r="S32">
        <f>SUM(S28:S31)</f>
        <v>1.0833333333333335</v>
      </c>
    </row>
    <row r="34" spans="14:21" ht="15.75" thickBot="1" x14ac:dyDescent="0.3">
      <c r="N34" t="s">
        <v>176</v>
      </c>
      <c r="R34" s="52" t="s">
        <v>31</v>
      </c>
      <c r="S34" s="52">
        <v>0.05</v>
      </c>
    </row>
    <row r="35" spans="14:21" ht="15.75" thickTop="1" x14ac:dyDescent="0.25">
      <c r="N35" s="29" t="s">
        <v>85</v>
      </c>
      <c r="O35" s="29" t="s">
        <v>67</v>
      </c>
      <c r="P35" s="29" t="s">
        <v>51</v>
      </c>
      <c r="Q35" s="29" t="s">
        <v>56</v>
      </c>
      <c r="R35" s="29" t="s">
        <v>188</v>
      </c>
      <c r="S35" s="29" t="s">
        <v>57</v>
      </c>
      <c r="T35" s="29" t="s">
        <v>26</v>
      </c>
      <c r="U35" s="29" t="s">
        <v>27</v>
      </c>
    </row>
    <row r="36" spans="14:21" x14ac:dyDescent="0.25">
      <c r="N36" s="79">
        <f>SQRT($I$16*R32)</f>
        <v>0.67560298544292563</v>
      </c>
      <c r="O36" s="79">
        <f>ABS(S32/N36)</f>
        <v>1.6035058409682716</v>
      </c>
      <c r="P36" s="79">
        <f>$H$16</f>
        <v>44</v>
      </c>
      <c r="Q36" s="79">
        <f>TDIST(O36,P36,2)</f>
        <v>0.1159782554107413</v>
      </c>
      <c r="R36" s="80" t="str">
        <f>IF(Q36&lt;S34,"yes","no")</f>
        <v>no</v>
      </c>
      <c r="S36" s="80">
        <f>TINV(S34,P36)</f>
        <v>2.0153675744437649</v>
      </c>
      <c r="T36" s="80">
        <f>S32-N36*S36</f>
        <v>-0.27825501672574182</v>
      </c>
      <c r="U36" s="80">
        <f>S32+N36*S36</f>
        <v>2.4449216833924088</v>
      </c>
    </row>
    <row r="38" spans="14:21" ht="15.75" thickBot="1" x14ac:dyDescent="0.3">
      <c r="N38" t="s">
        <v>190</v>
      </c>
      <c r="R38" s="52" t="s">
        <v>31</v>
      </c>
      <c r="S38" s="52">
        <f>S34/$H$15</f>
        <v>1.6666666666666666E-2</v>
      </c>
    </row>
    <row r="39" spans="14:21" ht="15.75" thickTop="1" x14ac:dyDescent="0.25">
      <c r="N39" s="29" t="s">
        <v>85</v>
      </c>
      <c r="O39" s="29" t="s">
        <v>67</v>
      </c>
      <c r="P39" s="29" t="s">
        <v>51</v>
      </c>
      <c r="Q39" s="29" t="s">
        <v>56</v>
      </c>
      <c r="R39" s="29" t="s">
        <v>188</v>
      </c>
      <c r="S39" s="29" t="s">
        <v>57</v>
      </c>
      <c r="T39" s="29" t="s">
        <v>26</v>
      </c>
      <c r="U39" s="29" t="s">
        <v>27</v>
      </c>
    </row>
    <row r="40" spans="14:21" x14ac:dyDescent="0.25">
      <c r="N40" s="79">
        <f>N36</f>
        <v>0.67560298544292563</v>
      </c>
      <c r="O40" s="79">
        <f>O36</f>
        <v>1.6035058409682716</v>
      </c>
      <c r="P40" s="79">
        <f>P36</f>
        <v>44</v>
      </c>
      <c r="Q40" s="79">
        <f>TDIST(O40,P40,2)</f>
        <v>0.1159782554107413</v>
      </c>
      <c r="R40" s="80" t="str">
        <f>IF(Q40&lt;S38,"yes","no")</f>
        <v>no</v>
      </c>
      <c r="S40" s="80">
        <f>TINV(S38,P40)</f>
        <v>2.4889679492395662</v>
      </c>
      <c r="T40" s="80">
        <f>S32-N40*S40</f>
        <v>-0.59822084384467367</v>
      </c>
      <c r="U40" s="80">
        <f>S32+N40*S40</f>
        <v>2.7648875105113406</v>
      </c>
    </row>
    <row r="42" spans="14:21" ht="15.75" thickBot="1" x14ac:dyDescent="0.3">
      <c r="N42" s="38" t="s">
        <v>189</v>
      </c>
      <c r="R42" s="52" t="s">
        <v>31</v>
      </c>
      <c r="S42" s="52">
        <f>1-(1-S34)^(1/$H$15)</f>
        <v>1.6952427508441503E-2</v>
      </c>
    </row>
    <row r="43" spans="14:21" ht="15.75" thickTop="1" x14ac:dyDescent="0.25">
      <c r="N43" s="29" t="s">
        <v>85</v>
      </c>
      <c r="O43" s="29" t="s">
        <v>67</v>
      </c>
      <c r="P43" s="29" t="s">
        <v>51</v>
      </c>
      <c r="Q43" s="29" t="s">
        <v>56</v>
      </c>
      <c r="R43" s="29" t="s">
        <v>188</v>
      </c>
      <c r="S43" s="29" t="s">
        <v>57</v>
      </c>
      <c r="T43" s="29" t="s">
        <v>26</v>
      </c>
      <c r="U43" s="29" t="s">
        <v>27</v>
      </c>
    </row>
    <row r="44" spans="14:21" x14ac:dyDescent="0.25">
      <c r="N44" s="79">
        <f>N36</f>
        <v>0.67560298544292563</v>
      </c>
      <c r="O44" s="79">
        <f>O36</f>
        <v>1.6035058409682716</v>
      </c>
      <c r="P44" s="79">
        <f>P36</f>
        <v>44</v>
      </c>
      <c r="Q44" s="79">
        <f>TDIST(O44,P44,2)</f>
        <v>0.1159782554107413</v>
      </c>
      <c r="R44" s="80" t="str">
        <f>IF(Q44&lt;S42,"yes","no")</f>
        <v>no</v>
      </c>
      <c r="S44" s="80">
        <f>TINV(S42,P44)</f>
        <v>2.4820442076580118</v>
      </c>
      <c r="T44" s="80">
        <f>S32-N44*S44</f>
        <v>-0.59354314336174019</v>
      </c>
      <c r="U44" s="80">
        <f>S32+N44*S44</f>
        <v>2.7602098100284072</v>
      </c>
    </row>
    <row r="47" spans="14:21" ht="15.75" thickBot="1" x14ac:dyDescent="0.3">
      <c r="N47" t="s">
        <v>179</v>
      </c>
    </row>
    <row r="48" spans="14:21" ht="15.75" thickTop="1" x14ac:dyDescent="0.25">
      <c r="N48" s="29" t="s">
        <v>61</v>
      </c>
      <c r="O48" s="29" t="s">
        <v>37</v>
      </c>
      <c r="P48" s="29" t="s">
        <v>4</v>
      </c>
      <c r="Q48" s="29" t="s">
        <v>28</v>
      </c>
      <c r="R48" s="29" t="s">
        <v>175</v>
      </c>
      <c r="S48" s="29" t="s">
        <v>177</v>
      </c>
    </row>
    <row r="49" spans="14:21" x14ac:dyDescent="0.25">
      <c r="N49" s="17" t="s">
        <v>182</v>
      </c>
      <c r="O49">
        <v>0</v>
      </c>
      <c r="P49">
        <f>$I$7</f>
        <v>4.25</v>
      </c>
      <c r="Q49">
        <f>$G$7</f>
        <v>12</v>
      </c>
      <c r="R49">
        <f>O49^2/Q49</f>
        <v>0</v>
      </c>
      <c r="S49">
        <f>O49*P49</f>
        <v>0</v>
      </c>
    </row>
    <row r="50" spans="14:21" x14ac:dyDescent="0.25">
      <c r="N50" s="17" t="s">
        <v>183</v>
      </c>
      <c r="O50">
        <v>0</v>
      </c>
      <c r="P50">
        <f>$I$8</f>
        <v>3.1666666666666665</v>
      </c>
      <c r="Q50">
        <f>$G$8</f>
        <v>12</v>
      </c>
      <c r="R50">
        <f>O50^2/Q50</f>
        <v>0</v>
      </c>
      <c r="S50">
        <f>O50*P50</f>
        <v>0</v>
      </c>
    </row>
    <row r="51" spans="14:21" x14ac:dyDescent="0.25">
      <c r="N51" s="17" t="s">
        <v>186</v>
      </c>
      <c r="O51">
        <v>1</v>
      </c>
      <c r="P51">
        <f>$I$9</f>
        <v>5.583333333333333</v>
      </c>
      <c r="Q51">
        <f>$G$9</f>
        <v>12</v>
      </c>
      <c r="R51">
        <f>O51^2/Q51</f>
        <v>8.3333333333333329E-2</v>
      </c>
      <c r="S51">
        <f>O51*P51</f>
        <v>5.583333333333333</v>
      </c>
    </row>
    <row r="52" spans="14:21" x14ac:dyDescent="0.25">
      <c r="N52" s="56" t="s">
        <v>187</v>
      </c>
      <c r="O52" s="51">
        <v>-1</v>
      </c>
      <c r="P52" s="51">
        <f>$I$10</f>
        <v>3.8333333333333335</v>
      </c>
      <c r="Q52" s="51">
        <f>$G$10</f>
        <v>12</v>
      </c>
      <c r="R52" s="51">
        <f>O52^2/Q52</f>
        <v>8.3333333333333329E-2</v>
      </c>
      <c r="S52" s="51">
        <f>O52*P52</f>
        <v>-3.8333333333333335</v>
      </c>
    </row>
    <row r="53" spans="14:21" x14ac:dyDescent="0.25">
      <c r="N53" s="7"/>
      <c r="O53" s="7"/>
      <c r="P53" s="7"/>
      <c r="R53">
        <f>SUM(R49:R52)</f>
        <v>0.16666666666666666</v>
      </c>
      <c r="S53">
        <f>SUM(S49:S52)</f>
        <v>1.7499999999999996</v>
      </c>
    </row>
    <row r="55" spans="14:21" ht="15.75" thickBot="1" x14ac:dyDescent="0.3">
      <c r="N55" t="s">
        <v>176</v>
      </c>
      <c r="R55" s="52" t="s">
        <v>31</v>
      </c>
      <c r="S55" s="52">
        <v>0.05</v>
      </c>
    </row>
    <row r="56" spans="14:21" ht="15.75" thickTop="1" x14ac:dyDescent="0.25">
      <c r="N56" s="29" t="s">
        <v>85</v>
      </c>
      <c r="O56" s="29" t="s">
        <v>67</v>
      </c>
      <c r="P56" s="29" t="s">
        <v>51</v>
      </c>
      <c r="Q56" s="29" t="s">
        <v>56</v>
      </c>
      <c r="R56" s="29" t="s">
        <v>188</v>
      </c>
      <c r="S56" s="29" t="s">
        <v>57</v>
      </c>
      <c r="T56" s="29" t="s">
        <v>26</v>
      </c>
      <c r="U56" s="29" t="s">
        <v>27</v>
      </c>
    </row>
    <row r="57" spans="14:21" x14ac:dyDescent="0.25">
      <c r="N57" s="79">
        <f>SQRT($I$16*R53)</f>
        <v>0.67560298544292563</v>
      </c>
      <c r="O57" s="79">
        <f>ABS(S53/N57)</f>
        <v>2.5902786661795147</v>
      </c>
      <c r="P57" s="79">
        <f>$H$16</f>
        <v>44</v>
      </c>
      <c r="Q57" s="79">
        <f>TDIST(O57,P57,2)</f>
        <v>1.295706923393301E-2</v>
      </c>
      <c r="R57" s="80" t="str">
        <f>IF(Q57&lt;S55,"yes","no")</f>
        <v>yes</v>
      </c>
      <c r="S57" s="80">
        <f>TINV(S55,P57)</f>
        <v>2.0153675744437649</v>
      </c>
      <c r="T57" s="80">
        <f>S53-N57*S57</f>
        <v>0.38841164994092425</v>
      </c>
      <c r="U57" s="80">
        <f>S53+N57*S57</f>
        <v>3.1115883500590749</v>
      </c>
    </row>
    <row r="59" spans="14:21" ht="15.75" thickBot="1" x14ac:dyDescent="0.3">
      <c r="N59" t="s">
        <v>190</v>
      </c>
      <c r="R59" s="52" t="s">
        <v>31</v>
      </c>
      <c r="S59" s="52">
        <f>S55/$H$15</f>
        <v>1.6666666666666666E-2</v>
      </c>
    </row>
    <row r="60" spans="14:21" ht="15.75" thickTop="1" x14ac:dyDescent="0.25">
      <c r="N60" s="29" t="s">
        <v>85</v>
      </c>
      <c r="O60" s="29" t="s">
        <v>67</v>
      </c>
      <c r="P60" s="29" t="s">
        <v>51</v>
      </c>
      <c r="Q60" s="29" t="s">
        <v>56</v>
      </c>
      <c r="R60" s="29" t="s">
        <v>188</v>
      </c>
      <c r="S60" s="29" t="s">
        <v>57</v>
      </c>
      <c r="T60" s="29" t="s">
        <v>26</v>
      </c>
      <c r="U60" s="29" t="s">
        <v>27</v>
      </c>
    </row>
    <row r="61" spans="14:21" x14ac:dyDescent="0.25">
      <c r="N61" s="79">
        <f>N57</f>
        <v>0.67560298544292563</v>
      </c>
      <c r="O61" s="79">
        <f>O57</f>
        <v>2.5902786661795147</v>
      </c>
      <c r="P61" s="79">
        <f>P57</f>
        <v>44</v>
      </c>
      <c r="Q61" s="79">
        <f>TDIST(O61,P61,2)</f>
        <v>1.295706923393301E-2</v>
      </c>
      <c r="R61" s="80" t="str">
        <f>IF(Q61&lt;S59,"yes","no")</f>
        <v>yes</v>
      </c>
      <c r="S61" s="80">
        <f>TINV(S59,P61)</f>
        <v>2.4889679492395662</v>
      </c>
      <c r="T61" s="80">
        <f>S53-N61*S61</f>
        <v>6.8445822821992408E-2</v>
      </c>
      <c r="U61" s="80">
        <f>S53+N61*S61</f>
        <v>3.4315541771780067</v>
      </c>
    </row>
    <row r="63" spans="14:21" ht="15.75" thickBot="1" x14ac:dyDescent="0.3">
      <c r="N63" s="38" t="s">
        <v>189</v>
      </c>
      <c r="R63" s="52" t="s">
        <v>31</v>
      </c>
      <c r="S63" s="52">
        <f>1-(1-S55)^(1/$H$15)</f>
        <v>1.6952427508441503E-2</v>
      </c>
    </row>
    <row r="64" spans="14:21" ht="15.75" thickTop="1" x14ac:dyDescent="0.25">
      <c r="N64" s="29" t="s">
        <v>85</v>
      </c>
      <c r="O64" s="29" t="s">
        <v>67</v>
      </c>
      <c r="P64" s="29" t="s">
        <v>51</v>
      </c>
      <c r="Q64" s="29" t="s">
        <v>56</v>
      </c>
      <c r="R64" s="29" t="s">
        <v>188</v>
      </c>
      <c r="S64" s="29" t="s">
        <v>57</v>
      </c>
      <c r="T64" s="29" t="s">
        <v>26</v>
      </c>
      <c r="U64" s="29" t="s">
        <v>27</v>
      </c>
    </row>
    <row r="65" spans="14:21" x14ac:dyDescent="0.25">
      <c r="N65" s="79">
        <f>N57</f>
        <v>0.67560298544292563</v>
      </c>
      <c r="O65" s="79">
        <f>O57</f>
        <v>2.5902786661795147</v>
      </c>
      <c r="P65" s="79">
        <f>P57</f>
        <v>44</v>
      </c>
      <c r="Q65" s="79">
        <f>TDIST(O65,P65,2)</f>
        <v>1.295706923393301E-2</v>
      </c>
      <c r="R65" s="80" t="str">
        <f>IF(Q65&lt;S63,"yes","no")</f>
        <v>yes</v>
      </c>
      <c r="S65" s="80">
        <f>TINV(S63,P65)</f>
        <v>2.4820442076580118</v>
      </c>
      <c r="T65" s="80">
        <f>S53-N65*S65</f>
        <v>7.3123523304925886E-2</v>
      </c>
      <c r="U65" s="80">
        <f>S53+N65*S65</f>
        <v>3.4268764766950732</v>
      </c>
    </row>
    <row r="68" spans="14:21" ht="15.75" thickBot="1" x14ac:dyDescent="0.3">
      <c r="N68" t="s">
        <v>179</v>
      </c>
    </row>
    <row r="69" spans="14:21" ht="15.75" thickTop="1" x14ac:dyDescent="0.25">
      <c r="N69" s="29" t="s">
        <v>61</v>
      </c>
      <c r="O69" s="29" t="s">
        <v>37</v>
      </c>
      <c r="P69" s="29" t="s">
        <v>4</v>
      </c>
      <c r="Q69" s="29" t="s">
        <v>28</v>
      </c>
      <c r="R69" s="29" t="s">
        <v>175</v>
      </c>
      <c r="S69" s="29" t="s">
        <v>177</v>
      </c>
    </row>
    <row r="70" spans="14:21" x14ac:dyDescent="0.25">
      <c r="N70" s="17" t="s">
        <v>182</v>
      </c>
      <c r="O70">
        <v>-0.5</v>
      </c>
      <c r="P70">
        <f>$I$7</f>
        <v>4.25</v>
      </c>
      <c r="Q70">
        <f>$G$7</f>
        <v>12</v>
      </c>
      <c r="R70">
        <f>O70^2/Q70</f>
        <v>2.0833333333333332E-2</v>
      </c>
      <c r="S70">
        <f>O70*P70</f>
        <v>-2.125</v>
      </c>
    </row>
    <row r="71" spans="14:21" x14ac:dyDescent="0.25">
      <c r="N71" s="17" t="s">
        <v>183</v>
      </c>
      <c r="O71">
        <v>-0.5</v>
      </c>
      <c r="P71">
        <f>$I$8</f>
        <v>3.1666666666666665</v>
      </c>
      <c r="Q71">
        <f>$G$8</f>
        <v>12</v>
      </c>
      <c r="R71">
        <f>O71^2/Q71</f>
        <v>2.0833333333333332E-2</v>
      </c>
      <c r="S71">
        <f>O71*P71</f>
        <v>-1.5833333333333333</v>
      </c>
    </row>
    <row r="72" spans="14:21" x14ac:dyDescent="0.25">
      <c r="N72" s="17" t="s">
        <v>186</v>
      </c>
      <c r="O72">
        <v>0.5</v>
      </c>
      <c r="P72">
        <f>$I$9</f>
        <v>5.583333333333333</v>
      </c>
      <c r="Q72">
        <f>$G$9</f>
        <v>12</v>
      </c>
      <c r="R72">
        <f>O72^2/Q72</f>
        <v>2.0833333333333332E-2</v>
      </c>
      <c r="S72">
        <f>O72*P72</f>
        <v>2.7916666666666665</v>
      </c>
    </row>
    <row r="73" spans="14:21" x14ac:dyDescent="0.25">
      <c r="N73" s="56" t="s">
        <v>187</v>
      </c>
      <c r="O73" s="51">
        <v>0.5</v>
      </c>
      <c r="P73" s="51">
        <f>$I$10</f>
        <v>3.8333333333333335</v>
      </c>
      <c r="Q73" s="51">
        <f>$G$10</f>
        <v>12</v>
      </c>
      <c r="R73" s="51">
        <f>O73^2/Q73</f>
        <v>2.0833333333333332E-2</v>
      </c>
      <c r="S73" s="51">
        <f>O73*P73</f>
        <v>1.9166666666666667</v>
      </c>
    </row>
    <row r="74" spans="14:21" x14ac:dyDescent="0.25">
      <c r="N74" s="7"/>
      <c r="O74" s="7"/>
      <c r="P74" s="7"/>
      <c r="R74">
        <f>SUM(R70:R73)</f>
        <v>8.3333333333333329E-2</v>
      </c>
      <c r="S74">
        <f>SUM(S70:S73)</f>
        <v>1.0000000000000002</v>
      </c>
    </row>
    <row r="76" spans="14:21" ht="15.75" thickBot="1" x14ac:dyDescent="0.3">
      <c r="N76" t="s">
        <v>176</v>
      </c>
      <c r="R76" s="52" t="s">
        <v>31</v>
      </c>
      <c r="S76" s="52">
        <v>0.05</v>
      </c>
    </row>
    <row r="77" spans="14:21" ht="15.75" thickTop="1" x14ac:dyDescent="0.25">
      <c r="N77" s="29" t="s">
        <v>85</v>
      </c>
      <c r="O77" s="29" t="s">
        <v>67</v>
      </c>
      <c r="P77" s="29" t="s">
        <v>51</v>
      </c>
      <c r="Q77" s="29" t="s">
        <v>56</v>
      </c>
      <c r="R77" s="29" t="s">
        <v>188</v>
      </c>
      <c r="S77" s="29" t="s">
        <v>57</v>
      </c>
      <c r="T77" s="29" t="s">
        <v>26</v>
      </c>
      <c r="U77" s="29" t="s">
        <v>27</v>
      </c>
    </row>
    <row r="78" spans="14:21" x14ac:dyDescent="0.25">
      <c r="N78" s="79">
        <f>SQRT($I$16*R74)</f>
        <v>0.47772345239656905</v>
      </c>
      <c r="O78" s="79">
        <f>ABS(S74/N78)</f>
        <v>2.0932612685924359</v>
      </c>
      <c r="P78" s="79">
        <f>$H$16</f>
        <v>44</v>
      </c>
      <c r="Q78" s="79">
        <f>TDIST(O78,P78,2)</f>
        <v>4.2123653011693532E-2</v>
      </c>
      <c r="R78" s="80" t="str">
        <f>IF(Q78&lt;S76,"yes","no")</f>
        <v>yes</v>
      </c>
      <c r="S78" s="80">
        <f>TINV(S76,P78)</f>
        <v>2.0153675744437649</v>
      </c>
      <c r="T78" s="80">
        <f>S74-N78*S78</f>
        <v>3.7211644488625462E-2</v>
      </c>
      <c r="U78" s="80">
        <f>S74+N78*S78</f>
        <v>1.962788355511375</v>
      </c>
    </row>
    <row r="80" spans="14:21" ht="15.75" thickBot="1" x14ac:dyDescent="0.3">
      <c r="N80" t="s">
        <v>190</v>
      </c>
      <c r="R80" s="52" t="s">
        <v>31</v>
      </c>
      <c r="S80" s="52">
        <f>S76/$H$15</f>
        <v>1.6666666666666666E-2</v>
      </c>
    </row>
    <row r="81" spans="14:21" ht="15.75" thickTop="1" x14ac:dyDescent="0.25">
      <c r="N81" s="29" t="s">
        <v>85</v>
      </c>
      <c r="O81" s="29" t="s">
        <v>67</v>
      </c>
      <c r="P81" s="29" t="s">
        <v>51</v>
      </c>
      <c r="Q81" s="29" t="s">
        <v>56</v>
      </c>
      <c r="R81" s="29" t="s">
        <v>188</v>
      </c>
      <c r="S81" s="29" t="s">
        <v>57</v>
      </c>
      <c r="T81" s="29" t="s">
        <v>26</v>
      </c>
      <c r="U81" s="29" t="s">
        <v>27</v>
      </c>
    </row>
    <row r="82" spans="14:21" x14ac:dyDescent="0.25">
      <c r="N82" s="79">
        <f>N78</f>
        <v>0.47772345239656905</v>
      </c>
      <c r="O82" s="79">
        <f>O78</f>
        <v>2.0932612685924359</v>
      </c>
      <c r="P82" s="79">
        <f>P78</f>
        <v>44</v>
      </c>
      <c r="Q82" s="79">
        <f>TDIST(O82,P82,2)</f>
        <v>4.2123653011693532E-2</v>
      </c>
      <c r="R82" s="80" t="str">
        <f>IF(Q82&lt;S80,"yes","no")</f>
        <v>no</v>
      </c>
      <c r="S82" s="80">
        <f>TINV(S80,P82)</f>
        <v>2.4889679492395662</v>
      </c>
      <c r="T82" s="80">
        <f>S74-N82*S82</f>
        <v>-0.18903836161513388</v>
      </c>
      <c r="U82" s="80">
        <f>S74+N82*S82</f>
        <v>2.1890383616151343</v>
      </c>
    </row>
    <row r="84" spans="14:21" ht="15.75" thickBot="1" x14ac:dyDescent="0.3">
      <c r="N84" s="38" t="s">
        <v>189</v>
      </c>
      <c r="R84" s="52" t="s">
        <v>31</v>
      </c>
      <c r="S84" s="52">
        <f>1-(1-S76)^(1/$H$15)</f>
        <v>1.6952427508441503E-2</v>
      </c>
    </row>
    <row r="85" spans="14:21" ht="15.75" thickTop="1" x14ac:dyDescent="0.25">
      <c r="N85" s="29" t="s">
        <v>85</v>
      </c>
      <c r="O85" s="29" t="s">
        <v>67</v>
      </c>
      <c r="P85" s="29" t="s">
        <v>51</v>
      </c>
      <c r="Q85" s="29" t="s">
        <v>56</v>
      </c>
      <c r="R85" s="29" t="s">
        <v>188</v>
      </c>
      <c r="S85" s="29" t="s">
        <v>57</v>
      </c>
      <c r="T85" s="29" t="s">
        <v>26</v>
      </c>
      <c r="U85" s="29" t="s">
        <v>27</v>
      </c>
    </row>
    <row r="86" spans="14:21" x14ac:dyDescent="0.25">
      <c r="N86" s="79">
        <f>N78</f>
        <v>0.47772345239656905</v>
      </c>
      <c r="O86" s="79">
        <f>O78</f>
        <v>2.0932612685924359</v>
      </c>
      <c r="P86" s="79">
        <f>P78</f>
        <v>44</v>
      </c>
      <c r="Q86" s="79">
        <f>TDIST(O86,P86,2)</f>
        <v>4.2123653011693532E-2</v>
      </c>
      <c r="R86" s="80" t="str">
        <f>IF(Q86&lt;S84,"yes","no")</f>
        <v>no</v>
      </c>
      <c r="S86" s="80">
        <f>TINV(S84,P86)</f>
        <v>2.4820442076580118</v>
      </c>
      <c r="T86" s="80">
        <f>S74-N86*S86</f>
        <v>-0.18573072788329203</v>
      </c>
      <c r="U86" s="80">
        <f>S74+N86*S86</f>
        <v>2.1857307278832927</v>
      </c>
    </row>
    <row r="89" spans="14:21" ht="15.75" thickBot="1" x14ac:dyDescent="0.3">
      <c r="N89" t="s">
        <v>179</v>
      </c>
    </row>
    <row r="90" spans="14:21" ht="15.75" thickTop="1" x14ac:dyDescent="0.25">
      <c r="N90" s="29" t="s">
        <v>61</v>
      </c>
      <c r="O90" s="29" t="s">
        <v>37</v>
      </c>
      <c r="P90" s="29" t="s">
        <v>4</v>
      </c>
      <c r="Q90" s="29" t="s">
        <v>28</v>
      </c>
      <c r="R90" s="29" t="s">
        <v>175</v>
      </c>
      <c r="S90" s="29" t="s">
        <v>177</v>
      </c>
    </row>
    <row r="91" spans="14:21" x14ac:dyDescent="0.25">
      <c r="N91" s="17" t="s">
        <v>182</v>
      </c>
      <c r="O91">
        <v>1</v>
      </c>
      <c r="P91">
        <f>$I$7</f>
        <v>4.25</v>
      </c>
      <c r="Q91">
        <f>$G$7</f>
        <v>12</v>
      </c>
      <c r="R91">
        <f>O91^2/Q91</f>
        <v>8.3333333333333329E-2</v>
      </c>
      <c r="S91">
        <f>O91*P91</f>
        <v>4.25</v>
      </c>
    </row>
    <row r="92" spans="14:21" x14ac:dyDescent="0.25">
      <c r="N92" s="17" t="s">
        <v>183</v>
      </c>
      <c r="O92">
        <v>0</v>
      </c>
      <c r="P92">
        <f>$I$8</f>
        <v>3.1666666666666665</v>
      </c>
      <c r="Q92">
        <f>$G$8</f>
        <v>12</v>
      </c>
      <c r="R92">
        <f>O92^2/Q92</f>
        <v>0</v>
      </c>
      <c r="S92">
        <f>O92*P92</f>
        <v>0</v>
      </c>
    </row>
    <row r="93" spans="14:21" x14ac:dyDescent="0.25">
      <c r="N93" s="17" t="s">
        <v>186</v>
      </c>
      <c r="O93">
        <v>-1</v>
      </c>
      <c r="P93">
        <f>$I$9</f>
        <v>5.583333333333333</v>
      </c>
      <c r="Q93">
        <f>$G$9</f>
        <v>12</v>
      </c>
      <c r="R93">
        <f>O93^2/Q93</f>
        <v>8.3333333333333329E-2</v>
      </c>
      <c r="S93">
        <f>O93*P93</f>
        <v>-5.583333333333333</v>
      </c>
    </row>
    <row r="94" spans="14:21" x14ac:dyDescent="0.25">
      <c r="N94" s="56" t="s">
        <v>187</v>
      </c>
      <c r="O94" s="51">
        <v>0</v>
      </c>
      <c r="P94" s="51">
        <f>$I$10</f>
        <v>3.8333333333333335</v>
      </c>
      <c r="Q94" s="51">
        <f>$G$10</f>
        <v>12</v>
      </c>
      <c r="R94" s="51">
        <f>O94^2/Q94</f>
        <v>0</v>
      </c>
      <c r="S94" s="51">
        <f>O94*P94</f>
        <v>0</v>
      </c>
    </row>
    <row r="95" spans="14:21" x14ac:dyDescent="0.25">
      <c r="N95" s="7"/>
      <c r="O95" s="7"/>
      <c r="P95" s="7"/>
      <c r="R95">
        <f>SUM(R91:R94)</f>
        <v>0.16666666666666666</v>
      </c>
      <c r="S95">
        <f>SUM(S91:S94)</f>
        <v>-1.333333333333333</v>
      </c>
    </row>
    <row r="97" spans="14:21" ht="15.75" thickBot="1" x14ac:dyDescent="0.3">
      <c r="N97" t="s">
        <v>176</v>
      </c>
      <c r="R97" s="52" t="s">
        <v>31</v>
      </c>
      <c r="S97" s="52">
        <v>0.05</v>
      </c>
    </row>
    <row r="98" spans="14:21" ht="15.75" thickTop="1" x14ac:dyDescent="0.25">
      <c r="N98" s="29" t="s">
        <v>85</v>
      </c>
      <c r="O98" s="29" t="s">
        <v>67</v>
      </c>
      <c r="P98" s="29" t="s">
        <v>51</v>
      </c>
      <c r="Q98" s="29" t="s">
        <v>56</v>
      </c>
      <c r="R98" s="29" t="s">
        <v>188</v>
      </c>
      <c r="S98" s="29" t="s">
        <v>57</v>
      </c>
      <c r="T98" s="29" t="s">
        <v>26</v>
      </c>
      <c r="U98" s="29" t="s">
        <v>27</v>
      </c>
    </row>
    <row r="99" spans="14:21" x14ac:dyDescent="0.25">
      <c r="N99" s="79">
        <f>SQRT($I$16*R95)</f>
        <v>0.67560298544292563</v>
      </c>
      <c r="O99" s="79">
        <f>ABS(S95/N99)</f>
        <v>1.9735456504224875</v>
      </c>
      <c r="P99" s="79">
        <f>$H$16</f>
        <v>44</v>
      </c>
      <c r="Q99" s="79">
        <f>TDIST(O99,P99,2)</f>
        <v>5.4734006390896719E-2</v>
      </c>
      <c r="R99" s="80" t="str">
        <f>IF(Q99&lt;S97,"yes","no")</f>
        <v>no</v>
      </c>
      <c r="S99" s="80">
        <f>TINV(S97,P99)</f>
        <v>2.0153675744437649</v>
      </c>
      <c r="T99" s="80">
        <f>S95-N99*S99</f>
        <v>-2.6949216833924083</v>
      </c>
      <c r="U99" s="80">
        <f>S95+N99*S99</f>
        <v>2.8255016725742266E-2</v>
      </c>
    </row>
    <row r="101" spans="14:21" ht="15.75" thickBot="1" x14ac:dyDescent="0.3">
      <c r="N101" t="s">
        <v>190</v>
      </c>
      <c r="R101" s="52" t="s">
        <v>31</v>
      </c>
      <c r="S101" s="52">
        <f>S97/$H$15</f>
        <v>1.6666666666666666E-2</v>
      </c>
    </row>
    <row r="102" spans="14:21" ht="15.75" thickTop="1" x14ac:dyDescent="0.25">
      <c r="N102" s="29" t="s">
        <v>85</v>
      </c>
      <c r="O102" s="29" t="s">
        <v>67</v>
      </c>
      <c r="P102" s="29" t="s">
        <v>51</v>
      </c>
      <c r="Q102" s="29" t="s">
        <v>56</v>
      </c>
      <c r="R102" s="29" t="s">
        <v>188</v>
      </c>
      <c r="S102" s="29" t="s">
        <v>57</v>
      </c>
      <c r="T102" s="29" t="s">
        <v>26</v>
      </c>
      <c r="U102" s="29" t="s">
        <v>27</v>
      </c>
    </row>
    <row r="103" spans="14:21" x14ac:dyDescent="0.25">
      <c r="N103" s="79">
        <f>N99</f>
        <v>0.67560298544292563</v>
      </c>
      <c r="O103" s="79">
        <f>O99</f>
        <v>1.9735456504224875</v>
      </c>
      <c r="P103" s="79">
        <f>P99</f>
        <v>44</v>
      </c>
      <c r="Q103" s="79">
        <f>TDIST(O103,P103,2)</f>
        <v>5.4734006390896719E-2</v>
      </c>
      <c r="R103" s="80" t="str">
        <f>IF(Q103&lt;S101,"yes","no")</f>
        <v>no</v>
      </c>
      <c r="S103" s="80">
        <f>TINV(S101,P103)</f>
        <v>2.4889679492395662</v>
      </c>
      <c r="T103" s="80">
        <f>S95-N103*S103</f>
        <v>-3.0148875105113402</v>
      </c>
      <c r="U103" s="80">
        <f>S95+N103*S103</f>
        <v>0.34822084384467411</v>
      </c>
    </row>
    <row r="105" spans="14:21" ht="15.75" thickBot="1" x14ac:dyDescent="0.3">
      <c r="N105" s="38" t="s">
        <v>189</v>
      </c>
      <c r="R105" s="52" t="s">
        <v>31</v>
      </c>
      <c r="S105" s="52">
        <f>1-(1-S97)^(1/$H$15)</f>
        <v>1.6952427508441503E-2</v>
      </c>
    </row>
    <row r="106" spans="14:21" ht="15.75" thickTop="1" x14ac:dyDescent="0.25">
      <c r="N106" s="29" t="s">
        <v>85</v>
      </c>
      <c r="O106" s="29" t="s">
        <v>67</v>
      </c>
      <c r="P106" s="29" t="s">
        <v>51</v>
      </c>
      <c r="Q106" s="29" t="s">
        <v>56</v>
      </c>
      <c r="R106" s="29" t="s">
        <v>188</v>
      </c>
      <c r="S106" s="29" t="s">
        <v>57</v>
      </c>
      <c r="T106" s="29" t="s">
        <v>26</v>
      </c>
      <c r="U106" s="29" t="s">
        <v>27</v>
      </c>
    </row>
    <row r="107" spans="14:21" x14ac:dyDescent="0.25">
      <c r="N107" s="79">
        <f>N99</f>
        <v>0.67560298544292563</v>
      </c>
      <c r="O107" s="79">
        <f>O99</f>
        <v>1.9735456504224875</v>
      </c>
      <c r="P107" s="79">
        <f>P99</f>
        <v>44</v>
      </c>
      <c r="Q107" s="79">
        <f>TDIST(O107,P107,2)</f>
        <v>5.4734006390896719E-2</v>
      </c>
      <c r="R107" s="80" t="str">
        <f>IF(Q107&lt;S105,"yes","no")</f>
        <v>no</v>
      </c>
      <c r="S107" s="80">
        <f>TINV(S105,P107)</f>
        <v>2.4820442076580118</v>
      </c>
      <c r="T107" s="80">
        <f>S95-N107*S107</f>
        <v>-3.0102098100284067</v>
      </c>
      <c r="U107" s="80">
        <f>S95+N107*S107</f>
        <v>0.34354314336174063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AC22"/>
  <sheetViews>
    <sheetView tabSelected="1" topLeftCell="I1" workbookViewId="0">
      <selection activeCell="P24" sqref="P24"/>
    </sheetView>
  </sheetViews>
  <sheetFormatPr defaultRowHeight="15" x14ac:dyDescent="0.25"/>
  <cols>
    <col min="1" max="4" width="7" customWidth="1"/>
    <col min="5" max="5" width="5.28515625" customWidth="1"/>
    <col min="6" max="6" width="17.85546875" customWidth="1"/>
    <col min="7" max="7" width="7.85546875" customWidth="1"/>
    <col min="8" max="8" width="7.140625" customWidth="1"/>
    <col min="13" max="13" width="5.140625" customWidth="1"/>
    <col min="16" max="16" width="8.42578125" customWidth="1"/>
    <col min="17" max="17" width="7.85546875" customWidth="1"/>
    <col min="19" max="19" width="6.140625" customWidth="1"/>
    <col min="20" max="21" width="8.28515625" customWidth="1"/>
    <col min="26" max="26" width="12" customWidth="1"/>
  </cols>
  <sheetData>
    <row r="1" spans="1:29" x14ac:dyDescent="0.25">
      <c r="A1" s="1" t="s">
        <v>191</v>
      </c>
    </row>
    <row r="3" spans="1:29" x14ac:dyDescent="0.25">
      <c r="A3" s="566" t="s">
        <v>108</v>
      </c>
      <c r="B3" s="566"/>
      <c r="C3" s="566" t="s">
        <v>109</v>
      </c>
      <c r="D3" s="566"/>
      <c r="F3" t="s">
        <v>133</v>
      </c>
      <c r="N3" t="s">
        <v>192</v>
      </c>
      <c r="W3" t="s">
        <v>198</v>
      </c>
    </row>
    <row r="4" spans="1:29" x14ac:dyDescent="0.25">
      <c r="A4" s="88" t="s">
        <v>66</v>
      </c>
      <c r="B4" s="89" t="s">
        <v>65</v>
      </c>
      <c r="C4" s="88" t="s">
        <v>66</v>
      </c>
      <c r="D4" s="90" t="s">
        <v>65</v>
      </c>
    </row>
    <row r="5" spans="1:29" ht="18.75" thickBot="1" x14ac:dyDescent="0.4">
      <c r="A5" s="91">
        <v>3</v>
      </c>
      <c r="B5" s="92">
        <v>2</v>
      </c>
      <c r="C5" s="91">
        <v>5</v>
      </c>
      <c r="D5" s="93">
        <v>4</v>
      </c>
      <c r="F5" t="s">
        <v>52</v>
      </c>
      <c r="N5" t="s">
        <v>193</v>
      </c>
      <c r="P5" s="27" t="s">
        <v>194</v>
      </c>
      <c r="W5" s="94" t="s">
        <v>42</v>
      </c>
      <c r="X5" s="98">
        <v>0.05</v>
      </c>
      <c r="AA5" t="s">
        <v>193</v>
      </c>
      <c r="AC5" s="27"/>
    </row>
    <row r="6" spans="1:29" x14ac:dyDescent="0.25">
      <c r="A6" s="32">
        <v>5</v>
      </c>
      <c r="B6" s="37">
        <v>4</v>
      </c>
      <c r="C6" s="32">
        <v>8</v>
      </c>
      <c r="D6" s="33">
        <v>5</v>
      </c>
      <c r="F6" s="87" t="s">
        <v>61</v>
      </c>
      <c r="G6" s="87" t="s">
        <v>19</v>
      </c>
      <c r="H6" s="87" t="s">
        <v>18</v>
      </c>
      <c r="I6" s="87" t="s">
        <v>134</v>
      </c>
      <c r="J6" s="87" t="s">
        <v>62</v>
      </c>
      <c r="N6" s="87" t="s">
        <v>4</v>
      </c>
      <c r="O6" s="87" t="s">
        <v>85</v>
      </c>
      <c r="P6" s="87" t="s">
        <v>67</v>
      </c>
      <c r="Q6" s="102" t="s">
        <v>195</v>
      </c>
      <c r="R6" s="102" t="s">
        <v>196</v>
      </c>
      <c r="S6" s="102" t="s">
        <v>188</v>
      </c>
      <c r="T6" s="102" t="s">
        <v>26</v>
      </c>
      <c r="U6" s="102" t="s">
        <v>27</v>
      </c>
      <c r="W6" s="95" t="s">
        <v>51</v>
      </c>
      <c r="X6" s="99">
        <f>H16</f>
        <v>44</v>
      </c>
      <c r="AA6" s="87" t="s">
        <v>4</v>
      </c>
      <c r="AB6" s="87" t="s">
        <v>208</v>
      </c>
      <c r="AC6" s="102" t="s">
        <v>188</v>
      </c>
    </row>
    <row r="7" spans="1:29" x14ac:dyDescent="0.25">
      <c r="A7" s="32">
        <v>6</v>
      </c>
      <c r="B7" s="37">
        <v>3</v>
      </c>
      <c r="C7" s="32">
        <v>6</v>
      </c>
      <c r="D7" s="33">
        <v>3</v>
      </c>
      <c r="F7" s="17" t="s">
        <v>182</v>
      </c>
      <c r="G7" s="17">
        <v>12</v>
      </c>
      <c r="H7" s="17">
        <v>51</v>
      </c>
      <c r="I7" s="17">
        <v>4.25</v>
      </c>
      <c r="J7" s="17">
        <v>3.1136363636363638</v>
      </c>
      <c r="N7">
        <f>ABS(I9-I10)</f>
        <v>1.7499999999999996</v>
      </c>
      <c r="O7">
        <f>SQRT(2*$I$16/G7)</f>
        <v>0.67560298544292563</v>
      </c>
      <c r="P7">
        <f>N7/O7</f>
        <v>2.5902786661795147</v>
      </c>
      <c r="Q7" t="e">
        <f ca="1">X16</f>
        <v>#NAME?</v>
      </c>
      <c r="R7" s="85" t="e">
        <f ca="1">Q7/SQRT(2)</f>
        <v>#NAME?</v>
      </c>
      <c r="S7" s="85" t="e">
        <f ca="1">IF(ABS(P7)&gt;R7,"yes","no")</f>
        <v>#NAME?</v>
      </c>
      <c r="T7" t="e">
        <f ca="1">N7-O7*R7</f>
        <v>#NAME?</v>
      </c>
      <c r="U7" t="e">
        <f ca="1">N7+O7*R7</f>
        <v>#NAME?</v>
      </c>
      <c r="W7" s="96" t="s">
        <v>48</v>
      </c>
      <c r="X7" s="100">
        <f>COUNTA(A4:D4)</f>
        <v>4</v>
      </c>
      <c r="Z7" s="35" t="s">
        <v>201</v>
      </c>
      <c r="AA7">
        <f>ABS(I7-I8)</f>
        <v>1.0833333333333335</v>
      </c>
      <c r="AB7" t="e">
        <f ca="1">$X$18</f>
        <v>#NAME?</v>
      </c>
      <c r="AC7" s="85" t="e">
        <f t="shared" ref="AC7:AC12" ca="1" si="0">IF(AA7&gt;AB7,"Yes","No")</f>
        <v>#NAME?</v>
      </c>
    </row>
    <row r="8" spans="1:29" x14ac:dyDescent="0.25">
      <c r="A8" s="32">
        <v>1</v>
      </c>
      <c r="B8" s="37">
        <v>5</v>
      </c>
      <c r="C8" s="32">
        <v>4</v>
      </c>
      <c r="D8" s="33">
        <v>7</v>
      </c>
      <c r="F8" s="17" t="s">
        <v>183</v>
      </c>
      <c r="G8" s="17">
        <v>12</v>
      </c>
      <c r="H8" s="17">
        <v>38</v>
      </c>
      <c r="I8" s="17">
        <v>3.1666666666666665</v>
      </c>
      <c r="J8" s="17">
        <v>2.6969696969696972</v>
      </c>
      <c r="W8" s="39"/>
      <c r="Z8" s="103" t="s">
        <v>202</v>
      </c>
      <c r="AA8">
        <f>ABS(I7-I9)</f>
        <v>1.333333333333333</v>
      </c>
      <c r="AB8" t="e">
        <f t="shared" ref="AB8:AB12" ca="1" si="1">$X$18</f>
        <v>#NAME?</v>
      </c>
      <c r="AC8" s="85" t="e">
        <f t="shared" ca="1" si="0"/>
        <v>#NAME?</v>
      </c>
    </row>
    <row r="9" spans="1:29" ht="15" customHeight="1" thickBot="1" x14ac:dyDescent="0.4">
      <c r="A9" s="32">
        <v>5</v>
      </c>
      <c r="B9" s="37">
        <v>1</v>
      </c>
      <c r="C9" s="32">
        <v>7</v>
      </c>
      <c r="D9" s="33">
        <v>6</v>
      </c>
      <c r="F9" s="17" t="s">
        <v>184</v>
      </c>
      <c r="G9" s="17">
        <v>12</v>
      </c>
      <c r="H9" s="17">
        <v>67</v>
      </c>
      <c r="I9" s="17">
        <v>5.583333333333333</v>
      </c>
      <c r="J9" s="17">
        <v>2.4469696969696986</v>
      </c>
      <c r="N9" t="s">
        <v>193</v>
      </c>
      <c r="P9" s="27" t="s">
        <v>197</v>
      </c>
      <c r="W9" s="39" t="s">
        <v>749</v>
      </c>
      <c r="X9" s="367" t="e">
        <f ca="1">QCRIT(X7,40,X5,2,FALSE)</f>
        <v>#NAME?</v>
      </c>
      <c r="Z9" s="103" t="s">
        <v>203</v>
      </c>
      <c r="AA9">
        <f>ABS(I7-I10)</f>
        <v>0.41666666666666652</v>
      </c>
      <c r="AB9" t="e">
        <f t="shared" ca="1" si="1"/>
        <v>#NAME?</v>
      </c>
      <c r="AC9" s="85" t="e">
        <f t="shared" ca="1" si="0"/>
        <v>#NAME?</v>
      </c>
    </row>
    <row r="10" spans="1:29" ht="15.75" thickBot="1" x14ac:dyDescent="0.3">
      <c r="A10" s="32">
        <v>6</v>
      </c>
      <c r="B10" s="37">
        <v>5</v>
      </c>
      <c r="C10" s="32">
        <v>8</v>
      </c>
      <c r="D10" s="33">
        <v>3</v>
      </c>
      <c r="F10" s="18" t="s">
        <v>185</v>
      </c>
      <c r="G10" s="18">
        <v>12</v>
      </c>
      <c r="H10" s="18">
        <v>46</v>
      </c>
      <c r="I10" s="18">
        <v>3.8333333333333335</v>
      </c>
      <c r="J10" s="18">
        <v>2.6969696969696959</v>
      </c>
      <c r="N10" s="87" t="s">
        <v>4</v>
      </c>
      <c r="O10" s="87" t="s">
        <v>85</v>
      </c>
      <c r="P10" s="87" t="s">
        <v>67</v>
      </c>
      <c r="Q10" s="102" t="s">
        <v>195</v>
      </c>
      <c r="R10" s="102" t="s">
        <v>196</v>
      </c>
      <c r="S10" s="102" t="s">
        <v>188</v>
      </c>
      <c r="T10" s="102" t="s">
        <v>26</v>
      </c>
      <c r="U10" s="102" t="s">
        <v>27</v>
      </c>
      <c r="W10" s="39" t="s">
        <v>746</v>
      </c>
      <c r="X10" s="179" t="e">
        <f ca="1">QCRIT(X7,48,X5,2,FALSE)</f>
        <v>#NAME?</v>
      </c>
      <c r="Z10" s="103" t="s">
        <v>204</v>
      </c>
      <c r="AA10">
        <f>ABS(I8-I9)</f>
        <v>2.4166666666666665</v>
      </c>
      <c r="AB10" t="e">
        <f t="shared" ca="1" si="1"/>
        <v>#NAME?</v>
      </c>
      <c r="AC10" s="85" t="e">
        <f t="shared" ca="1" si="0"/>
        <v>#NAME?</v>
      </c>
    </row>
    <row r="11" spans="1:29" x14ac:dyDescent="0.25">
      <c r="A11" s="32">
        <v>4</v>
      </c>
      <c r="B11" s="37">
        <v>2</v>
      </c>
      <c r="C11" s="32">
        <v>5</v>
      </c>
      <c r="D11" s="33">
        <v>2</v>
      </c>
      <c r="N11">
        <f>I9-I8</f>
        <v>2.4166666666666665</v>
      </c>
      <c r="O11">
        <f>SQRT($I$16*(1/G9+1/G8))</f>
        <v>0.67560298544292563</v>
      </c>
      <c r="P11">
        <f>N11/O11</f>
        <v>3.5770514913907592</v>
      </c>
      <c r="Q11" t="e">
        <f ca="1">Q7</f>
        <v>#NAME?</v>
      </c>
      <c r="R11" s="85" t="e">
        <f ca="1">Q11/SQRT(2)</f>
        <v>#NAME?</v>
      </c>
      <c r="S11" s="85" t="e">
        <f ca="1">IF(ABS(P11)&gt;=R11,"yes","no")</f>
        <v>#NAME?</v>
      </c>
      <c r="T11" t="e">
        <f ca="1">N11-O11*R11</f>
        <v>#NAME?</v>
      </c>
      <c r="U11" t="e">
        <f ca="1">N11+O11*R11</f>
        <v>#NAME?</v>
      </c>
      <c r="W11" s="39" t="s">
        <v>745</v>
      </c>
      <c r="X11" s="175" t="e">
        <f ca="1">AVERAGE(X9,X10)</f>
        <v>#NAME?</v>
      </c>
      <c r="Z11" s="103" t="s">
        <v>205</v>
      </c>
      <c r="AA11">
        <f>ABS(I8-I10)</f>
        <v>0.66666666666666696</v>
      </c>
      <c r="AB11" t="e">
        <f t="shared" ca="1" si="1"/>
        <v>#NAME?</v>
      </c>
      <c r="AC11" s="85" t="e">
        <f t="shared" ca="1" si="0"/>
        <v>#NAME?</v>
      </c>
    </row>
    <row r="12" spans="1:29" x14ac:dyDescent="0.25">
      <c r="A12" s="32">
        <v>3</v>
      </c>
      <c r="B12" s="37">
        <v>3</v>
      </c>
      <c r="C12" s="32">
        <v>6</v>
      </c>
      <c r="D12" s="33">
        <v>2</v>
      </c>
      <c r="W12" s="39"/>
      <c r="Z12" s="103" t="s">
        <v>206</v>
      </c>
      <c r="AA12" s="51">
        <f>ABS(I9-I10)</f>
        <v>1.7499999999999996</v>
      </c>
      <c r="AB12" s="51" t="e">
        <f t="shared" ca="1" si="1"/>
        <v>#NAME?</v>
      </c>
      <c r="AC12" s="86" t="e">
        <f t="shared" ca="1" si="0"/>
        <v>#NAME?</v>
      </c>
    </row>
    <row r="13" spans="1:29" ht="15.75" thickBot="1" x14ac:dyDescent="0.3">
      <c r="A13" s="32">
        <v>7</v>
      </c>
      <c r="B13" s="37">
        <v>6</v>
      </c>
      <c r="C13" s="32">
        <v>6</v>
      </c>
      <c r="D13" s="33">
        <v>4</v>
      </c>
      <c r="F13" t="s">
        <v>101</v>
      </c>
      <c r="W13" s="39"/>
    </row>
    <row r="14" spans="1:29" x14ac:dyDescent="0.25">
      <c r="A14" s="32">
        <v>4</v>
      </c>
      <c r="B14" s="37">
        <v>2</v>
      </c>
      <c r="C14" s="32">
        <v>3</v>
      </c>
      <c r="D14" s="33">
        <v>5</v>
      </c>
      <c r="F14" s="87" t="s">
        <v>135</v>
      </c>
      <c r="G14" s="87" t="s">
        <v>88</v>
      </c>
      <c r="H14" s="87" t="s">
        <v>51</v>
      </c>
      <c r="I14" s="87" t="s">
        <v>92</v>
      </c>
      <c r="J14" s="87" t="s">
        <v>82</v>
      </c>
      <c r="K14" s="87" t="s">
        <v>74</v>
      </c>
      <c r="L14" s="87" t="s">
        <v>136</v>
      </c>
      <c r="W14" t="s">
        <v>747</v>
      </c>
    </row>
    <row r="15" spans="1:29" x14ac:dyDescent="0.25">
      <c r="A15" s="32">
        <v>5</v>
      </c>
      <c r="B15" s="37">
        <v>4</v>
      </c>
      <c r="C15" s="32">
        <v>4</v>
      </c>
      <c r="D15" s="33">
        <v>2</v>
      </c>
      <c r="F15" s="17" t="s">
        <v>131</v>
      </c>
      <c r="G15" s="17">
        <v>37.416666666666714</v>
      </c>
      <c r="H15" s="17">
        <v>3</v>
      </c>
      <c r="I15" s="17">
        <v>12.472222222222237</v>
      </c>
      <c r="J15" s="17">
        <v>4.554172429691107</v>
      </c>
      <c r="K15" s="17">
        <v>7.2835322244351394E-3</v>
      </c>
      <c r="L15" s="17">
        <v>2.8164658165656813</v>
      </c>
    </row>
    <row r="16" spans="1:29" x14ac:dyDescent="0.25">
      <c r="A16" s="61">
        <v>2</v>
      </c>
      <c r="B16" s="86">
        <v>1</v>
      </c>
      <c r="C16" s="61">
        <v>5</v>
      </c>
      <c r="D16" s="62">
        <v>3</v>
      </c>
      <c r="F16" s="17" t="s">
        <v>132</v>
      </c>
      <c r="G16" s="17">
        <v>120.5</v>
      </c>
      <c r="H16" s="17">
        <v>44</v>
      </c>
      <c r="I16" s="17">
        <v>2.7386363636363638</v>
      </c>
      <c r="J16" s="17"/>
      <c r="K16" s="17"/>
      <c r="L16" s="17"/>
      <c r="W16" s="97" t="s">
        <v>195</v>
      </c>
      <c r="X16" s="101" t="e">
        <f ca="1">QCRIT(X7,X6,X5,2,FALSE)</f>
        <v>#NAME?</v>
      </c>
    </row>
    <row r="17" spans="6:24" x14ac:dyDescent="0.25">
      <c r="F17" s="17"/>
      <c r="G17" s="17"/>
      <c r="H17" s="17"/>
      <c r="I17" s="17"/>
      <c r="J17" s="17"/>
      <c r="K17" s="17"/>
      <c r="L17" s="17"/>
    </row>
    <row r="18" spans="6:24" ht="15.75" thickBot="1" x14ac:dyDescent="0.3">
      <c r="F18" s="18" t="s">
        <v>1</v>
      </c>
      <c r="G18" s="18">
        <v>157.91666666666671</v>
      </c>
      <c r="H18" s="18">
        <v>47</v>
      </c>
      <c r="I18" s="18"/>
      <c r="J18" s="18"/>
      <c r="K18" s="18"/>
      <c r="L18" s="18"/>
      <c r="W18" s="97" t="s">
        <v>208</v>
      </c>
      <c r="X18" s="101" t="e">
        <f ca="1">X16*SQRT(I16/G7)</f>
        <v>#NAME?</v>
      </c>
    </row>
    <row r="20" spans="6:24" x14ac:dyDescent="0.25">
      <c r="W20" t="s">
        <v>748</v>
      </c>
    </row>
    <row r="22" spans="6:24" x14ac:dyDescent="0.25">
      <c r="W22" s="97" t="s">
        <v>195</v>
      </c>
      <c r="X22" s="101" t="e">
        <f ca="1">QCRIT(X7,X6,X5,2)</f>
        <v>#NAME?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S19"/>
  <sheetViews>
    <sheetView workbookViewId="0"/>
  </sheetViews>
  <sheetFormatPr defaultRowHeight="15" x14ac:dyDescent="0.25"/>
  <cols>
    <col min="1" max="4" width="5.7109375" customWidth="1"/>
    <col min="5" max="5" width="4" customWidth="1"/>
  </cols>
  <sheetData>
    <row r="1" spans="1:19" x14ac:dyDescent="0.25">
      <c r="A1" s="1" t="s">
        <v>191</v>
      </c>
    </row>
    <row r="3" spans="1:19" ht="15.75" thickBot="1" x14ac:dyDescent="0.3">
      <c r="A3" s="401" t="s">
        <v>411</v>
      </c>
      <c r="B3" s="384" t="s">
        <v>412</v>
      </c>
      <c r="C3" s="401" t="s">
        <v>413</v>
      </c>
      <c r="D3" s="402" t="s">
        <v>414</v>
      </c>
      <c r="F3" t="s">
        <v>701</v>
      </c>
      <c r="I3" t="s">
        <v>70</v>
      </c>
      <c r="J3">
        <v>0.05</v>
      </c>
    </row>
    <row r="4" spans="1:19" ht="15.75" thickTop="1" x14ac:dyDescent="0.25">
      <c r="A4" s="407">
        <v>3</v>
      </c>
      <c r="B4" s="255">
        <v>2</v>
      </c>
      <c r="C4" s="407">
        <v>5</v>
      </c>
      <c r="D4" s="408">
        <v>4</v>
      </c>
      <c r="F4" s="251" t="s">
        <v>757</v>
      </c>
      <c r="G4" s="251" t="s">
        <v>4</v>
      </c>
      <c r="H4" s="251" t="s">
        <v>28</v>
      </c>
      <c r="I4" s="251" t="s">
        <v>385</v>
      </c>
      <c r="J4" s="251" t="s">
        <v>51</v>
      </c>
      <c r="K4" s="251" t="s">
        <v>195</v>
      </c>
    </row>
    <row r="5" spans="1:19" x14ac:dyDescent="0.25">
      <c r="A5" s="182">
        <v>5</v>
      </c>
      <c r="B5" s="403">
        <v>4</v>
      </c>
      <c r="C5" s="182">
        <v>8</v>
      </c>
      <c r="D5" s="177">
        <v>5</v>
      </c>
      <c r="F5" s="451" t="str">
        <f>A3</f>
        <v>MD</v>
      </c>
      <c r="G5">
        <f>AVERAGE(A4:A15)</f>
        <v>4.25</v>
      </c>
      <c r="H5">
        <f>COUNT(A4:A15)</f>
        <v>12</v>
      </c>
      <c r="I5">
        <f>DEVSQ(A4:A15)</f>
        <v>34.25</v>
      </c>
    </row>
    <row r="6" spans="1:19" x14ac:dyDescent="0.25">
      <c r="A6" s="182">
        <v>6</v>
      </c>
      <c r="B6" s="403">
        <v>3</v>
      </c>
      <c r="C6" s="182">
        <v>6</v>
      </c>
      <c r="D6" s="177">
        <v>3</v>
      </c>
      <c r="F6" s="451" t="str">
        <f>B3</f>
        <v>MC</v>
      </c>
      <c r="G6">
        <f>AVERAGE(B4:B15)</f>
        <v>3.1666666666666665</v>
      </c>
      <c r="H6">
        <f>COUNT(B4:B15)</f>
        <v>12</v>
      </c>
      <c r="I6">
        <f>DEVSQ(B4:B15)</f>
        <v>29.666666666666664</v>
      </c>
    </row>
    <row r="7" spans="1:19" x14ac:dyDescent="0.25">
      <c r="A7" s="182">
        <v>1</v>
      </c>
      <c r="B7" s="403">
        <v>5</v>
      </c>
      <c r="C7" s="182">
        <v>4</v>
      </c>
      <c r="D7" s="177">
        <v>7</v>
      </c>
      <c r="F7" s="451" t="str">
        <f>C3</f>
        <v>WD</v>
      </c>
      <c r="G7">
        <f>AVERAGE(C4:C15)</f>
        <v>5.583333333333333</v>
      </c>
      <c r="H7">
        <f>COUNT(C4:C15)</f>
        <v>12</v>
      </c>
      <c r="I7">
        <f>DEVSQ(C4:C15)</f>
        <v>26.916666666666668</v>
      </c>
    </row>
    <row r="8" spans="1:19" x14ac:dyDescent="0.25">
      <c r="A8" s="182">
        <v>5</v>
      </c>
      <c r="B8" s="403">
        <v>1</v>
      </c>
      <c r="C8" s="182">
        <v>7</v>
      </c>
      <c r="D8" s="177">
        <v>6</v>
      </c>
      <c r="F8" s="451" t="str">
        <f>D3</f>
        <v>WC</v>
      </c>
      <c r="G8">
        <f>AVERAGE(D4:D15)</f>
        <v>3.8333333333333335</v>
      </c>
      <c r="H8">
        <f>COUNT(D4:D15)</f>
        <v>12</v>
      </c>
      <c r="I8">
        <f>DEVSQ(D4:D15)</f>
        <v>29.666666666666664</v>
      </c>
    </row>
    <row r="9" spans="1:19" x14ac:dyDescent="0.25">
      <c r="A9" s="182">
        <v>6</v>
      </c>
      <c r="B9" s="403">
        <v>5</v>
      </c>
      <c r="C9" s="182">
        <v>8</v>
      </c>
      <c r="D9" s="177">
        <v>3</v>
      </c>
      <c r="F9" s="252"/>
      <c r="G9" s="252"/>
      <c r="H9" s="252">
        <f>SUM(H5:H8)</f>
        <v>48</v>
      </c>
      <c r="I9" s="252">
        <f>SUM(I5:I8)</f>
        <v>120.5</v>
      </c>
      <c r="J9" s="252">
        <f>H9-COUNT(H5:H8)</f>
        <v>44</v>
      </c>
      <c r="K9" s="252" t="e">
        <f ca="1">QCRIT(COUNT(H5:H8),J9,J3,2)</f>
        <v>#NAME?</v>
      </c>
    </row>
    <row r="10" spans="1:19" ht="15.75" thickBot="1" x14ac:dyDescent="0.3">
      <c r="A10" s="182">
        <v>4</v>
      </c>
      <c r="B10" s="403">
        <v>2</v>
      </c>
      <c r="C10" s="182">
        <v>5</v>
      </c>
      <c r="D10" s="177">
        <v>2</v>
      </c>
      <c r="F10" t="s">
        <v>478</v>
      </c>
    </row>
    <row r="11" spans="1:19" ht="15.75" thickTop="1" x14ac:dyDescent="0.25">
      <c r="A11" s="182">
        <v>3</v>
      </c>
      <c r="B11" s="403">
        <v>3</v>
      </c>
      <c r="C11" s="182">
        <v>6</v>
      </c>
      <c r="D11" s="177">
        <v>2</v>
      </c>
      <c r="F11" s="251" t="s">
        <v>731</v>
      </c>
      <c r="G11" s="251" t="s">
        <v>732</v>
      </c>
      <c r="H11" s="251" t="s">
        <v>4</v>
      </c>
      <c r="I11" s="251" t="s">
        <v>370</v>
      </c>
      <c r="J11" s="251" t="s">
        <v>477</v>
      </c>
      <c r="K11" s="251" t="s">
        <v>26</v>
      </c>
      <c r="L11" s="251" t="s">
        <v>27</v>
      </c>
      <c r="M11" s="251" t="s">
        <v>56</v>
      </c>
      <c r="N11" s="251" t="s">
        <v>760</v>
      </c>
      <c r="O11" s="251" t="s">
        <v>54</v>
      </c>
      <c r="Q11" s="251" t="s">
        <v>731</v>
      </c>
      <c r="R11" s="251" t="s">
        <v>732</v>
      </c>
      <c r="S11" s="251" t="s">
        <v>56</v>
      </c>
    </row>
    <row r="12" spans="1:19" x14ac:dyDescent="0.25">
      <c r="A12" s="182">
        <v>7</v>
      </c>
      <c r="B12" s="403">
        <v>6</v>
      </c>
      <c r="C12" s="182">
        <v>6</v>
      </c>
      <c r="D12" s="177">
        <v>4</v>
      </c>
      <c r="F12" s="255" t="str">
        <f>F5</f>
        <v>MD</v>
      </c>
      <c r="G12" s="255" t="str">
        <f>F6</f>
        <v>MC</v>
      </c>
      <c r="H12" s="252">
        <f>ABS(G5-G6)</f>
        <v>1.0833333333333335</v>
      </c>
      <c r="I12" s="252">
        <f>SQRT(I9/J9/HARMEAN(H5,H6))</f>
        <v>0.47772345239656905</v>
      </c>
      <c r="J12" s="252">
        <f>H12/I12</f>
        <v>2.2676997076418051</v>
      </c>
      <c r="K12" s="252" t="e">
        <f ca="1">H12-I12*K$9</f>
        <v>#NAME?</v>
      </c>
      <c r="L12" s="252" t="e">
        <f ca="1">H12+I12*K$9</f>
        <v>#NAME?</v>
      </c>
      <c r="M12" s="252" t="e">
        <f t="shared" ref="M12:M17" ca="1" si="0">QDIST(J12,COUNT($H$5:$H$8),J$9)</f>
        <v>#NAME?</v>
      </c>
      <c r="N12" s="252" t="e">
        <f ca="1">I12*K$9</f>
        <v>#NAME?</v>
      </c>
      <c r="O12" s="252">
        <f>H12*SQRT(J$9/I$9)</f>
        <v>0.65462851832411595</v>
      </c>
      <c r="Q12" s="484" t="e">
        <f t="array" aca="1" ref="Q12:S17" ca="1">TUKEY(A4:D15)</f>
        <v>#NAME?</v>
      </c>
      <c r="R12" s="484" t="e">
        <f ca="1"/>
        <v>#NAME?</v>
      </c>
      <c r="S12" t="e">
        <f ca="1"/>
        <v>#NAME?</v>
      </c>
    </row>
    <row r="13" spans="1:19" x14ac:dyDescent="0.25">
      <c r="A13" s="182">
        <v>4</v>
      </c>
      <c r="B13" s="403">
        <v>2</v>
      </c>
      <c r="C13" s="182">
        <v>3</v>
      </c>
      <c r="D13" s="177">
        <v>5</v>
      </c>
      <c r="F13" s="406" t="str">
        <f>F5</f>
        <v>MD</v>
      </c>
      <c r="G13" s="406" t="str">
        <f>F7</f>
        <v>WD</v>
      </c>
      <c r="H13" s="7">
        <f>ABS(G5-G7)</f>
        <v>1.333333333333333</v>
      </c>
      <c r="I13" s="7">
        <f>SQRT(I9/J9/HARMEAN(H5,H7))</f>
        <v>0.47772345239656905</v>
      </c>
      <c r="J13" s="7">
        <f t="shared" ref="J13:J17" si="1">H13/I13</f>
        <v>2.791015024789913</v>
      </c>
      <c r="K13" s="7" t="e">
        <f t="shared" ref="K13:K17" ca="1" si="2">H13-I13*K$9</f>
        <v>#NAME?</v>
      </c>
      <c r="L13" s="7" t="e">
        <f t="shared" ref="L13:L17" ca="1" si="3">H13+I13*K$9</f>
        <v>#NAME?</v>
      </c>
      <c r="M13" s="7" t="e">
        <f t="shared" ca="1" si="0"/>
        <v>#NAME?</v>
      </c>
      <c r="N13" s="7" t="e">
        <f t="shared" ref="N13:N17" ca="1" si="4">I13*K$9</f>
        <v>#NAME?</v>
      </c>
      <c r="O13" s="7">
        <f t="shared" ref="O13:O17" si="5">H13*SQRT(J$9/I$9)</f>
        <v>0.80569663793737312</v>
      </c>
      <c r="Q13" s="484" t="e">
        <f ca="1"/>
        <v>#NAME?</v>
      </c>
      <c r="R13" s="484" t="e">
        <f ca="1"/>
        <v>#NAME?</v>
      </c>
      <c r="S13" t="e">
        <f ca="1"/>
        <v>#NAME?</v>
      </c>
    </row>
    <row r="14" spans="1:19" x14ac:dyDescent="0.25">
      <c r="A14" s="182">
        <v>5</v>
      </c>
      <c r="B14" s="403">
        <v>4</v>
      </c>
      <c r="C14" s="182">
        <v>4</v>
      </c>
      <c r="D14" s="177">
        <v>2</v>
      </c>
      <c r="F14" s="406" t="str">
        <f>F5</f>
        <v>MD</v>
      </c>
      <c r="G14" s="406" t="str">
        <f>F8</f>
        <v>WC</v>
      </c>
      <c r="H14" s="7">
        <f>ABS(G5-G8)</f>
        <v>0.41666666666666652</v>
      </c>
      <c r="I14" s="7">
        <f>SQRT(I9/J9/HARMEAN(H5,H8))</f>
        <v>0.47772345239656905</v>
      </c>
      <c r="J14" s="7">
        <f t="shared" si="1"/>
        <v>0.87219219524684777</v>
      </c>
      <c r="K14" s="7" t="e">
        <f t="shared" ca="1" si="2"/>
        <v>#NAME?</v>
      </c>
      <c r="L14" s="7" t="e">
        <f t="shared" ca="1" si="3"/>
        <v>#NAME?</v>
      </c>
      <c r="M14" s="7" t="e">
        <f t="shared" ca="1" si="0"/>
        <v>#NAME?</v>
      </c>
      <c r="N14" s="7" t="e">
        <f t="shared" ca="1" si="4"/>
        <v>#NAME?</v>
      </c>
      <c r="O14" s="7">
        <f t="shared" si="5"/>
        <v>0.25178019935542906</v>
      </c>
      <c r="Q14" s="484" t="e">
        <f ca="1"/>
        <v>#NAME?</v>
      </c>
      <c r="R14" s="484" t="e">
        <f ca="1"/>
        <v>#NAME?</v>
      </c>
      <c r="S14" t="e">
        <f ca="1"/>
        <v>#NAME?</v>
      </c>
    </row>
    <row r="15" spans="1:19" x14ac:dyDescent="0.25">
      <c r="A15" s="176">
        <v>2</v>
      </c>
      <c r="B15" s="397">
        <v>1</v>
      </c>
      <c r="C15" s="176">
        <v>5</v>
      </c>
      <c r="D15" s="172">
        <v>3</v>
      </c>
      <c r="F15" s="406" t="str">
        <f>F6</f>
        <v>MC</v>
      </c>
      <c r="G15" s="406" t="str">
        <f>F7</f>
        <v>WD</v>
      </c>
      <c r="H15" s="7">
        <f>ABS(G6-G7)</f>
        <v>2.4166666666666665</v>
      </c>
      <c r="I15" s="7">
        <f>SQRT(I9/J9/HARMEAN(H6,H7))</f>
        <v>0.47772345239656905</v>
      </c>
      <c r="J15" s="7">
        <f t="shared" si="1"/>
        <v>5.0587147324317181</v>
      </c>
      <c r="K15" s="7" t="e">
        <f t="shared" ca="1" si="2"/>
        <v>#NAME?</v>
      </c>
      <c r="L15" s="7" t="e">
        <f t="shared" ca="1" si="3"/>
        <v>#NAME?</v>
      </c>
      <c r="M15" s="7" t="e">
        <f t="shared" ca="1" si="0"/>
        <v>#NAME?</v>
      </c>
      <c r="N15" s="7" t="e">
        <f t="shared" ca="1" si="4"/>
        <v>#NAME?</v>
      </c>
      <c r="O15" s="7">
        <f t="shared" si="5"/>
        <v>1.4603251562614892</v>
      </c>
      <c r="Q15" s="484" t="e">
        <f ca="1"/>
        <v>#NAME?</v>
      </c>
      <c r="R15" s="484" t="e">
        <f ca="1"/>
        <v>#NAME?</v>
      </c>
      <c r="S15" t="e">
        <f ca="1"/>
        <v>#NAME?</v>
      </c>
    </row>
    <row r="16" spans="1:19" x14ac:dyDescent="0.25">
      <c r="F16" s="406" t="str">
        <f>F6</f>
        <v>MC</v>
      </c>
      <c r="G16" s="406" t="str">
        <f>F8</f>
        <v>WC</v>
      </c>
      <c r="H16" s="7">
        <f>ABS(G6-G8)</f>
        <v>0.66666666666666696</v>
      </c>
      <c r="I16" s="7">
        <f>SQRT(I9/J9/HARMEAN(H6,H8))</f>
        <v>0.47772345239656905</v>
      </c>
      <c r="J16" s="7">
        <f t="shared" si="1"/>
        <v>1.3955075123949574</v>
      </c>
      <c r="K16" s="7" t="e">
        <f t="shared" ca="1" si="2"/>
        <v>#NAME?</v>
      </c>
      <c r="L16" s="7" t="e">
        <f t="shared" ca="1" si="3"/>
        <v>#NAME?</v>
      </c>
      <c r="M16" s="7" t="e">
        <f t="shared" ca="1" si="0"/>
        <v>#NAME?</v>
      </c>
      <c r="N16" s="7" t="e">
        <f t="shared" ca="1" si="4"/>
        <v>#NAME?</v>
      </c>
      <c r="O16" s="7">
        <f t="shared" si="5"/>
        <v>0.40284831896868684</v>
      </c>
      <c r="Q16" s="484" t="e">
        <f ca="1"/>
        <v>#NAME?</v>
      </c>
      <c r="R16" s="484" t="e">
        <f ca="1"/>
        <v>#NAME?</v>
      </c>
      <c r="S16" t="e">
        <f ca="1"/>
        <v>#NAME?</v>
      </c>
    </row>
    <row r="17" spans="6:19" x14ac:dyDescent="0.25">
      <c r="F17" s="397" t="str">
        <f>F7</f>
        <v>WD</v>
      </c>
      <c r="G17" s="397" t="str">
        <f>F8</f>
        <v>WC</v>
      </c>
      <c r="H17" s="393">
        <f>ABS(G7-G8)</f>
        <v>1.7499999999999996</v>
      </c>
      <c r="I17" s="393">
        <f>SQRT(I9/J9/HARMEAN(H7,H8))</f>
        <v>0.47772345239656905</v>
      </c>
      <c r="J17" s="393">
        <f t="shared" si="1"/>
        <v>3.6632072200367607</v>
      </c>
      <c r="K17" s="393" t="e">
        <f t="shared" ca="1" si="2"/>
        <v>#NAME?</v>
      </c>
      <c r="L17" s="393" t="e">
        <f t="shared" ca="1" si="3"/>
        <v>#NAME?</v>
      </c>
      <c r="M17" s="393" t="e">
        <f t="shared" ca="1" si="0"/>
        <v>#NAME?</v>
      </c>
      <c r="N17" s="393" t="e">
        <f t="shared" ca="1" si="4"/>
        <v>#NAME?</v>
      </c>
      <c r="O17" s="393">
        <f t="shared" si="5"/>
        <v>1.0574768372928023</v>
      </c>
      <c r="Q17" s="486" t="e">
        <f ca="1"/>
        <v>#NAME?</v>
      </c>
      <c r="R17" s="486" t="e">
        <f ca="1"/>
        <v>#NAME?</v>
      </c>
      <c r="S17" s="469" t="e">
        <f ca="1"/>
        <v>#NAME?</v>
      </c>
    </row>
    <row r="19" spans="6:19" x14ac:dyDescent="0.25">
      <c r="Q19" t="e">
        <f ca="1">FTEXT(Q12)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Y17"/>
  <sheetViews>
    <sheetView topLeftCell="A2" workbookViewId="0">
      <selection activeCell="R24" sqref="R24"/>
    </sheetView>
  </sheetViews>
  <sheetFormatPr defaultRowHeight="15" x14ac:dyDescent="0.25"/>
  <cols>
    <col min="1" max="4" width="5.85546875" customWidth="1"/>
    <col min="5" max="5" width="4.140625" customWidth="1"/>
    <col min="6" max="6" width="15.28515625" customWidth="1"/>
    <col min="15" max="15" width="4.42578125" customWidth="1"/>
  </cols>
  <sheetData>
    <row r="1" spans="1:25" x14ac:dyDescent="0.25">
      <c r="A1" s="1" t="s">
        <v>470</v>
      </c>
    </row>
    <row r="3" spans="1:25" ht="15.75" thickBot="1" x14ac:dyDescent="0.3">
      <c r="A3" s="404" t="s">
        <v>411</v>
      </c>
      <c r="B3" s="384" t="s">
        <v>412</v>
      </c>
      <c r="C3" s="404" t="s">
        <v>413</v>
      </c>
      <c r="D3" s="405" t="s">
        <v>414</v>
      </c>
      <c r="F3" t="s">
        <v>126</v>
      </c>
      <c r="P3" t="s">
        <v>701</v>
      </c>
      <c r="S3" t="s">
        <v>70</v>
      </c>
      <c r="T3">
        <v>0.05</v>
      </c>
    </row>
    <row r="4" spans="1:25" ht="15.75" thickTop="1" x14ac:dyDescent="0.25">
      <c r="A4" s="407">
        <v>3</v>
      </c>
      <c r="B4" s="255">
        <v>2</v>
      </c>
      <c r="C4" s="407">
        <v>5</v>
      </c>
      <c r="D4" s="408">
        <v>4</v>
      </c>
      <c r="P4" s="251" t="s">
        <v>757</v>
      </c>
      <c r="Q4" s="251" t="s">
        <v>4</v>
      </c>
      <c r="R4" s="251" t="s">
        <v>28</v>
      </c>
      <c r="S4" s="251" t="s">
        <v>385</v>
      </c>
      <c r="T4" s="251" t="s">
        <v>51</v>
      </c>
      <c r="U4" s="251" t="s">
        <v>195</v>
      </c>
    </row>
    <row r="5" spans="1:25" ht="15.75" thickBot="1" x14ac:dyDescent="0.3">
      <c r="A5" s="182">
        <v>5</v>
      </c>
      <c r="B5" s="406">
        <v>4</v>
      </c>
      <c r="C5" s="182">
        <v>8</v>
      </c>
      <c r="D5" s="177">
        <v>5</v>
      </c>
      <c r="F5" t="s">
        <v>127</v>
      </c>
      <c r="K5" t="s">
        <v>31</v>
      </c>
      <c r="L5">
        <v>0.05</v>
      </c>
      <c r="P5" s="451" t="str">
        <f>A3</f>
        <v>MD</v>
      </c>
      <c r="Q5">
        <f>AVERAGE(A4:A15)</f>
        <v>4.4545454545454541</v>
      </c>
      <c r="R5">
        <f>COUNT(A4:A15)</f>
        <v>11</v>
      </c>
      <c r="S5">
        <f>DEVSQ(A4:A15)</f>
        <v>28.72727272727273</v>
      </c>
    </row>
    <row r="6" spans="1:25" ht="15.75" thickTop="1" x14ac:dyDescent="0.25">
      <c r="A6" s="182">
        <v>6</v>
      </c>
      <c r="B6" s="406">
        <v>3</v>
      </c>
      <c r="C6" s="182">
        <v>6</v>
      </c>
      <c r="D6" s="177">
        <v>3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s="451" t="str">
        <f>B3</f>
        <v>MC</v>
      </c>
      <c r="Q6">
        <f>AVERAGE(B4:B15)</f>
        <v>3.1666666666666665</v>
      </c>
      <c r="R6">
        <f>COUNT(B4:B15)</f>
        <v>12</v>
      </c>
      <c r="S6">
        <f>DEVSQ(B4:B15)</f>
        <v>29.666666666666664</v>
      </c>
    </row>
    <row r="7" spans="1:25" x14ac:dyDescent="0.25">
      <c r="A7" s="182">
        <v>1</v>
      </c>
      <c r="B7" s="406">
        <v>5</v>
      </c>
      <c r="C7" s="182">
        <v>4</v>
      </c>
      <c r="D7" s="177">
        <v>7</v>
      </c>
      <c r="F7" t="str">
        <f>A3</f>
        <v>MD</v>
      </c>
      <c r="G7">
        <f>COUNT(A4:A15)</f>
        <v>11</v>
      </c>
      <c r="H7">
        <f>SUM(A4:A15)</f>
        <v>49</v>
      </c>
      <c r="I7">
        <f>AVERAGE(A4:A15)</f>
        <v>4.4545454545454541</v>
      </c>
      <c r="J7">
        <f>VAR(A4:A15)</f>
        <v>2.8727272727272721</v>
      </c>
      <c r="K7">
        <f>DEVSQ(A4:A15)</f>
        <v>28.72727272727273</v>
      </c>
      <c r="L7">
        <f>SQRT(I15/G7)</f>
        <v>0.48465157484731392</v>
      </c>
      <c r="M7">
        <f>I7-L7*TINV(L5,G7-1)</f>
        <v>3.3746744509518205</v>
      </c>
      <c r="N7">
        <f>I7+L7*TINV(L5,G7-1)</f>
        <v>5.5344164581390878</v>
      </c>
      <c r="P7" s="451" t="str">
        <f>C3</f>
        <v>WD</v>
      </c>
      <c r="Q7">
        <f>AVERAGE(C4:C15)</f>
        <v>6.1111111111111107</v>
      </c>
      <c r="R7">
        <f>COUNT(C4:C15)</f>
        <v>9</v>
      </c>
      <c r="S7">
        <f>DEVSQ(C4:C15)</f>
        <v>14.888888888888886</v>
      </c>
    </row>
    <row r="8" spans="1:25" x14ac:dyDescent="0.25">
      <c r="A8" s="182">
        <v>5</v>
      </c>
      <c r="B8" s="406">
        <v>1</v>
      </c>
      <c r="C8" s="182">
        <v>7</v>
      </c>
      <c r="D8" s="177">
        <v>6</v>
      </c>
      <c r="F8" t="str">
        <f>B3</f>
        <v>MC</v>
      </c>
      <c r="G8">
        <f>COUNT(B4:B15)</f>
        <v>12</v>
      </c>
      <c r="H8">
        <f>SUM(B4:B15)</f>
        <v>38</v>
      </c>
      <c r="I8">
        <f>AVERAGE(B4:B15)</f>
        <v>3.1666666666666665</v>
      </c>
      <c r="J8">
        <f>VAR(B4:B15)</f>
        <v>2.6969696969696972</v>
      </c>
      <c r="K8">
        <f>DEVSQ(B4:B15)</f>
        <v>29.666666666666664</v>
      </c>
      <c r="L8">
        <f>SQRT(I15/G8)</f>
        <v>0.46401855557561816</v>
      </c>
      <c r="M8">
        <f>I8-L8*TINV(L5,G8-1)</f>
        <v>2.1453687118375737</v>
      </c>
      <c r="N8">
        <f>I8+L8*TINV(L5,G8-1)</f>
        <v>4.1879646214957589</v>
      </c>
      <c r="P8" s="451" t="str">
        <f>D3</f>
        <v>WC</v>
      </c>
      <c r="Q8">
        <f>AVERAGE(D4:D15)</f>
        <v>4.0999999999999996</v>
      </c>
      <c r="R8">
        <f>COUNT(D4:D15)</f>
        <v>10</v>
      </c>
      <c r="S8">
        <f>DEVSQ(D4:D15)</f>
        <v>24.900000000000002</v>
      </c>
    </row>
    <row r="9" spans="1:25" x14ac:dyDescent="0.25">
      <c r="A9" s="182">
        <v>6</v>
      </c>
      <c r="B9" s="406">
        <v>5</v>
      </c>
      <c r="C9" s="182">
        <v>8</v>
      </c>
      <c r="D9" s="177">
        <v>3</v>
      </c>
      <c r="F9" t="str">
        <f>C3</f>
        <v>WD</v>
      </c>
      <c r="G9">
        <f>COUNT(C4:C15)</f>
        <v>9</v>
      </c>
      <c r="H9">
        <f>SUM(C4:C15)</f>
        <v>55</v>
      </c>
      <c r="I9">
        <f>AVERAGE(C4:C15)</f>
        <v>6.1111111111111107</v>
      </c>
      <c r="J9">
        <f>VAR(C4:C15)</f>
        <v>1.8611111111111143</v>
      </c>
      <c r="K9">
        <f>DEVSQ(C4:C15)</f>
        <v>14.888888888888886</v>
      </c>
      <c r="L9">
        <f>SQRT(I15/G9)</f>
        <v>0.53580247594112895</v>
      </c>
      <c r="M9">
        <f>I9-L9*TINV(L5,G9-1)</f>
        <v>4.8755483859382363</v>
      </c>
      <c r="N9">
        <f>I9+L9*TINV(L5,G9-1)</f>
        <v>7.3466738362839852</v>
      </c>
      <c r="P9" s="252"/>
      <c r="Q9" s="252"/>
      <c r="R9" s="252">
        <f>SUM(R5:R8)</f>
        <v>42</v>
      </c>
      <c r="S9" s="252">
        <f>SUM(S5:S8)</f>
        <v>98.182828282828282</v>
      </c>
      <c r="T9" s="252">
        <f>R9-COUNT(R5:R8)</f>
        <v>38</v>
      </c>
      <c r="U9" s="252" t="e">
        <f ca="1">QCRIT(COUNT(R5:R8),T9,T3,2)</f>
        <v>#NAME?</v>
      </c>
    </row>
    <row r="10" spans="1:25" ht="15.75" thickBot="1" x14ac:dyDescent="0.3">
      <c r="A10" s="182">
        <v>4</v>
      </c>
      <c r="B10" s="406">
        <v>2</v>
      </c>
      <c r="C10" s="182">
        <v>5</v>
      </c>
      <c r="D10" s="177">
        <v>2</v>
      </c>
      <c r="F10" t="str">
        <f>D3</f>
        <v>WC</v>
      </c>
      <c r="G10">
        <f>COUNT(D4:D15)</f>
        <v>10</v>
      </c>
      <c r="H10">
        <f>SUM(D4:D15)</f>
        <v>41</v>
      </c>
      <c r="I10">
        <f>AVERAGE(D4:D15)</f>
        <v>4.0999999999999996</v>
      </c>
      <c r="J10">
        <f>VAR(D4:D15)</f>
        <v>2.7666666666666675</v>
      </c>
      <c r="K10">
        <f>DEVSQ(D4:D15)</f>
        <v>24.900000000000002</v>
      </c>
      <c r="L10">
        <f>SQRT(I15/G10)</f>
        <v>0.50830685997946135</v>
      </c>
      <c r="M10">
        <f>I10-L10*TINV(L5,G10-1)</f>
        <v>2.9501299957979965</v>
      </c>
      <c r="N10">
        <f>I10+L10*TINV(L5,G10-1)</f>
        <v>5.2498700042020028</v>
      </c>
      <c r="P10" t="s">
        <v>478</v>
      </c>
    </row>
    <row r="11" spans="1:25" ht="15.75" thickTop="1" x14ac:dyDescent="0.25">
      <c r="A11" s="182">
        <v>3</v>
      </c>
      <c r="B11" s="406">
        <v>3</v>
      </c>
      <c r="C11" s="182">
        <v>6</v>
      </c>
      <c r="D11" s="177">
        <v>2</v>
      </c>
      <c r="F11" s="252"/>
      <c r="G11" s="252"/>
      <c r="H11" s="252"/>
      <c r="I11" s="252"/>
      <c r="J11" s="252"/>
      <c r="K11" s="252"/>
      <c r="L11" s="252"/>
      <c r="M11" s="252"/>
      <c r="N11" s="252"/>
      <c r="P11" s="251" t="s">
        <v>731</v>
      </c>
      <c r="Q11" s="251" t="s">
        <v>732</v>
      </c>
      <c r="R11" s="251" t="s">
        <v>4</v>
      </c>
      <c r="S11" s="251" t="s">
        <v>370</v>
      </c>
      <c r="T11" s="251" t="s">
        <v>477</v>
      </c>
      <c r="U11" s="251" t="s">
        <v>26</v>
      </c>
      <c r="V11" s="251" t="s">
        <v>27</v>
      </c>
      <c r="W11" s="251" t="s">
        <v>56</v>
      </c>
      <c r="X11" s="251" t="s">
        <v>760</v>
      </c>
      <c r="Y11" s="251" t="s">
        <v>54</v>
      </c>
    </row>
    <row r="12" spans="1:25" ht="15.75" thickBot="1" x14ac:dyDescent="0.3">
      <c r="A12" s="182">
        <v>7</v>
      </c>
      <c r="B12" s="406">
        <v>6</v>
      </c>
      <c r="C12" s="182">
        <v>6</v>
      </c>
      <c r="D12" s="177">
        <v>4</v>
      </c>
      <c r="F12" t="s">
        <v>101</v>
      </c>
      <c r="P12" s="255" t="str">
        <f>P5</f>
        <v>MD</v>
      </c>
      <c r="Q12" s="255" t="str">
        <f>P6</f>
        <v>MC</v>
      </c>
      <c r="R12" s="252">
        <f>ABS(Q5-Q6)</f>
        <v>1.2878787878787876</v>
      </c>
      <c r="S12" s="252">
        <f>SQRT(S9/T9/HARMEAN(R5,R6))</f>
        <v>0.47444724096598168</v>
      </c>
      <c r="T12" s="252">
        <f t="shared" ref="T12:T17" si="0">R12/S12</f>
        <v>2.714482616142202</v>
      </c>
      <c r="U12" s="252" t="e">
        <f t="shared" ref="U12:U17" ca="1" si="1">R12-S12*U$9</f>
        <v>#NAME?</v>
      </c>
      <c r="V12" s="252" t="e">
        <f t="shared" ref="V12:V17" ca="1" si="2">R12+S12*U$9</f>
        <v>#NAME?</v>
      </c>
      <c r="W12" s="252" t="e">
        <f t="shared" ref="W12:W17" ca="1" si="3">QDIST(T12,COUNT($R$5:$R$8),T$9)</f>
        <v>#NAME?</v>
      </c>
      <c r="X12" s="252" t="e">
        <f t="shared" ref="X12:X17" ca="1" si="4">S12*U$9</f>
        <v>#NAME?</v>
      </c>
      <c r="Y12" s="252">
        <f t="shared" ref="Y12:Y17" si="5">R12*SQRT(T$9/S$9)</f>
        <v>0.80121490394176076</v>
      </c>
    </row>
    <row r="13" spans="1:25" ht="15.75" thickTop="1" x14ac:dyDescent="0.25">
      <c r="A13" s="182">
        <v>4</v>
      </c>
      <c r="B13" s="406">
        <v>2</v>
      </c>
      <c r="C13" s="182"/>
      <c r="D13" s="177">
        <v>5</v>
      </c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878</v>
      </c>
      <c r="M13" s="251" t="s">
        <v>383</v>
      </c>
      <c r="N13" s="251" t="s">
        <v>384</v>
      </c>
      <c r="P13" s="406" t="str">
        <f>P5</f>
        <v>MD</v>
      </c>
      <c r="Q13" s="406" t="str">
        <f>P7</f>
        <v>WD</v>
      </c>
      <c r="R13" s="7">
        <f>ABS(Q5-Q7)</f>
        <v>1.6565656565656566</v>
      </c>
      <c r="S13" s="7">
        <f>SQRT(S9/T9/HARMEAN(R5,R7))</f>
        <v>0.51086761603502806</v>
      </c>
      <c r="T13" s="7">
        <f t="shared" si="0"/>
        <v>3.2426515296128553</v>
      </c>
      <c r="U13" s="7" t="e">
        <f t="shared" ca="1" si="1"/>
        <v>#NAME?</v>
      </c>
      <c r="V13" s="7" t="e">
        <f t="shared" ca="1" si="2"/>
        <v>#NAME?</v>
      </c>
      <c r="W13" s="7" t="e">
        <f t="shared" ca="1" si="3"/>
        <v>#NAME?</v>
      </c>
      <c r="X13" s="7" t="e">
        <f t="shared" ca="1" si="4"/>
        <v>#NAME?</v>
      </c>
      <c r="Y13" s="7">
        <f t="shared" si="5"/>
        <v>1.0305823078152845</v>
      </c>
    </row>
    <row r="14" spans="1:25" x14ac:dyDescent="0.25">
      <c r="A14" s="182">
        <v>5</v>
      </c>
      <c r="B14" s="406">
        <v>4</v>
      </c>
      <c r="C14" s="182"/>
      <c r="D14" s="177"/>
      <c r="F14" t="s">
        <v>131</v>
      </c>
      <c r="G14">
        <f>G16-G15</f>
        <v>45.4600288600288</v>
      </c>
      <c r="H14">
        <f>COUNTA(F7:F10)-1</f>
        <v>3</v>
      </c>
      <c r="I14">
        <f>G14/H14</f>
        <v>15.153342953342934</v>
      </c>
      <c r="J14">
        <f>I14/I15</f>
        <v>5.8648446199603006</v>
      </c>
      <c r="K14">
        <f>FDIST(J14,H14,H15)</f>
        <v>2.1504945159401918E-3</v>
      </c>
      <c r="L14">
        <f>G14/G16</f>
        <v>0.31647956441591418</v>
      </c>
      <c r="M14">
        <f>SQRT(DEVSQ(I7:I10)/(I15*H14))</f>
        <v>0.76434653581314205</v>
      </c>
      <c r="N14">
        <f>(G16-H16*I15)/(G16+I15)</f>
        <v>0.25787885975021291</v>
      </c>
      <c r="P14" s="406" t="str">
        <f>P5</f>
        <v>MD</v>
      </c>
      <c r="Q14" s="406" t="str">
        <f>P8</f>
        <v>WC</v>
      </c>
      <c r="R14" s="7">
        <f>ABS(Q5-Q8)</f>
        <v>0.3545454545454545</v>
      </c>
      <c r="S14" s="7">
        <f>SQRT(S9/T9/HARMEAN(R5,R8))</f>
        <v>0.49662008261052087</v>
      </c>
      <c r="T14" s="7">
        <f t="shared" si="0"/>
        <v>0.71391686917242569</v>
      </c>
      <c r="U14" s="7" t="e">
        <f t="shared" ca="1" si="1"/>
        <v>#NAME?</v>
      </c>
      <c r="V14" s="7" t="e">
        <f t="shared" ca="1" si="2"/>
        <v>#NAME?</v>
      </c>
      <c r="W14" s="7" t="e">
        <f t="shared" ca="1" si="3"/>
        <v>#NAME?</v>
      </c>
      <c r="X14" s="7" t="e">
        <f t="shared" ca="1" si="4"/>
        <v>#NAME?</v>
      </c>
      <c r="Y14" s="7">
        <f t="shared" si="5"/>
        <v>0.22056975002632001</v>
      </c>
    </row>
    <row r="15" spans="1:25" x14ac:dyDescent="0.25">
      <c r="A15" s="176"/>
      <c r="B15" s="397">
        <v>1</v>
      </c>
      <c r="C15" s="176"/>
      <c r="D15" s="172"/>
      <c r="F15" t="s">
        <v>132</v>
      </c>
      <c r="G15">
        <f>SUM(K7:K10)</f>
        <v>98.182828282828282</v>
      </c>
      <c r="H15">
        <f>H16-H14</f>
        <v>38</v>
      </c>
      <c r="I15">
        <f>G15/H15</f>
        <v>2.5837586390217968</v>
      </c>
      <c r="P15" s="406" t="str">
        <f>P6</f>
        <v>MC</v>
      </c>
      <c r="Q15" s="406" t="str">
        <f>P7</f>
        <v>WD</v>
      </c>
      <c r="R15" s="7">
        <f>ABS(Q6-Q7)</f>
        <v>2.9444444444444442</v>
      </c>
      <c r="S15" s="7">
        <f>SQRT(S9/T9/HARMEAN(R6,R7))</f>
        <v>0.50119732298922304</v>
      </c>
      <c r="T15" s="7">
        <f t="shared" si="0"/>
        <v>5.8748207729508506</v>
      </c>
      <c r="U15" s="7" t="e">
        <f t="shared" ca="1" si="1"/>
        <v>#NAME?</v>
      </c>
      <c r="V15" s="7" t="e">
        <f t="shared" ca="1" si="2"/>
        <v>#NAME?</v>
      </c>
      <c r="W15" s="7" t="e">
        <f t="shared" ca="1" si="3"/>
        <v>#NAME?</v>
      </c>
      <c r="X15" s="7" t="e">
        <f t="shared" ca="1" si="4"/>
        <v>#NAME?</v>
      </c>
      <c r="Y15" s="7">
        <f t="shared" si="5"/>
        <v>1.8317972117570454</v>
      </c>
    </row>
    <row r="16" spans="1:25" x14ac:dyDescent="0.25">
      <c r="F16" s="393" t="s">
        <v>1</v>
      </c>
      <c r="G16" s="393">
        <f>DEVSQ(A4:D15)</f>
        <v>143.64285714285708</v>
      </c>
      <c r="H16" s="393">
        <f>COUNT(A4:D15)-1</f>
        <v>41</v>
      </c>
      <c r="I16" s="393">
        <f>G16/H16</f>
        <v>3.5034843205574897</v>
      </c>
      <c r="J16" s="393"/>
      <c r="K16" s="393"/>
      <c r="L16" s="393"/>
      <c r="M16" s="393"/>
      <c r="N16" s="393"/>
      <c r="P16" s="406" t="str">
        <f>P6</f>
        <v>MC</v>
      </c>
      <c r="Q16" s="406" t="str">
        <f>P8</f>
        <v>WC</v>
      </c>
      <c r="R16" s="7">
        <f>ABS(Q6-Q8)</f>
        <v>0.93333333333333313</v>
      </c>
      <c r="S16" s="7">
        <f>SQRT(S9/T9/HARMEAN(R6,R8))</f>
        <v>0.4866667668028416</v>
      </c>
      <c r="T16" s="7">
        <f t="shared" si="0"/>
        <v>1.9178078245713561</v>
      </c>
      <c r="U16" s="7" t="e">
        <f t="shared" ca="1" si="1"/>
        <v>#NAME?</v>
      </c>
      <c r="V16" s="7" t="e">
        <f t="shared" ca="1" si="2"/>
        <v>#NAME?</v>
      </c>
      <c r="W16" s="7" t="e">
        <f t="shared" ca="1" si="3"/>
        <v>#NAME?</v>
      </c>
      <c r="X16" s="7" t="e">
        <f t="shared" ca="1" si="4"/>
        <v>#NAME?</v>
      </c>
      <c r="Y16" s="7">
        <f t="shared" si="5"/>
        <v>0.58064515391544069</v>
      </c>
    </row>
    <row r="17" spans="16:25" x14ac:dyDescent="0.25">
      <c r="P17" s="397" t="str">
        <f>P7</f>
        <v>WD</v>
      </c>
      <c r="Q17" s="397" t="str">
        <f>P8</f>
        <v>WC</v>
      </c>
      <c r="R17" s="393">
        <f>ABS(Q7-Q8)</f>
        <v>2.0111111111111111</v>
      </c>
      <c r="S17" s="393">
        <f>SQRT(S9/T9/HARMEAN(R7,R8))</f>
        <v>0.52223565424376373</v>
      </c>
      <c r="T17" s="393">
        <f t="shared" si="0"/>
        <v>3.8509647795368362</v>
      </c>
      <c r="U17" s="393" t="e">
        <f t="shared" ca="1" si="1"/>
        <v>#NAME?</v>
      </c>
      <c r="V17" s="393" t="e">
        <f t="shared" ca="1" si="2"/>
        <v>#NAME?</v>
      </c>
      <c r="W17" s="393" t="e">
        <f t="shared" ca="1" si="3"/>
        <v>#NAME?</v>
      </c>
      <c r="X17" s="393" t="e">
        <f t="shared" ca="1" si="4"/>
        <v>#NAME?</v>
      </c>
      <c r="Y17" s="393">
        <f t="shared" si="5"/>
        <v>1.2511520578416047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17"/>
  <sheetViews>
    <sheetView workbookViewId="0"/>
  </sheetViews>
  <sheetFormatPr defaultRowHeight="15" x14ac:dyDescent="0.25"/>
  <cols>
    <col min="1" max="4" width="6.7109375" customWidth="1"/>
    <col min="18" max="18" width="10" customWidth="1"/>
    <col min="20" max="20" width="3.7109375" customWidth="1"/>
    <col min="21" max="21" width="26.28515625" customWidth="1"/>
  </cols>
  <sheetData>
    <row r="1" spans="1:16" x14ac:dyDescent="0.25">
      <c r="A1" s="1" t="s">
        <v>485</v>
      </c>
    </row>
    <row r="3" spans="1:16" ht="15.75" thickBot="1" x14ac:dyDescent="0.3">
      <c r="A3" s="431" t="s">
        <v>411</v>
      </c>
      <c r="B3" s="433" t="s">
        <v>412</v>
      </c>
      <c r="C3" s="431" t="s">
        <v>413</v>
      </c>
      <c r="D3" s="432" t="s">
        <v>414</v>
      </c>
      <c r="F3" t="s">
        <v>702</v>
      </c>
      <c r="H3" s="434" t="s">
        <v>70</v>
      </c>
      <c r="I3">
        <v>0.05</v>
      </c>
    </row>
    <row r="4" spans="1:16" ht="15.75" thickTop="1" x14ac:dyDescent="0.25">
      <c r="A4" s="407">
        <v>3</v>
      </c>
      <c r="B4" s="255">
        <v>2</v>
      </c>
      <c r="C4" s="407">
        <v>5</v>
      </c>
      <c r="D4" s="408">
        <v>4</v>
      </c>
      <c r="F4" s="251" t="s">
        <v>757</v>
      </c>
      <c r="G4" s="251" t="s">
        <v>4</v>
      </c>
      <c r="H4" s="251" t="s">
        <v>666</v>
      </c>
      <c r="I4" s="251" t="s">
        <v>376</v>
      </c>
    </row>
    <row r="5" spans="1:16" x14ac:dyDescent="0.25">
      <c r="A5" s="182">
        <v>5</v>
      </c>
      <c r="B5" s="406">
        <v>4</v>
      </c>
      <c r="C5" s="182">
        <v>8</v>
      </c>
      <c r="D5" s="177">
        <v>5</v>
      </c>
      <c r="F5" s="451" t="str">
        <f>A3</f>
        <v>MD</v>
      </c>
      <c r="G5">
        <f>AVERAGE(A4:A15)</f>
        <v>4.4545454545454541</v>
      </c>
      <c r="H5">
        <f>COUNT(A4:A15)</f>
        <v>11</v>
      </c>
      <c r="I5">
        <f>VAR(A4:A15)</f>
        <v>2.8727272727272721</v>
      </c>
    </row>
    <row r="6" spans="1:16" x14ac:dyDescent="0.25">
      <c r="A6" s="182">
        <v>6</v>
      </c>
      <c r="B6" s="406">
        <v>3</v>
      </c>
      <c r="C6" s="182">
        <v>6</v>
      </c>
      <c r="D6" s="177">
        <v>3</v>
      </c>
      <c r="F6" s="451" t="str">
        <f>B3</f>
        <v>MC</v>
      </c>
      <c r="G6">
        <f>AVERAGE(B4:B15)</f>
        <v>3.1666666666666665</v>
      </c>
      <c r="H6">
        <f>COUNT(B4:B15)</f>
        <v>12</v>
      </c>
      <c r="I6">
        <f>VAR(B4:B15)</f>
        <v>2.6969696969696972</v>
      </c>
    </row>
    <row r="7" spans="1:16" x14ac:dyDescent="0.25">
      <c r="A7" s="182">
        <v>1</v>
      </c>
      <c r="B7" s="406">
        <v>5</v>
      </c>
      <c r="C7" s="182">
        <v>4</v>
      </c>
      <c r="D7" s="177">
        <v>7</v>
      </c>
      <c r="F7" s="451" t="str">
        <f>C3</f>
        <v>WD</v>
      </c>
      <c r="G7">
        <f>AVERAGE(C4:C15)</f>
        <v>6.1111111111111107</v>
      </c>
      <c r="H7">
        <f>COUNT(C4:C15)</f>
        <v>9</v>
      </c>
      <c r="I7">
        <f>VAR(C4:C15)</f>
        <v>1.8611111111111143</v>
      </c>
    </row>
    <row r="8" spans="1:16" x14ac:dyDescent="0.25">
      <c r="A8" s="182">
        <v>5</v>
      </c>
      <c r="B8" s="406">
        <v>1</v>
      </c>
      <c r="C8" s="182">
        <v>7</v>
      </c>
      <c r="D8" s="177">
        <v>6</v>
      </c>
      <c r="F8" s="451" t="str">
        <f>D3</f>
        <v>WC</v>
      </c>
      <c r="G8">
        <f>AVERAGE(D4:D15)</f>
        <v>4.0999999999999996</v>
      </c>
      <c r="H8">
        <f>COUNT(D4:D15)</f>
        <v>10</v>
      </c>
      <c r="I8">
        <f>VAR(D4:D15)</f>
        <v>2.7666666666666675</v>
      </c>
    </row>
    <row r="9" spans="1:16" x14ac:dyDescent="0.25">
      <c r="A9" s="182">
        <v>6</v>
      </c>
      <c r="B9" s="406">
        <v>5</v>
      </c>
      <c r="C9" s="182">
        <v>8</v>
      </c>
      <c r="D9" s="177">
        <v>3</v>
      </c>
      <c r="F9" s="252"/>
      <c r="G9" s="252"/>
      <c r="H9" s="252"/>
      <c r="I9" s="252"/>
    </row>
    <row r="10" spans="1:16" ht="15.75" thickBot="1" x14ac:dyDescent="0.3">
      <c r="A10" s="182">
        <v>4</v>
      </c>
      <c r="B10" s="406">
        <v>2</v>
      </c>
      <c r="C10" s="182">
        <v>5</v>
      </c>
      <c r="D10" s="177">
        <v>2</v>
      </c>
      <c r="F10" t="s">
        <v>478</v>
      </c>
    </row>
    <row r="11" spans="1:16" ht="15.75" thickTop="1" x14ac:dyDescent="0.25">
      <c r="A11" s="182">
        <v>3</v>
      </c>
      <c r="B11" s="406">
        <v>3</v>
      </c>
      <c r="C11" s="182">
        <v>6</v>
      </c>
      <c r="D11" s="177">
        <v>2</v>
      </c>
      <c r="F11" s="251" t="s">
        <v>731</v>
      </c>
      <c r="G11" s="251" t="s">
        <v>732</v>
      </c>
      <c r="H11" s="251" t="s">
        <v>4</v>
      </c>
      <c r="I11" s="251" t="s">
        <v>370</v>
      </c>
      <c r="J11" s="251" t="s">
        <v>477</v>
      </c>
      <c r="K11" s="251" t="s">
        <v>51</v>
      </c>
      <c r="L11" s="251" t="s">
        <v>195</v>
      </c>
      <c r="M11" s="251" t="s">
        <v>26</v>
      </c>
      <c r="N11" s="251" t="s">
        <v>27</v>
      </c>
      <c r="O11" s="251" t="s">
        <v>56</v>
      </c>
      <c r="P11" s="251" t="s">
        <v>760</v>
      </c>
    </row>
    <row r="12" spans="1:16" x14ac:dyDescent="0.25">
      <c r="A12" s="182">
        <v>7</v>
      </c>
      <c r="B12" s="406">
        <v>6</v>
      </c>
      <c r="C12" s="182">
        <v>6</v>
      </c>
      <c r="D12" s="177">
        <v>4</v>
      </c>
      <c r="F12" s="255" t="str">
        <f>F5</f>
        <v>MD</v>
      </c>
      <c r="G12" s="255" t="str">
        <f>F6</f>
        <v>MC</v>
      </c>
      <c r="H12" s="252">
        <f>ABS(G5-G6)</f>
        <v>1.2878787878787876</v>
      </c>
      <c r="I12" s="252">
        <f>SQRT((I5/H5+I6/H6)/2)</f>
        <v>0.49290186626795357</v>
      </c>
      <c r="J12" s="252">
        <f>H12/I12</f>
        <v>2.6128502974234329</v>
      </c>
      <c r="K12" s="252">
        <f>4*I12^4/((I5/H5)^2/(H5-1)+(I6/H6)^2/(H6-1))</f>
        <v>20.688579600885134</v>
      </c>
      <c r="L12" s="252" t="e">
        <f ca="1">QCRIT(COUNT(H5:H8),K12,I3,2)</f>
        <v>#NAME?</v>
      </c>
      <c r="M12" s="252" t="e">
        <f ca="1">H12-I12*L12</f>
        <v>#NAME?</v>
      </c>
      <c r="N12" s="252" t="e">
        <f ca="1">H12+I12*L12</f>
        <v>#NAME?</v>
      </c>
      <c r="O12" s="252" t="e">
        <f t="shared" ref="O12:O17" ca="1" si="0">QDIST(J12,COUNT(H$5:H$8),K12)</f>
        <v>#NAME?</v>
      </c>
      <c r="P12" s="252" t="e">
        <f ca="1">I12*L12</f>
        <v>#NAME?</v>
      </c>
    </row>
    <row r="13" spans="1:16" x14ac:dyDescent="0.25">
      <c r="A13" s="182">
        <v>4</v>
      </c>
      <c r="B13" s="406">
        <v>2</v>
      </c>
      <c r="C13" s="182"/>
      <c r="D13" s="177">
        <v>5</v>
      </c>
      <c r="F13" s="406" t="str">
        <f>F5</f>
        <v>MD</v>
      </c>
      <c r="G13" s="406" t="str">
        <f>F7</f>
        <v>WD</v>
      </c>
      <c r="H13" s="7">
        <f>ABS(G5-G7)</f>
        <v>1.6565656565656566</v>
      </c>
      <c r="I13" s="7">
        <f>SQRT((I5/H5+I7/H7)/2)</f>
        <v>0.48370814974020176</v>
      </c>
      <c r="J13" s="7">
        <f t="shared" ref="J13:J17" si="1">H13/I13</f>
        <v>3.4247214099150347</v>
      </c>
      <c r="K13" s="7">
        <f>4*I13^4/((I5/H5)^2/(H5-1)+(I7/H7)^2/(H7-1))</f>
        <v>17.99953142913548</v>
      </c>
      <c r="L13" s="7" t="e">
        <f ca="1">QCRIT(COUNT(H5:H8),K13,I3,2)</f>
        <v>#NAME?</v>
      </c>
      <c r="M13" s="7" t="e">
        <f t="shared" ref="M13:M17" ca="1" si="2">H13-I13*L13</f>
        <v>#NAME?</v>
      </c>
      <c r="N13" s="7" t="e">
        <f t="shared" ref="N13:N17" ca="1" si="3">H13+I13*L13</f>
        <v>#NAME?</v>
      </c>
      <c r="O13" s="7" t="e">
        <f t="shared" ca="1" si="0"/>
        <v>#NAME?</v>
      </c>
      <c r="P13" s="7" t="e">
        <f t="shared" ref="P13:P17" ca="1" si="4">I13*L13</f>
        <v>#NAME?</v>
      </c>
    </row>
    <row r="14" spans="1:16" x14ac:dyDescent="0.25">
      <c r="A14" s="182">
        <v>5</v>
      </c>
      <c r="B14" s="406">
        <v>4</v>
      </c>
      <c r="C14" s="182"/>
      <c r="D14" s="177"/>
      <c r="F14" s="406" t="str">
        <f>F5</f>
        <v>MD</v>
      </c>
      <c r="G14" s="406" t="str">
        <f>F8</f>
        <v>WC</v>
      </c>
      <c r="H14" s="7">
        <f>ABS(G5-G8)</f>
        <v>0.3545454545454545</v>
      </c>
      <c r="I14" s="7">
        <f>SQRT((I5/H5+I8/H8)/2)</f>
        <v>0.51856710822228935</v>
      </c>
      <c r="J14" s="7">
        <f t="shared" si="1"/>
        <v>0.68370216491531655</v>
      </c>
      <c r="K14" s="7">
        <f>4*I14^4/((I5/H5)^2/(H5-1)+(I8/H8)^2/(H8-1))</f>
        <v>18.874377926517997</v>
      </c>
      <c r="L14" s="7" t="e">
        <f ca="1">QCRIT(COUNT(H5:H8),K14,I3,2)</f>
        <v>#NAME?</v>
      </c>
      <c r="M14" s="7" t="e">
        <f t="shared" ca="1" si="2"/>
        <v>#NAME?</v>
      </c>
      <c r="N14" s="7" t="e">
        <f t="shared" ca="1" si="3"/>
        <v>#NAME?</v>
      </c>
      <c r="O14" s="7" t="e">
        <f t="shared" ca="1" si="0"/>
        <v>#NAME?</v>
      </c>
      <c r="P14" s="7" t="e">
        <f t="shared" ca="1" si="4"/>
        <v>#NAME?</v>
      </c>
    </row>
    <row r="15" spans="1:16" x14ac:dyDescent="0.25">
      <c r="A15" s="176"/>
      <c r="B15" s="397">
        <v>1</v>
      </c>
      <c r="C15" s="176"/>
      <c r="D15" s="172"/>
      <c r="F15" s="406" t="str">
        <f>F6</f>
        <v>MC</v>
      </c>
      <c r="G15" s="406" t="str">
        <f>F7</f>
        <v>WD</v>
      </c>
      <c r="H15" s="7">
        <f>ABS(G6-G7)</f>
        <v>2.9444444444444442</v>
      </c>
      <c r="I15" s="7">
        <f>SQRT((I6/H6+I7/H7)/2)</f>
        <v>0.46450920238692006</v>
      </c>
      <c r="J15" s="7">
        <f t="shared" si="1"/>
        <v>6.3388290895296926</v>
      </c>
      <c r="K15" s="7">
        <f>4*I15^4/((I6/H6)^2/(H6-1)+(I7/H7)^2/(H7-1))</f>
        <v>18.740125356656808</v>
      </c>
      <c r="L15" s="7" t="e">
        <f ca="1">QCRIT(COUNT(H5:H8),K15,I3,2)</f>
        <v>#NAME?</v>
      </c>
      <c r="M15" s="7" t="e">
        <f t="shared" ca="1" si="2"/>
        <v>#NAME?</v>
      </c>
      <c r="N15" s="7" t="e">
        <f t="shared" ca="1" si="3"/>
        <v>#NAME?</v>
      </c>
      <c r="O15" s="7" t="e">
        <f t="shared" ca="1" si="0"/>
        <v>#NAME?</v>
      </c>
      <c r="P15" s="7" t="e">
        <f t="shared" ca="1" si="4"/>
        <v>#NAME?</v>
      </c>
    </row>
    <row r="16" spans="1:16" x14ac:dyDescent="0.25">
      <c r="F16" s="406" t="str">
        <f>F6</f>
        <v>MC</v>
      </c>
      <c r="G16" s="406" t="str">
        <f>F8</f>
        <v>WC</v>
      </c>
      <c r="H16" s="7">
        <f>ABS(G6-G8)</f>
        <v>0.93333333333333313</v>
      </c>
      <c r="I16" s="7">
        <f>SQRT((I6/H6+I8/H8)/2)</f>
        <v>0.50070657146383724</v>
      </c>
      <c r="J16" s="7">
        <f t="shared" si="1"/>
        <v>1.8640325222908358</v>
      </c>
      <c r="K16" s="7">
        <f>4*I16^4/((I6/H6)^2/(H6-1)+(I8/H8)^2/(H8-1))</f>
        <v>19.196634759888962</v>
      </c>
      <c r="L16" s="7" t="e">
        <f ca="1">QCRIT(COUNT(H5:H8),K16,I3,2)</f>
        <v>#NAME?</v>
      </c>
      <c r="M16" s="7" t="e">
        <f t="shared" ca="1" si="2"/>
        <v>#NAME?</v>
      </c>
      <c r="N16" s="7" t="e">
        <f t="shared" ca="1" si="3"/>
        <v>#NAME?</v>
      </c>
      <c r="O16" s="7" t="e">
        <f t="shared" ca="1" si="0"/>
        <v>#NAME?</v>
      </c>
      <c r="P16" s="7" t="e">
        <f t="shared" ca="1" si="4"/>
        <v>#NAME?</v>
      </c>
    </row>
    <row r="17" spans="6:21" x14ac:dyDescent="0.25">
      <c r="F17" s="397" t="str">
        <f>F7</f>
        <v>WD</v>
      </c>
      <c r="G17" s="397" t="str">
        <f>F8</f>
        <v>WC</v>
      </c>
      <c r="H17" s="393">
        <f>ABS(G7-G8)</f>
        <v>2.0111111111111111</v>
      </c>
      <c r="I17" s="393">
        <f>SQRT((I7/H7+I8/H8)/2)</f>
        <v>0.49165881977416881</v>
      </c>
      <c r="J17" s="393">
        <f t="shared" si="1"/>
        <v>4.0904607630853951</v>
      </c>
      <c r="K17" s="393">
        <f>4*I17^4/((I7/H7)^2/(H7-1)+(I8/H8)^2/(H8-1))</f>
        <v>16.875593026779523</v>
      </c>
      <c r="L17" s="393" t="e">
        <f ca="1">QCRIT(COUNT(H5:H8),K17,I3,2)</f>
        <v>#NAME?</v>
      </c>
      <c r="M17" s="393" t="e">
        <f t="shared" ca="1" si="2"/>
        <v>#NAME?</v>
      </c>
      <c r="N17" s="393" t="e">
        <f t="shared" ca="1" si="3"/>
        <v>#NAME?</v>
      </c>
      <c r="O17" s="393" t="e">
        <f t="shared" ca="1" si="0"/>
        <v>#NAME?</v>
      </c>
      <c r="P17" s="393" t="e">
        <f t="shared" ca="1" si="4"/>
        <v>#NAME?</v>
      </c>
      <c r="R17" t="s">
        <v>761</v>
      </c>
      <c r="S17" s="187" t="e">
        <f ca="1">DF_POOLED(C4:C15,D4:D15)</f>
        <v>#NAME?</v>
      </c>
      <c r="U17" t="e">
        <f ca="1">FTEXT(S17)</f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23"/>
  <sheetViews>
    <sheetView workbookViewId="0"/>
  </sheetViews>
  <sheetFormatPr defaultRowHeight="15" x14ac:dyDescent="0.25"/>
  <cols>
    <col min="1" max="4" width="7.140625" customWidth="1"/>
    <col min="5" max="5" width="5.140625" customWidth="1"/>
    <col min="6" max="6" width="17.140625" customWidth="1"/>
    <col min="7" max="12" width="8.28515625" customWidth="1"/>
    <col min="13" max="13" width="9.5703125" customWidth="1"/>
    <col min="14" max="14" width="15.42578125" customWidth="1"/>
    <col min="16" max="16" width="5.140625" customWidth="1"/>
    <col min="17" max="17" width="12.140625" customWidth="1"/>
  </cols>
  <sheetData>
    <row r="1" spans="1:23" x14ac:dyDescent="0.25">
      <c r="A1" s="1" t="s">
        <v>200</v>
      </c>
    </row>
    <row r="3" spans="1:23" x14ac:dyDescent="0.25">
      <c r="A3" s="567" t="s">
        <v>108</v>
      </c>
      <c r="B3" s="567"/>
      <c r="C3" s="567" t="s">
        <v>109</v>
      </c>
      <c r="D3" s="567"/>
      <c r="E3" s="406"/>
      <c r="F3" t="s">
        <v>133</v>
      </c>
      <c r="M3" s="406"/>
      <c r="N3" t="s">
        <v>199</v>
      </c>
      <c r="Q3" t="s">
        <v>48</v>
      </c>
      <c r="R3" s="252">
        <v>4</v>
      </c>
      <c r="S3" s="252">
        <v>4</v>
      </c>
      <c r="T3" s="252">
        <v>4</v>
      </c>
      <c r="U3" s="252">
        <v>4</v>
      </c>
      <c r="V3" s="252">
        <v>4</v>
      </c>
      <c r="W3" s="252">
        <v>4</v>
      </c>
    </row>
    <row r="4" spans="1:23" ht="15.75" thickBot="1" x14ac:dyDescent="0.3">
      <c r="A4" s="436" t="s">
        <v>66</v>
      </c>
      <c r="B4" s="333" t="s">
        <v>65</v>
      </c>
      <c r="C4" s="436" t="s">
        <v>66</v>
      </c>
      <c r="D4" s="437" t="s">
        <v>65</v>
      </c>
      <c r="E4" s="406"/>
      <c r="M4" s="406"/>
      <c r="N4" s="406"/>
      <c r="O4" s="406"/>
      <c r="Q4" t="s">
        <v>762</v>
      </c>
      <c r="R4" s="7">
        <v>1</v>
      </c>
      <c r="S4" s="7">
        <v>1</v>
      </c>
      <c r="T4" s="7">
        <v>2</v>
      </c>
      <c r="U4" s="7">
        <v>1</v>
      </c>
      <c r="V4" s="7">
        <v>2</v>
      </c>
      <c r="W4" s="7">
        <v>3</v>
      </c>
    </row>
    <row r="5" spans="1:23" ht="15.75" thickBot="1" x14ac:dyDescent="0.3">
      <c r="A5" s="438">
        <v>3</v>
      </c>
      <c r="B5" s="255">
        <v>2</v>
      </c>
      <c r="C5" s="438">
        <v>5</v>
      </c>
      <c r="D5" s="408">
        <v>4</v>
      </c>
      <c r="E5" s="406"/>
      <c r="F5" t="s">
        <v>52</v>
      </c>
      <c r="M5" s="406"/>
      <c r="N5" s="391" t="s">
        <v>61</v>
      </c>
      <c r="O5" s="391" t="s">
        <v>7</v>
      </c>
      <c r="Q5" t="s">
        <v>763</v>
      </c>
      <c r="R5" s="7">
        <v>4</v>
      </c>
      <c r="S5" s="7">
        <v>3</v>
      </c>
      <c r="T5" s="7">
        <v>4</v>
      </c>
      <c r="U5" s="7">
        <v>2</v>
      </c>
      <c r="V5" s="7">
        <v>3</v>
      </c>
      <c r="W5" s="7">
        <v>4</v>
      </c>
    </row>
    <row r="6" spans="1:23" x14ac:dyDescent="0.25">
      <c r="A6" s="107">
        <v>5</v>
      </c>
      <c r="B6" s="406">
        <v>4</v>
      </c>
      <c r="C6" s="107">
        <v>8</v>
      </c>
      <c r="D6" s="177">
        <v>5</v>
      </c>
      <c r="E6" s="406"/>
      <c r="F6" s="391" t="s">
        <v>61</v>
      </c>
      <c r="G6" s="391" t="s">
        <v>19</v>
      </c>
      <c r="H6" s="391" t="s">
        <v>18</v>
      </c>
      <c r="I6" s="391" t="s">
        <v>134</v>
      </c>
      <c r="J6" s="391" t="s">
        <v>62</v>
      </c>
      <c r="M6" s="406"/>
      <c r="N6" s="17" t="s">
        <v>184</v>
      </c>
      <c r="O6" s="17">
        <v>5.583333333333333</v>
      </c>
      <c r="Q6" t="s">
        <v>68</v>
      </c>
      <c r="R6" s="224">
        <f t="shared" ref="R6:W6" si="0">R5-R4+1</f>
        <v>4</v>
      </c>
      <c r="S6" s="224">
        <f t="shared" si="0"/>
        <v>3</v>
      </c>
      <c r="T6" s="224">
        <f t="shared" si="0"/>
        <v>3</v>
      </c>
      <c r="U6" s="224">
        <f t="shared" si="0"/>
        <v>2</v>
      </c>
      <c r="V6" s="224">
        <f t="shared" si="0"/>
        <v>2</v>
      </c>
      <c r="W6" s="224">
        <f t="shared" si="0"/>
        <v>2</v>
      </c>
    </row>
    <row r="7" spans="1:23" x14ac:dyDescent="0.25">
      <c r="A7" s="107">
        <v>6</v>
      </c>
      <c r="B7" s="406">
        <v>3</v>
      </c>
      <c r="C7" s="107">
        <v>6</v>
      </c>
      <c r="D7" s="177">
        <v>3</v>
      </c>
      <c r="E7" s="406"/>
      <c r="F7" s="17" t="s">
        <v>182</v>
      </c>
      <c r="G7" s="17">
        <v>12</v>
      </c>
      <c r="H7" s="17">
        <v>51</v>
      </c>
      <c r="I7" s="17">
        <v>4.25</v>
      </c>
      <c r="J7" s="17">
        <v>3.1136363636363638</v>
      </c>
      <c r="M7" s="406"/>
      <c r="N7" s="17" t="s">
        <v>182</v>
      </c>
      <c r="O7" s="17">
        <v>4.25</v>
      </c>
      <c r="Q7" s="27" t="s">
        <v>42</v>
      </c>
      <c r="R7" s="7">
        <v>0.05</v>
      </c>
      <c r="S7" s="7">
        <v>0.05</v>
      </c>
      <c r="T7" s="7">
        <v>0.05</v>
      </c>
      <c r="U7" s="7">
        <v>0.05</v>
      </c>
      <c r="V7" s="7">
        <v>0.05</v>
      </c>
      <c r="W7" s="7">
        <v>0.05</v>
      </c>
    </row>
    <row r="8" spans="1:23" ht="18" x14ac:dyDescent="0.35">
      <c r="A8" s="107">
        <v>1</v>
      </c>
      <c r="B8" s="406">
        <v>5</v>
      </c>
      <c r="C8" s="107">
        <v>4</v>
      </c>
      <c r="D8" s="177">
        <v>7</v>
      </c>
      <c r="E8" s="406"/>
      <c r="F8" s="17" t="s">
        <v>183</v>
      </c>
      <c r="G8" s="17">
        <v>12</v>
      </c>
      <c r="H8" s="17">
        <v>38</v>
      </c>
      <c r="I8" s="17">
        <v>3.1666666666666665</v>
      </c>
      <c r="J8" s="17">
        <v>2.6969696969696972</v>
      </c>
      <c r="M8" s="406"/>
      <c r="N8" s="17" t="s">
        <v>185</v>
      </c>
      <c r="O8" s="17">
        <v>3.8333333333333335</v>
      </c>
      <c r="Q8" s="27" t="s">
        <v>209</v>
      </c>
      <c r="R8" s="7">
        <f>IF(R6&lt;R3-1,1-(1-R7)^(R6/R3),R7)</f>
        <v>0.05</v>
      </c>
      <c r="S8" s="7">
        <f t="shared" ref="S8:W8" si="1">IF(S6&lt;S3-1,1-(1-S7)^(S6/S3),S7)</f>
        <v>0.05</v>
      </c>
      <c r="T8" s="7">
        <f t="shared" si="1"/>
        <v>0.05</v>
      </c>
      <c r="U8" s="7">
        <f t="shared" si="1"/>
        <v>2.5320565519103666E-2</v>
      </c>
      <c r="V8" s="7">
        <f t="shared" si="1"/>
        <v>2.5320565519103666E-2</v>
      </c>
      <c r="W8" s="7">
        <f t="shared" si="1"/>
        <v>2.5320565519103666E-2</v>
      </c>
    </row>
    <row r="9" spans="1:23" ht="15.75" thickBot="1" x14ac:dyDescent="0.3">
      <c r="A9" s="107">
        <v>5</v>
      </c>
      <c r="B9" s="406">
        <v>1</v>
      </c>
      <c r="C9" s="107">
        <v>7</v>
      </c>
      <c r="D9" s="177">
        <v>6</v>
      </c>
      <c r="E9" s="406"/>
      <c r="F9" s="17" t="s">
        <v>184</v>
      </c>
      <c r="G9" s="17">
        <v>12</v>
      </c>
      <c r="H9" s="17">
        <v>67</v>
      </c>
      <c r="I9" s="17">
        <v>5.583333333333333</v>
      </c>
      <c r="J9" s="17">
        <v>2.4469696969696986</v>
      </c>
      <c r="M9" s="406"/>
      <c r="N9" s="18" t="s">
        <v>183</v>
      </c>
      <c r="O9" s="18">
        <v>3.1666666666666665</v>
      </c>
      <c r="Q9" s="27" t="s">
        <v>51</v>
      </c>
      <c r="R9" s="7">
        <f>H16</f>
        <v>44</v>
      </c>
      <c r="S9" s="7">
        <f>R9</f>
        <v>44</v>
      </c>
      <c r="T9" s="7">
        <f t="shared" ref="T9:W9" si="2">S9</f>
        <v>44</v>
      </c>
      <c r="U9" s="7">
        <f t="shared" si="2"/>
        <v>44</v>
      </c>
      <c r="V9" s="7">
        <f t="shared" si="2"/>
        <v>44</v>
      </c>
      <c r="W9" s="7">
        <f t="shared" si="2"/>
        <v>44</v>
      </c>
    </row>
    <row r="10" spans="1:23" ht="15.75" thickBot="1" x14ac:dyDescent="0.3">
      <c r="A10" s="107">
        <v>6</v>
      </c>
      <c r="B10" s="406">
        <v>5</v>
      </c>
      <c r="C10" s="107">
        <v>8</v>
      </c>
      <c r="D10" s="177">
        <v>3</v>
      </c>
      <c r="E10" s="406"/>
      <c r="F10" s="18" t="s">
        <v>185</v>
      </c>
      <c r="G10" s="18">
        <v>12</v>
      </c>
      <c r="H10" s="18">
        <v>46</v>
      </c>
      <c r="I10" s="18">
        <v>3.8333333333333335</v>
      </c>
      <c r="J10" s="18">
        <v>2.6969696969696959</v>
      </c>
      <c r="M10" s="406"/>
      <c r="Q10" s="168" t="s">
        <v>195</v>
      </c>
      <c r="R10" s="224" t="e">
        <f t="shared" ref="R10:W10" ca="1" si="3">QCRIT(R6,R9,R8,2)</f>
        <v>#NAME?</v>
      </c>
      <c r="S10" s="224" t="e">
        <f t="shared" ca="1" si="3"/>
        <v>#NAME?</v>
      </c>
      <c r="T10" s="224" t="e">
        <f t="shared" ca="1" si="3"/>
        <v>#NAME?</v>
      </c>
      <c r="U10" s="224" t="e">
        <f t="shared" ca="1" si="3"/>
        <v>#NAME?</v>
      </c>
      <c r="V10" s="224" t="e">
        <f t="shared" ca="1" si="3"/>
        <v>#NAME?</v>
      </c>
      <c r="W10" s="224" t="e">
        <f t="shared" ca="1" si="3"/>
        <v>#NAME?</v>
      </c>
    </row>
    <row r="11" spans="1:23" x14ac:dyDescent="0.25">
      <c r="A11" s="107">
        <v>4</v>
      </c>
      <c r="B11" s="406">
        <v>2</v>
      </c>
      <c r="C11" s="107">
        <v>5</v>
      </c>
      <c r="D11" s="177">
        <v>2</v>
      </c>
      <c r="E11" s="406"/>
      <c r="Q11" s="15" t="s">
        <v>764</v>
      </c>
      <c r="R11" s="7">
        <f t="shared" ref="R11:W11" si="4">INDEX($O$6:$O$9,R4)</f>
        <v>5.583333333333333</v>
      </c>
      <c r="S11" s="7">
        <f t="shared" si="4"/>
        <v>5.583333333333333</v>
      </c>
      <c r="T11" s="7">
        <f t="shared" si="4"/>
        <v>4.25</v>
      </c>
      <c r="U11" s="7">
        <f t="shared" si="4"/>
        <v>5.583333333333333</v>
      </c>
      <c r="V11" s="7">
        <f t="shared" si="4"/>
        <v>4.25</v>
      </c>
      <c r="W11" s="7">
        <f t="shared" si="4"/>
        <v>3.8333333333333335</v>
      </c>
    </row>
    <row r="12" spans="1:23" x14ac:dyDescent="0.25">
      <c r="A12" s="107">
        <v>3</v>
      </c>
      <c r="B12" s="406">
        <v>3</v>
      </c>
      <c r="C12" s="107">
        <v>6</v>
      </c>
      <c r="D12" s="177">
        <v>2</v>
      </c>
      <c r="E12" s="406"/>
      <c r="Q12" s="15" t="s">
        <v>765</v>
      </c>
      <c r="R12" s="7">
        <f>INDEX($O$6:$O$9,R5)</f>
        <v>3.1666666666666665</v>
      </c>
      <c r="S12" s="7">
        <f>INDEX($O$6:$O$9,S5)</f>
        <v>3.8333333333333335</v>
      </c>
      <c r="T12" s="7">
        <f>INDEX($O$6:$O$9,T5)</f>
        <v>3.1666666666666665</v>
      </c>
      <c r="U12" s="7">
        <f>INDEX($O$6:$O$9,U5)-0.235</f>
        <v>4.0149999999999997</v>
      </c>
      <c r="V12" s="7">
        <f>INDEX($O$6:$O$9,V5)</f>
        <v>3.8333333333333335</v>
      </c>
      <c r="W12" s="7">
        <f>INDEX($O$6:$O$9,W5)</f>
        <v>3.1666666666666665</v>
      </c>
    </row>
    <row r="13" spans="1:23" ht="15.75" thickBot="1" x14ac:dyDescent="0.3">
      <c r="A13" s="107">
        <v>7</v>
      </c>
      <c r="B13" s="406">
        <v>6</v>
      </c>
      <c r="C13" s="107">
        <v>6</v>
      </c>
      <c r="D13" s="177">
        <v>4</v>
      </c>
      <c r="E13" s="406"/>
      <c r="F13" t="s">
        <v>101</v>
      </c>
      <c r="Q13" s="15" t="s">
        <v>766</v>
      </c>
      <c r="R13" s="224">
        <f t="shared" ref="R13:W13" si="5">R11-R12</f>
        <v>2.4166666666666665</v>
      </c>
      <c r="S13" s="224">
        <f t="shared" si="5"/>
        <v>1.7499999999999996</v>
      </c>
      <c r="T13" s="224">
        <f t="shared" si="5"/>
        <v>1.0833333333333335</v>
      </c>
      <c r="U13" s="224">
        <f t="shared" si="5"/>
        <v>1.5683333333333334</v>
      </c>
      <c r="V13" s="224">
        <f t="shared" si="5"/>
        <v>0.41666666666666652</v>
      </c>
      <c r="W13" s="224">
        <f t="shared" si="5"/>
        <v>0.66666666666666696</v>
      </c>
    </row>
    <row r="14" spans="1:23" x14ac:dyDescent="0.25">
      <c r="A14" s="107">
        <v>4</v>
      </c>
      <c r="B14" s="406">
        <v>2</v>
      </c>
      <c r="C14" s="107">
        <v>3</v>
      </c>
      <c r="D14" s="177">
        <v>5</v>
      </c>
      <c r="E14" s="406"/>
      <c r="F14" s="391" t="s">
        <v>135</v>
      </c>
      <c r="G14" s="391" t="s">
        <v>88</v>
      </c>
      <c r="H14" s="391" t="s">
        <v>51</v>
      </c>
      <c r="I14" s="391" t="s">
        <v>92</v>
      </c>
      <c r="J14" s="391" t="s">
        <v>82</v>
      </c>
      <c r="K14" s="391" t="s">
        <v>74</v>
      </c>
      <c r="L14" s="391" t="s">
        <v>136</v>
      </c>
      <c r="Q14" s="168" t="s">
        <v>767</v>
      </c>
      <c r="R14" s="7">
        <f>SQRT($I$16/$G$7)</f>
        <v>0.47772345239656905</v>
      </c>
      <c r="S14" s="7">
        <f>R14</f>
        <v>0.47772345239656905</v>
      </c>
      <c r="T14" s="7">
        <f t="shared" ref="T14:W14" si="6">S14</f>
        <v>0.47772345239656905</v>
      </c>
      <c r="U14" s="7">
        <f t="shared" si="6"/>
        <v>0.47772345239656905</v>
      </c>
      <c r="V14" s="7">
        <f t="shared" si="6"/>
        <v>0.47772345239656905</v>
      </c>
      <c r="W14" s="7">
        <f t="shared" si="6"/>
        <v>0.47772345239656905</v>
      </c>
    </row>
    <row r="15" spans="1:23" x14ac:dyDescent="0.25">
      <c r="A15" s="107">
        <v>5</v>
      </c>
      <c r="B15" s="406">
        <v>4</v>
      </c>
      <c r="C15" s="107">
        <v>4</v>
      </c>
      <c r="D15" s="177">
        <v>2</v>
      </c>
      <c r="E15" s="406"/>
      <c r="F15" s="17" t="s">
        <v>131</v>
      </c>
      <c r="G15" s="17">
        <v>37.416666666666714</v>
      </c>
      <c r="H15" s="17">
        <v>3</v>
      </c>
      <c r="I15" s="17">
        <v>12.472222222222237</v>
      </c>
      <c r="J15" s="17">
        <v>4.554172429691107</v>
      </c>
      <c r="K15" s="17">
        <v>7.2835322244351394E-3</v>
      </c>
      <c r="L15" s="17">
        <v>2.8164658165656813</v>
      </c>
      <c r="Q15" s="15" t="s">
        <v>477</v>
      </c>
      <c r="R15" s="7">
        <f>R13/R14</f>
        <v>5.0587147324317181</v>
      </c>
      <c r="S15" s="7">
        <f t="shared" ref="S15:W15" si="7">S13/S14</f>
        <v>3.6632072200367607</v>
      </c>
      <c r="T15" s="7">
        <f t="shared" si="7"/>
        <v>2.2676997076418051</v>
      </c>
      <c r="U15" s="7">
        <f t="shared" si="7"/>
        <v>3.2829314229091362</v>
      </c>
      <c r="V15" s="7">
        <f t="shared" si="7"/>
        <v>0.87219219524684777</v>
      </c>
      <c r="W15" s="7">
        <f t="shared" si="7"/>
        <v>1.3955075123949574</v>
      </c>
    </row>
    <row r="16" spans="1:23" x14ac:dyDescent="0.25">
      <c r="A16" s="176">
        <v>2</v>
      </c>
      <c r="B16" s="390">
        <v>1</v>
      </c>
      <c r="C16" s="176">
        <v>5</v>
      </c>
      <c r="D16" s="172">
        <v>3</v>
      </c>
      <c r="E16" s="406"/>
      <c r="F16" s="17" t="s">
        <v>132</v>
      </c>
      <c r="G16" s="17">
        <v>120.5</v>
      </c>
      <c r="H16" s="17">
        <v>44</v>
      </c>
      <c r="I16" s="17">
        <v>2.7386363636363638</v>
      </c>
      <c r="J16" s="17"/>
      <c r="K16" s="17"/>
      <c r="L16" s="17"/>
      <c r="Q16" s="15" t="s">
        <v>56</v>
      </c>
      <c r="R16" t="e">
        <f t="shared" ref="R16:W16" ca="1" si="8">QDIST(R15,R6,R9)</f>
        <v>#NAME?</v>
      </c>
      <c r="S16" t="e">
        <f t="shared" ca="1" si="8"/>
        <v>#NAME?</v>
      </c>
      <c r="T16" t="e">
        <f t="shared" ca="1" si="8"/>
        <v>#NAME?</v>
      </c>
      <c r="U16" t="e">
        <f t="shared" ca="1" si="8"/>
        <v>#NAME?</v>
      </c>
      <c r="V16" t="e">
        <f t="shared" ca="1" si="8"/>
        <v>#NAME?</v>
      </c>
      <c r="W16" t="e">
        <f t="shared" ca="1" si="8"/>
        <v>#NAME?</v>
      </c>
    </row>
    <row r="17" spans="6:23" x14ac:dyDescent="0.25">
      <c r="F17" s="17"/>
      <c r="G17" s="17"/>
      <c r="H17" s="17"/>
      <c r="I17" s="17"/>
      <c r="J17" s="17"/>
      <c r="K17" s="17"/>
      <c r="L17" s="17"/>
      <c r="Q17" t="s">
        <v>188</v>
      </c>
      <c r="R17" s="265" t="e">
        <f t="shared" ref="R17:W17" ca="1" si="9">IF(R10&lt;R15,"Yes","No")</f>
        <v>#NAME?</v>
      </c>
      <c r="S17" s="265" t="e">
        <f t="shared" ca="1" si="9"/>
        <v>#NAME?</v>
      </c>
      <c r="T17" s="265" t="e">
        <f t="shared" ca="1" si="9"/>
        <v>#NAME?</v>
      </c>
      <c r="U17" s="265" t="e">
        <f t="shared" ca="1" si="9"/>
        <v>#NAME?</v>
      </c>
      <c r="V17" s="265" t="e">
        <f t="shared" ca="1" si="9"/>
        <v>#NAME?</v>
      </c>
      <c r="W17" s="265" t="e">
        <f t="shared" ca="1" si="9"/>
        <v>#NAME?</v>
      </c>
    </row>
    <row r="18" spans="6:23" ht="15.75" thickBot="1" x14ac:dyDescent="0.3">
      <c r="F18" s="18" t="s">
        <v>1</v>
      </c>
      <c r="G18" s="18">
        <v>157.91666666666671</v>
      </c>
      <c r="H18" s="18">
        <v>47</v>
      </c>
      <c r="I18" s="18"/>
      <c r="J18" s="18"/>
      <c r="K18" s="18"/>
      <c r="L18" s="18"/>
      <c r="U18" s="7"/>
    </row>
    <row r="19" spans="6:23" x14ac:dyDescent="0.25">
      <c r="U19" s="7"/>
    </row>
    <row r="20" spans="6:23" x14ac:dyDescent="0.25">
      <c r="U20" s="7"/>
    </row>
    <row r="22" spans="6:23" x14ac:dyDescent="0.25">
      <c r="U22" s="7"/>
    </row>
    <row r="23" spans="6:23" x14ac:dyDescent="0.25">
      <c r="U23" s="23"/>
    </row>
  </sheetData>
  <mergeCells count="2"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7"/>
  <sheetViews>
    <sheetView workbookViewId="0"/>
  </sheetViews>
  <sheetFormatPr defaultRowHeight="15" x14ac:dyDescent="0.25"/>
  <cols>
    <col min="1" max="4" width="6.7109375" customWidth="1"/>
  </cols>
  <sheetData>
    <row r="1" spans="1:15" x14ac:dyDescent="0.25">
      <c r="A1" s="1" t="s">
        <v>768</v>
      </c>
    </row>
    <row r="3" spans="1:15" ht="15.75" thickBot="1" x14ac:dyDescent="0.3">
      <c r="A3" s="436" t="s">
        <v>411</v>
      </c>
      <c r="B3" s="333" t="s">
        <v>412</v>
      </c>
      <c r="C3" s="436" t="s">
        <v>413</v>
      </c>
      <c r="D3" s="437" t="s">
        <v>414</v>
      </c>
      <c r="F3" t="s">
        <v>769</v>
      </c>
    </row>
    <row r="4" spans="1:15" ht="15.75" thickTop="1" x14ac:dyDescent="0.25">
      <c r="A4" s="438">
        <v>3</v>
      </c>
      <c r="B4" s="255">
        <v>2</v>
      </c>
      <c r="C4" s="438">
        <v>5</v>
      </c>
      <c r="D4" s="408">
        <v>4</v>
      </c>
      <c r="F4" s="251" t="s">
        <v>757</v>
      </c>
      <c r="G4" s="251" t="s">
        <v>4</v>
      </c>
      <c r="H4" s="251" t="s">
        <v>666</v>
      </c>
      <c r="I4" s="251" t="s">
        <v>770</v>
      </c>
    </row>
    <row r="5" spans="1:15" x14ac:dyDescent="0.25">
      <c r="A5" s="107">
        <v>5</v>
      </c>
      <c r="B5" s="406">
        <v>4</v>
      </c>
      <c r="C5" s="107">
        <v>8</v>
      </c>
      <c r="D5" s="177">
        <v>5</v>
      </c>
      <c r="F5" t="str">
        <f>A3</f>
        <v>MD</v>
      </c>
      <c r="G5">
        <f>AVERAGE(A4:A15)</f>
        <v>4.25</v>
      </c>
      <c r="H5">
        <f>COUNT(A4:A15)</f>
        <v>12</v>
      </c>
      <c r="I5">
        <f>STDEV(A4:A15)</f>
        <v>1.764549903980152</v>
      </c>
    </row>
    <row r="6" spans="1:15" x14ac:dyDescent="0.25">
      <c r="A6" s="107">
        <v>6</v>
      </c>
      <c r="B6" s="406">
        <v>3</v>
      </c>
      <c r="C6" s="107">
        <v>6</v>
      </c>
      <c r="D6" s="177">
        <v>3</v>
      </c>
      <c r="F6" t="str">
        <f>B3</f>
        <v>MC</v>
      </c>
      <c r="G6">
        <f>AVERAGE(B4:B15)</f>
        <v>3.1666666666666665</v>
      </c>
      <c r="H6">
        <f>COUNT(B4:B15)</f>
        <v>12</v>
      </c>
      <c r="I6">
        <f>STDEV(B4:B15)</f>
        <v>1.6422453217986943</v>
      </c>
    </row>
    <row r="7" spans="1:15" x14ac:dyDescent="0.25">
      <c r="A7" s="107">
        <v>1</v>
      </c>
      <c r="B7" s="406">
        <v>5</v>
      </c>
      <c r="C7" s="107">
        <v>4</v>
      </c>
      <c r="D7" s="177">
        <v>7</v>
      </c>
      <c r="F7" t="str">
        <f>C3</f>
        <v>WD</v>
      </c>
      <c r="G7">
        <f>AVERAGE(C4:C15)</f>
        <v>5.583333333333333</v>
      </c>
      <c r="H7">
        <f>COUNT(C4:C15)</f>
        <v>12</v>
      </c>
      <c r="I7">
        <f>STDEV(C4:C15)</f>
        <v>1.56427928995103</v>
      </c>
    </row>
    <row r="8" spans="1:15" x14ac:dyDescent="0.25">
      <c r="A8" s="107">
        <v>5</v>
      </c>
      <c r="B8" s="406">
        <v>1</v>
      </c>
      <c r="C8" s="107">
        <v>7</v>
      </c>
      <c r="D8" s="177">
        <v>6</v>
      </c>
      <c r="F8" t="str">
        <f>D3</f>
        <v>WC</v>
      </c>
      <c r="G8">
        <f>AVERAGE(D4:D15)</f>
        <v>3.8333333333333335</v>
      </c>
      <c r="H8">
        <f>COUNT(D4:D15)</f>
        <v>12</v>
      </c>
      <c r="I8">
        <f>STDEV(D4:D15)</f>
        <v>1.6422453217986939</v>
      </c>
    </row>
    <row r="9" spans="1:15" x14ac:dyDescent="0.25">
      <c r="A9" s="107">
        <v>6</v>
      </c>
      <c r="B9" s="406">
        <v>5</v>
      </c>
      <c r="C9" s="107">
        <v>8</v>
      </c>
      <c r="D9" s="177">
        <v>3</v>
      </c>
      <c r="F9" s="252"/>
      <c r="G9" s="252"/>
      <c r="H9" s="252"/>
      <c r="I9" s="252"/>
    </row>
    <row r="10" spans="1:15" ht="15.75" thickBot="1" x14ac:dyDescent="0.3">
      <c r="A10" s="107">
        <v>4</v>
      </c>
      <c r="B10" s="406">
        <v>2</v>
      </c>
      <c r="C10" s="107">
        <v>5</v>
      </c>
      <c r="D10" s="177">
        <v>2</v>
      </c>
      <c r="F10" t="s">
        <v>478</v>
      </c>
      <c r="K10" s="435" t="s">
        <v>70</v>
      </c>
      <c r="L10">
        <v>0.05</v>
      </c>
    </row>
    <row r="11" spans="1:15" ht="15.75" thickTop="1" x14ac:dyDescent="0.25">
      <c r="A11" s="107">
        <v>3</v>
      </c>
      <c r="B11" s="406">
        <v>3</v>
      </c>
      <c r="C11" s="107">
        <v>6</v>
      </c>
      <c r="D11" s="177">
        <v>2</v>
      </c>
      <c r="F11" s="251" t="e">
        <f t="array" aca="1" ref="F11:O17" ca="1">REGWQ(A3:D15,TRUE,L10)</f>
        <v>#NAME?</v>
      </c>
      <c r="G11" s="251" t="e">
        <f ca="1"/>
        <v>#NAME?</v>
      </c>
      <c r="H11" s="251" t="e">
        <f ca="1"/>
        <v>#NAME?</v>
      </c>
      <c r="I11" s="251" t="e">
        <f ca="1"/>
        <v>#NAME?</v>
      </c>
      <c r="J11" s="251" t="e">
        <f ca="1"/>
        <v>#NAME?</v>
      </c>
      <c r="K11" s="251" t="e">
        <f ca="1"/>
        <v>#NAME?</v>
      </c>
      <c r="L11" s="251" t="e">
        <f ca="1"/>
        <v>#NAME?</v>
      </c>
      <c r="M11" s="251" t="e">
        <f ca="1"/>
        <v>#NAME?</v>
      </c>
      <c r="N11" s="251" t="e">
        <f ca="1"/>
        <v>#NAME?</v>
      </c>
      <c r="O11" s="251" t="e">
        <f ca="1"/>
        <v>#NAME?</v>
      </c>
    </row>
    <row r="12" spans="1:15" x14ac:dyDescent="0.25">
      <c r="A12" s="107">
        <v>7</v>
      </c>
      <c r="B12" s="406">
        <v>6</v>
      </c>
      <c r="C12" s="107">
        <v>6</v>
      </c>
      <c r="D12" s="177">
        <v>4</v>
      </c>
      <c r="F12" s="7" t="e">
        <f ca="1"/>
        <v>#NAME?</v>
      </c>
      <c r="G12" s="7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406" t="e">
        <f ca="1"/>
        <v>#NAME?</v>
      </c>
    </row>
    <row r="13" spans="1:15" x14ac:dyDescent="0.25">
      <c r="A13" s="107">
        <v>4</v>
      </c>
      <c r="B13" s="406">
        <v>2</v>
      </c>
      <c r="C13" s="107">
        <v>3</v>
      </c>
      <c r="D13" s="177">
        <v>5</v>
      </c>
      <c r="F13" s="7" t="e">
        <f ca="1"/>
        <v>#NAME?</v>
      </c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406" t="e">
        <f ca="1"/>
        <v>#NAME?</v>
      </c>
    </row>
    <row r="14" spans="1:15" x14ac:dyDescent="0.25">
      <c r="A14" s="107">
        <v>5</v>
      </c>
      <c r="B14" s="406">
        <v>4</v>
      </c>
      <c r="C14" s="107">
        <v>4</v>
      </c>
      <c r="D14" s="177">
        <v>2</v>
      </c>
      <c r="F14" s="7" t="e">
        <f ca="1"/>
        <v>#NAME?</v>
      </c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406" t="e">
        <f ca="1"/>
        <v>#NAME?</v>
      </c>
    </row>
    <row r="15" spans="1:15" x14ac:dyDescent="0.25">
      <c r="A15" s="176">
        <v>2</v>
      </c>
      <c r="B15" s="390">
        <v>1</v>
      </c>
      <c r="C15" s="176">
        <v>5</v>
      </c>
      <c r="D15" s="172">
        <v>3</v>
      </c>
      <c r="F15" s="7" t="e">
        <f ca="1"/>
        <v>#NAME?</v>
      </c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406" t="e">
        <f ca="1"/>
        <v>#NAME?</v>
      </c>
    </row>
    <row r="16" spans="1:15" x14ac:dyDescent="0.25">
      <c r="F16" s="7" t="e">
        <f ca="1"/>
        <v>#NAME?</v>
      </c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406" t="e">
        <f ca="1"/>
        <v>#NAME?</v>
      </c>
    </row>
    <row r="17" spans="6:15" x14ac:dyDescent="0.25">
      <c r="F17" s="224" t="e">
        <f ca="1"/>
        <v>#NAME?</v>
      </c>
      <c r="G17" s="224" t="e">
        <f ca="1"/>
        <v>#NAME?</v>
      </c>
      <c r="H17" s="224" t="e">
        <f ca="1"/>
        <v>#NAME?</v>
      </c>
      <c r="I17" s="224" t="e">
        <f ca="1"/>
        <v>#NAME?</v>
      </c>
      <c r="J17" s="224" t="e">
        <f ca="1"/>
        <v>#NAME?</v>
      </c>
      <c r="K17" s="224" t="e">
        <f ca="1"/>
        <v>#NAME?</v>
      </c>
      <c r="L17" s="224" t="e">
        <f ca="1"/>
        <v>#NAME?</v>
      </c>
      <c r="M17" s="224" t="e">
        <f ca="1"/>
        <v>#NAME?</v>
      </c>
      <c r="N17" s="224" t="e">
        <f ca="1"/>
        <v>#NAME?</v>
      </c>
      <c r="O17" s="390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17"/>
  <sheetViews>
    <sheetView workbookViewId="0"/>
  </sheetViews>
  <sheetFormatPr defaultRowHeight="15" x14ac:dyDescent="0.25"/>
  <cols>
    <col min="6" max="6" width="2.7109375" customWidth="1"/>
    <col min="7" max="7" width="14.85546875" customWidth="1"/>
    <col min="8" max="8" width="7.42578125" customWidth="1"/>
    <col min="9" max="9" width="6.140625" customWidth="1"/>
    <col min="17" max="17" width="9.5703125" customWidth="1"/>
    <col min="18" max="18" width="7.7109375" customWidth="1"/>
    <col min="19" max="19" width="2.5703125" customWidth="1"/>
    <col min="20" max="20" width="10.140625" customWidth="1"/>
  </cols>
  <sheetData>
    <row r="1" spans="1:28" x14ac:dyDescent="0.25">
      <c r="A1" s="1" t="s">
        <v>200</v>
      </c>
      <c r="G1" t="s">
        <v>126</v>
      </c>
    </row>
    <row r="3" spans="1:28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E3" s="333" t="s">
        <v>771</v>
      </c>
      <c r="G3" t="s">
        <v>127</v>
      </c>
      <c r="L3" t="s">
        <v>31</v>
      </c>
      <c r="M3">
        <v>0.05</v>
      </c>
      <c r="Q3" t="s">
        <v>199</v>
      </c>
      <c r="T3" t="s">
        <v>48</v>
      </c>
      <c r="U3" s="252">
        <v>5</v>
      </c>
      <c r="V3" s="252">
        <v>5</v>
      </c>
      <c r="W3" s="252">
        <v>5</v>
      </c>
      <c r="X3" s="252">
        <v>5</v>
      </c>
      <c r="Y3" s="252">
        <v>5</v>
      </c>
      <c r="Z3" s="252">
        <v>5</v>
      </c>
      <c r="AA3" s="252">
        <v>5</v>
      </c>
      <c r="AB3" s="252">
        <v>5</v>
      </c>
    </row>
    <row r="4" spans="1:28" ht="16.5" thickTop="1" thickBot="1" x14ac:dyDescent="0.3">
      <c r="A4" s="255">
        <v>51</v>
      </c>
      <c r="B4" s="255">
        <v>82</v>
      </c>
      <c r="C4" s="255">
        <v>79</v>
      </c>
      <c r="D4" s="255">
        <v>85</v>
      </c>
      <c r="E4" s="45">
        <v>37</v>
      </c>
      <c r="G4" s="251" t="s">
        <v>759</v>
      </c>
      <c r="H4" s="251" t="s">
        <v>19</v>
      </c>
      <c r="I4" s="251" t="s">
        <v>18</v>
      </c>
      <c r="J4" s="251" t="s">
        <v>7</v>
      </c>
      <c r="K4" s="251" t="s">
        <v>62</v>
      </c>
      <c r="L4" s="251" t="s">
        <v>88</v>
      </c>
      <c r="M4" s="251" t="s">
        <v>50</v>
      </c>
      <c r="N4" s="251" t="s">
        <v>110</v>
      </c>
      <c r="O4" s="251" t="s">
        <v>111</v>
      </c>
      <c r="Q4" s="406"/>
      <c r="R4" s="406"/>
      <c r="T4" t="s">
        <v>762</v>
      </c>
      <c r="U4" s="7">
        <v>1</v>
      </c>
      <c r="V4" s="7">
        <v>1</v>
      </c>
      <c r="W4" s="7">
        <v>2</v>
      </c>
      <c r="X4" s="7">
        <v>1</v>
      </c>
      <c r="Y4" s="7">
        <v>2</v>
      </c>
      <c r="Z4" s="7">
        <v>3</v>
      </c>
      <c r="AA4" s="7">
        <v>2</v>
      </c>
      <c r="AB4" s="7">
        <v>3</v>
      </c>
    </row>
    <row r="5" spans="1:28" x14ac:dyDescent="0.25">
      <c r="A5" s="406">
        <v>84</v>
      </c>
      <c r="B5" s="406">
        <v>91</v>
      </c>
      <c r="C5" s="406">
        <v>84</v>
      </c>
      <c r="D5" s="406">
        <v>80</v>
      </c>
      <c r="E5" s="45">
        <v>40</v>
      </c>
      <c r="G5" t="str">
        <f>A3</f>
        <v>Method 1</v>
      </c>
      <c r="H5">
        <f>COUNT(A4:A11)</f>
        <v>8</v>
      </c>
      <c r="I5">
        <f>SUM(A4:A11)</f>
        <v>480</v>
      </c>
      <c r="J5">
        <f>AVERAGE(A4:A11)</f>
        <v>60</v>
      </c>
      <c r="K5">
        <f>VAR(A4:A11)</f>
        <v>192.57142857142858</v>
      </c>
      <c r="L5">
        <f>DEVSQ(A4:A11)</f>
        <v>1348</v>
      </c>
      <c r="M5">
        <f>SQRT(J14/H5)</f>
        <v>4.7049555941429615</v>
      </c>
      <c r="N5">
        <f>J5-M5*TINV(M3,I14)</f>
        <v>50.448432346264568</v>
      </c>
      <c r="O5">
        <f>J5+M5*TINV(M3,I14)</f>
        <v>69.551567653735432</v>
      </c>
      <c r="Q5" s="391" t="s">
        <v>61</v>
      </c>
      <c r="R5" s="391" t="s">
        <v>7</v>
      </c>
      <c r="T5" t="s">
        <v>763</v>
      </c>
      <c r="U5" s="7">
        <v>5</v>
      </c>
      <c r="V5" s="7">
        <v>4</v>
      </c>
      <c r="W5" s="7">
        <v>5</v>
      </c>
      <c r="X5" s="7">
        <v>3</v>
      </c>
      <c r="Y5" s="7">
        <v>4</v>
      </c>
      <c r="Z5" s="7">
        <v>5</v>
      </c>
      <c r="AA5" s="7">
        <v>3</v>
      </c>
      <c r="AB5" s="7">
        <v>4</v>
      </c>
    </row>
    <row r="6" spans="1:28" x14ac:dyDescent="0.25">
      <c r="A6" s="406">
        <v>50</v>
      </c>
      <c r="B6" s="406">
        <v>92</v>
      </c>
      <c r="C6" s="406">
        <v>74</v>
      </c>
      <c r="D6" s="406">
        <v>65</v>
      </c>
      <c r="E6" s="45">
        <v>61</v>
      </c>
      <c r="G6" t="str">
        <f>B3</f>
        <v>Method 2</v>
      </c>
      <c r="H6">
        <f>COUNT(B4:B11)</f>
        <v>8</v>
      </c>
      <c r="I6">
        <f>SUM(B4:B11)</f>
        <v>629</v>
      </c>
      <c r="J6">
        <f>AVERAGE(B4:B11)</f>
        <v>78.625</v>
      </c>
      <c r="K6">
        <f>VAR(B4:B11)</f>
        <v>163.98214285714286</v>
      </c>
      <c r="L6">
        <f>DEVSQ(B4:B11)</f>
        <v>1147.875</v>
      </c>
      <c r="M6">
        <f>SQRT(J14/H6)</f>
        <v>4.7049555941429615</v>
      </c>
      <c r="N6">
        <f>J6-M6*TINV(M3,I14)</f>
        <v>69.073432346264568</v>
      </c>
      <c r="O6">
        <f>J6+M6*TINV(M3,I14)</f>
        <v>88.176567653735432</v>
      </c>
      <c r="Q6" s="17" t="e">
        <f ca="1">INDEX(G$5:G$9,MATCH(R6,J$5:J$9,0))</f>
        <v>#NAME?</v>
      </c>
      <c r="R6" s="17" t="e">
        <f t="array" aca="1" ref="R6:R10" ca="1">QSORT(J5:J9,FALSE)</f>
        <v>#NAME?</v>
      </c>
      <c r="T6" t="s">
        <v>68</v>
      </c>
      <c r="U6" s="224">
        <f t="shared" ref="U6:AB6" si="0">U5-U4+1</f>
        <v>5</v>
      </c>
      <c r="V6" s="224">
        <f t="shared" si="0"/>
        <v>4</v>
      </c>
      <c r="W6" s="224">
        <f t="shared" si="0"/>
        <v>4</v>
      </c>
      <c r="X6" s="224">
        <f t="shared" si="0"/>
        <v>3</v>
      </c>
      <c r="Y6" s="224">
        <f t="shared" si="0"/>
        <v>3</v>
      </c>
      <c r="Z6" s="224">
        <f t="shared" si="0"/>
        <v>3</v>
      </c>
      <c r="AA6" s="224">
        <f t="shared" si="0"/>
        <v>2</v>
      </c>
      <c r="AB6" s="224">
        <f t="shared" si="0"/>
        <v>2</v>
      </c>
    </row>
    <row r="7" spans="1:28" x14ac:dyDescent="0.25">
      <c r="A7" s="406">
        <v>48</v>
      </c>
      <c r="B7" s="406">
        <v>80</v>
      </c>
      <c r="C7" s="406">
        <v>98</v>
      </c>
      <c r="D7" s="406">
        <v>71</v>
      </c>
      <c r="E7" s="45">
        <v>51</v>
      </c>
      <c r="G7" t="str">
        <f>C3</f>
        <v>Method 3</v>
      </c>
      <c r="H7">
        <f>COUNT(C4:C11)</f>
        <v>8</v>
      </c>
      <c r="I7">
        <f>SUM(C4:C11)</f>
        <v>624</v>
      </c>
      <c r="J7">
        <f>AVERAGE(C4:C11)</f>
        <v>78</v>
      </c>
      <c r="K7">
        <f>VAR(C4:C11)</f>
        <v>164.57142857142858</v>
      </c>
      <c r="L7">
        <f>DEVSQ(C4:C11)</f>
        <v>1152</v>
      </c>
      <c r="M7">
        <f>SQRT(J14/H7)</f>
        <v>4.7049555941429615</v>
      </c>
      <c r="N7">
        <f>J7-M7*TINV(M3,I14)</f>
        <v>68.448432346264568</v>
      </c>
      <c r="O7">
        <f>J7+M7*TINV(M3,I14)</f>
        <v>87.551567653735432</v>
      </c>
      <c r="Q7" s="17" t="e">
        <f t="shared" ref="Q7:Q10" ca="1" si="1">INDEX(G$5:G$9,MATCH(R7,J$5:J$9,0))</f>
        <v>#NAME?</v>
      </c>
      <c r="R7" s="17" t="e">
        <f ca="1"/>
        <v>#NAME?</v>
      </c>
      <c r="T7" s="27" t="s">
        <v>42</v>
      </c>
      <c r="U7" s="7">
        <v>0.05</v>
      </c>
      <c r="V7" s="7">
        <v>0.05</v>
      </c>
      <c r="W7" s="7">
        <v>0.05</v>
      </c>
      <c r="X7" s="7">
        <v>0.05</v>
      </c>
      <c r="Y7" s="7">
        <v>0.05</v>
      </c>
      <c r="Z7" s="7">
        <v>0.05</v>
      </c>
      <c r="AA7" s="7">
        <v>0.05</v>
      </c>
      <c r="AB7" s="7">
        <v>0.05</v>
      </c>
    </row>
    <row r="8" spans="1:28" ht="18" x14ac:dyDescent="0.35">
      <c r="A8" s="406">
        <v>79</v>
      </c>
      <c r="B8" s="406">
        <v>52</v>
      </c>
      <c r="C8" s="406">
        <v>63</v>
      </c>
      <c r="D8" s="406">
        <v>67</v>
      </c>
      <c r="E8" s="45">
        <v>76</v>
      </c>
      <c r="G8" t="str">
        <f>D3</f>
        <v>Method 4</v>
      </c>
      <c r="H8">
        <f>COUNT(D4:D11)</f>
        <v>8</v>
      </c>
      <c r="I8">
        <f>SUM(D4:D11)</f>
        <v>575</v>
      </c>
      <c r="J8">
        <f>AVERAGE(D4:D11)</f>
        <v>71.875</v>
      </c>
      <c r="K8">
        <f>VAR(D4:D11)</f>
        <v>181.55357142857142</v>
      </c>
      <c r="L8">
        <f>DEVSQ(D4:D11)</f>
        <v>1270.875</v>
      </c>
      <c r="M8">
        <f>SQRT(J14/H8)</f>
        <v>4.7049555941429615</v>
      </c>
      <c r="N8">
        <f>J8-M8*TINV(M3,I14)</f>
        <v>62.323432346264568</v>
      </c>
      <c r="O8">
        <f>J8+M8*TINV(M3,I14)</f>
        <v>81.426567653735432</v>
      </c>
      <c r="Q8" s="17" t="e">
        <f t="shared" ca="1" si="1"/>
        <v>#NAME?</v>
      </c>
      <c r="R8" s="17" t="e">
        <f ca="1"/>
        <v>#NAME?</v>
      </c>
      <c r="T8" s="27" t="s">
        <v>209</v>
      </c>
      <c r="U8" s="7">
        <f>IF(U6&lt;U3-1,1-(1-U7)^(U6/U3),U7)</f>
        <v>0.05</v>
      </c>
      <c r="V8" s="7">
        <f t="shared" ref="V8:AB8" si="2">IF(V6&lt;V3-1,1-(1-V7)^(V6/V3),V7)</f>
        <v>0.05</v>
      </c>
      <c r="W8" s="7">
        <f t="shared" si="2"/>
        <v>0.05</v>
      </c>
      <c r="X8" s="7">
        <f t="shared" si="2"/>
        <v>3.0307217412319232E-2</v>
      </c>
      <c r="Y8" s="7">
        <f t="shared" si="2"/>
        <v>3.0307217412319232E-2</v>
      </c>
      <c r="Z8" s="7">
        <f t="shared" si="2"/>
        <v>3.0307217412319232E-2</v>
      </c>
      <c r="AA8" s="7">
        <f t="shared" si="2"/>
        <v>2.0308269733770201E-2</v>
      </c>
      <c r="AB8" s="7">
        <f t="shared" si="2"/>
        <v>2.0308269733770201E-2</v>
      </c>
    </row>
    <row r="9" spans="1:28" x14ac:dyDescent="0.25">
      <c r="A9" s="406">
        <v>61</v>
      </c>
      <c r="B9" s="406">
        <v>85</v>
      </c>
      <c r="C9" s="406">
        <v>83</v>
      </c>
      <c r="D9" s="406">
        <v>51</v>
      </c>
      <c r="E9" s="45">
        <v>55</v>
      </c>
      <c r="G9" t="str">
        <f>E3</f>
        <v>Method 5</v>
      </c>
      <c r="H9">
        <f>COUNT(E4:E11)</f>
        <v>8</v>
      </c>
      <c r="I9">
        <f>SUM(E4:E11)</f>
        <v>450</v>
      </c>
      <c r="J9">
        <f>AVERAGE(E4:E11)</f>
        <v>56.25</v>
      </c>
      <c r="K9">
        <f>VAR(E4:E11)</f>
        <v>182.78571428571428</v>
      </c>
      <c r="L9">
        <f>DEVSQ(E4:E11)</f>
        <v>1279.5</v>
      </c>
      <c r="M9">
        <f>SQRT(J14/H9)</f>
        <v>4.7049555941429615</v>
      </c>
      <c r="N9">
        <f>J9-M9*TINV(M3,I14)</f>
        <v>46.698432346264568</v>
      </c>
      <c r="O9">
        <f>J9+M9*TINV(M3,I14)</f>
        <v>65.801567653735432</v>
      </c>
      <c r="Q9" s="17" t="e">
        <f t="shared" ca="1" si="1"/>
        <v>#NAME?</v>
      </c>
      <c r="R9" s="17" t="e">
        <f ca="1"/>
        <v>#NAME?</v>
      </c>
      <c r="T9" s="27" t="s">
        <v>51</v>
      </c>
      <c r="U9" s="7">
        <f>I14</f>
        <v>35</v>
      </c>
      <c r="V9" s="7">
        <f>U9</f>
        <v>35</v>
      </c>
      <c r="W9" s="7">
        <f t="shared" ref="W9:AB9" si="3">V9</f>
        <v>35</v>
      </c>
      <c r="X9" s="7">
        <f t="shared" si="3"/>
        <v>35</v>
      </c>
      <c r="Y9" s="7">
        <f t="shared" si="3"/>
        <v>35</v>
      </c>
      <c r="Z9" s="7">
        <f t="shared" si="3"/>
        <v>35</v>
      </c>
      <c r="AA9" s="7">
        <f t="shared" si="3"/>
        <v>35</v>
      </c>
      <c r="AB9" s="7">
        <f t="shared" si="3"/>
        <v>35</v>
      </c>
    </row>
    <row r="10" spans="1:28" ht="15.75" thickBot="1" x14ac:dyDescent="0.3">
      <c r="A10" s="406">
        <v>53</v>
      </c>
      <c r="B10" s="406">
        <v>73</v>
      </c>
      <c r="C10" s="406">
        <v>85</v>
      </c>
      <c r="D10" s="406">
        <v>63</v>
      </c>
      <c r="E10" s="45">
        <v>60</v>
      </c>
      <c r="G10" s="252"/>
      <c r="H10" s="252"/>
      <c r="I10" s="252"/>
      <c r="J10" s="252"/>
      <c r="K10" s="252"/>
      <c r="L10" s="252"/>
      <c r="M10" s="252"/>
      <c r="N10" s="252"/>
      <c r="O10" s="252"/>
      <c r="Q10" s="18" t="e">
        <f t="shared" ca="1" si="1"/>
        <v>#NAME?</v>
      </c>
      <c r="R10" s="18" t="e">
        <f ca="1"/>
        <v>#NAME?</v>
      </c>
      <c r="T10" s="168" t="s">
        <v>195</v>
      </c>
      <c r="U10" s="224" t="e">
        <f t="shared" ref="U10:AB10" ca="1" si="4">QCRIT(U6,U9,U8,2)</f>
        <v>#NAME?</v>
      </c>
      <c r="V10" s="224" t="e">
        <f t="shared" ca="1" si="4"/>
        <v>#NAME?</v>
      </c>
      <c r="W10" s="224" t="e">
        <f t="shared" ca="1" si="4"/>
        <v>#NAME?</v>
      </c>
      <c r="X10" s="224" t="e">
        <f t="shared" ca="1" si="4"/>
        <v>#NAME?</v>
      </c>
      <c r="Y10" s="224" t="e">
        <f t="shared" ca="1" si="4"/>
        <v>#NAME?</v>
      </c>
      <c r="Z10" s="224" t="e">
        <f t="shared" ca="1" si="4"/>
        <v>#NAME?</v>
      </c>
      <c r="AA10" s="224" t="e">
        <f t="shared" ca="1" si="4"/>
        <v>#NAME?</v>
      </c>
      <c r="AB10" s="224" t="e">
        <f t="shared" ca="1" si="4"/>
        <v>#NAME?</v>
      </c>
    </row>
    <row r="11" spans="1:28" ht="15.75" thickBot="1" x14ac:dyDescent="0.3">
      <c r="A11" s="390">
        <v>54</v>
      </c>
      <c r="B11" s="390">
        <v>74</v>
      </c>
      <c r="C11" s="390">
        <v>58</v>
      </c>
      <c r="D11" s="390">
        <v>93</v>
      </c>
      <c r="E11" s="439">
        <v>70</v>
      </c>
      <c r="G11" t="s">
        <v>101</v>
      </c>
      <c r="T11" s="15" t="s">
        <v>764</v>
      </c>
      <c r="U11" s="7" t="e">
        <f ca="1">INDEX($R6:$R$10,U4)</f>
        <v>#NAME?</v>
      </c>
      <c r="V11" s="7" t="e">
        <f ca="1">INDEX($R6:$R$10,V4)</f>
        <v>#NAME?</v>
      </c>
      <c r="W11" s="7" t="e">
        <f ca="1">INDEX($R6:$R$10,W4)</f>
        <v>#NAME?</v>
      </c>
      <c r="X11" s="7" t="e">
        <f ca="1">INDEX($R6:$R$10,X4)</f>
        <v>#NAME?</v>
      </c>
      <c r="Y11" s="7" t="e">
        <f ca="1">INDEX($R6:$R$10,Y4)</f>
        <v>#NAME?</v>
      </c>
      <c r="Z11" s="7" t="e">
        <f ca="1">INDEX($R6:$R$10,Z4)</f>
        <v>#NAME?</v>
      </c>
      <c r="AA11" s="7" t="e">
        <f ca="1">INDEX($R6:$R$10,AA4)</f>
        <v>#NAME?</v>
      </c>
      <c r="AB11" s="7" t="e">
        <f ca="1">INDEX($R6:$R$10,AB4)</f>
        <v>#NAME?</v>
      </c>
    </row>
    <row r="12" spans="1:28" ht="15.75" thickTop="1" x14ac:dyDescent="0.25">
      <c r="G12" s="251" t="s">
        <v>128</v>
      </c>
      <c r="H12" s="251" t="s">
        <v>88</v>
      </c>
      <c r="I12" s="251" t="s">
        <v>51</v>
      </c>
      <c r="J12" s="251" t="s">
        <v>92</v>
      </c>
      <c r="K12" s="251" t="s">
        <v>82</v>
      </c>
      <c r="L12" s="251" t="s">
        <v>129</v>
      </c>
      <c r="M12" s="251" t="s">
        <v>878</v>
      </c>
      <c r="N12" s="251" t="s">
        <v>383</v>
      </c>
      <c r="O12" s="251" t="s">
        <v>384</v>
      </c>
      <c r="T12" s="15" t="s">
        <v>765</v>
      </c>
      <c r="U12" s="7" t="e">
        <f ca="1">INDEX($R$6:$R$10,U5)</f>
        <v>#NAME?</v>
      </c>
      <c r="V12" s="7" t="e">
        <f t="shared" ref="V12:AB12" ca="1" si="5">INDEX($R$6:$R$10,V5)</f>
        <v>#NAME?</v>
      </c>
      <c r="W12" s="7" t="e">
        <f t="shared" ca="1" si="5"/>
        <v>#NAME?</v>
      </c>
      <c r="X12" s="7" t="e">
        <f t="shared" ca="1" si="5"/>
        <v>#NAME?</v>
      </c>
      <c r="Y12" s="7" t="e">
        <f t="shared" ca="1" si="5"/>
        <v>#NAME?</v>
      </c>
      <c r="Z12" s="7" t="e">
        <f t="shared" ca="1" si="5"/>
        <v>#NAME?</v>
      </c>
      <c r="AA12" s="7" t="e">
        <f t="shared" ca="1" si="5"/>
        <v>#NAME?</v>
      </c>
      <c r="AB12" s="7" t="e">
        <f t="shared" ca="1" si="5"/>
        <v>#NAME?</v>
      </c>
    </row>
    <row r="13" spans="1:28" x14ac:dyDescent="0.25">
      <c r="G13" t="s">
        <v>131</v>
      </c>
      <c r="H13">
        <f>H15-H14</f>
        <v>3403.6500000000033</v>
      </c>
      <c r="I13">
        <f>COUNTA(G5:G9)-1</f>
        <v>4</v>
      </c>
      <c r="J13">
        <f>H13/I13</f>
        <v>850.91250000000082</v>
      </c>
      <c r="K13">
        <f>J13/J14</f>
        <v>4.804894526680922</v>
      </c>
      <c r="L13">
        <f>FDIST(K13,I13,I14)</f>
        <v>3.396194085573249E-3</v>
      </c>
      <c r="M13">
        <f>H13/H15</f>
        <v>0.35447671814953313</v>
      </c>
      <c r="N13">
        <f>SQRT(DEVSQ(J5:J9)/(J14*I13))</f>
        <v>0.7749914940404925</v>
      </c>
      <c r="O13">
        <f>(H15-I15*J14)/(H15+J14)</f>
        <v>0.27561923920006393</v>
      </c>
      <c r="T13" s="15" t="s">
        <v>766</v>
      </c>
      <c r="U13" s="224" t="e">
        <f t="shared" ref="U13:AB13" ca="1" si="6">U11-U12</f>
        <v>#NAME?</v>
      </c>
      <c r="V13" s="224" t="e">
        <f t="shared" ca="1" si="6"/>
        <v>#NAME?</v>
      </c>
      <c r="W13" s="224" t="e">
        <f t="shared" ca="1" si="6"/>
        <v>#NAME?</v>
      </c>
      <c r="X13" s="224" t="e">
        <f t="shared" ca="1" si="6"/>
        <v>#NAME?</v>
      </c>
      <c r="Y13" s="224" t="e">
        <f t="shared" ca="1" si="6"/>
        <v>#NAME?</v>
      </c>
      <c r="Z13" s="224" t="e">
        <f t="shared" ca="1" si="6"/>
        <v>#NAME?</v>
      </c>
      <c r="AA13" s="224" t="e">
        <f t="shared" ca="1" si="6"/>
        <v>#NAME?</v>
      </c>
      <c r="AB13" s="224" t="e">
        <f t="shared" ca="1" si="6"/>
        <v>#NAME?</v>
      </c>
    </row>
    <row r="14" spans="1:28" x14ac:dyDescent="0.25">
      <c r="G14" t="s">
        <v>132</v>
      </c>
      <c r="H14">
        <f>SUM(L5:L9)</f>
        <v>6198.25</v>
      </c>
      <c r="I14">
        <f>I15-I13</f>
        <v>35</v>
      </c>
      <c r="J14">
        <f>H14/I14</f>
        <v>177.09285714285716</v>
      </c>
      <c r="T14" s="168" t="s">
        <v>767</v>
      </c>
      <c r="U14" s="7">
        <f>SQRT($J$14/$H$5)</f>
        <v>4.7049555941429615</v>
      </c>
      <c r="V14" s="7">
        <f>U14</f>
        <v>4.7049555941429615</v>
      </c>
      <c r="W14" s="7">
        <f t="shared" ref="W14:AB14" si="7">V14</f>
        <v>4.7049555941429615</v>
      </c>
      <c r="X14" s="7">
        <f t="shared" si="7"/>
        <v>4.7049555941429615</v>
      </c>
      <c r="Y14" s="7">
        <f t="shared" si="7"/>
        <v>4.7049555941429615</v>
      </c>
      <c r="Z14" s="7">
        <f t="shared" si="7"/>
        <v>4.7049555941429615</v>
      </c>
      <c r="AA14" s="7">
        <f t="shared" si="7"/>
        <v>4.7049555941429615</v>
      </c>
      <c r="AB14" s="7">
        <f t="shared" si="7"/>
        <v>4.7049555941429615</v>
      </c>
    </row>
    <row r="15" spans="1:28" x14ac:dyDescent="0.25">
      <c r="G15" s="224" t="s">
        <v>1</v>
      </c>
      <c r="H15" s="224">
        <f>DEVSQ(A4:E11)</f>
        <v>9601.9000000000033</v>
      </c>
      <c r="I15" s="224">
        <f>COUNT(A4:E11)-1</f>
        <v>39</v>
      </c>
      <c r="J15" s="224">
        <f>H15/I15</f>
        <v>246.2025641025642</v>
      </c>
      <c r="K15" s="224"/>
      <c r="L15" s="224"/>
      <c r="M15" s="224"/>
      <c r="N15" s="224"/>
      <c r="O15" s="224"/>
      <c r="T15" s="15" t="s">
        <v>477</v>
      </c>
      <c r="U15" s="7" t="e">
        <f ca="1">U13/U14</f>
        <v>#NAME?</v>
      </c>
      <c r="V15" s="7" t="e">
        <f t="shared" ref="V15:AB15" ca="1" si="8">V13/V14</f>
        <v>#NAME?</v>
      </c>
      <c r="W15" s="7" t="e">
        <f t="shared" ca="1" si="8"/>
        <v>#NAME?</v>
      </c>
      <c r="X15" s="7" t="e">
        <f t="shared" ca="1" si="8"/>
        <v>#NAME?</v>
      </c>
      <c r="Y15" s="7" t="e">
        <f t="shared" ca="1" si="8"/>
        <v>#NAME?</v>
      </c>
      <c r="Z15" s="7" t="e">
        <f t="shared" ca="1" si="8"/>
        <v>#NAME?</v>
      </c>
      <c r="AA15" s="7" t="e">
        <f t="shared" ca="1" si="8"/>
        <v>#NAME?</v>
      </c>
      <c r="AB15" s="7" t="e">
        <f t="shared" ca="1" si="8"/>
        <v>#NAME?</v>
      </c>
    </row>
    <row r="16" spans="1:28" x14ac:dyDescent="0.25">
      <c r="T16" s="15" t="s">
        <v>56</v>
      </c>
      <c r="U16" t="e">
        <f t="shared" ref="U16:AB16" ca="1" si="9">QDIST(U15,U6,U9)</f>
        <v>#NAME?</v>
      </c>
      <c r="V16" t="e">
        <f t="shared" ca="1" si="9"/>
        <v>#NAME?</v>
      </c>
      <c r="W16" t="e">
        <f t="shared" ca="1" si="9"/>
        <v>#NAME?</v>
      </c>
      <c r="X16" t="e">
        <f t="shared" ca="1" si="9"/>
        <v>#NAME?</v>
      </c>
      <c r="Y16" t="e">
        <f t="shared" ca="1" si="9"/>
        <v>#NAME?</v>
      </c>
      <c r="Z16" t="e">
        <f t="shared" ca="1" si="9"/>
        <v>#NAME?</v>
      </c>
      <c r="AA16" t="e">
        <f t="shared" ca="1" si="9"/>
        <v>#NAME?</v>
      </c>
      <c r="AB16" t="e">
        <f t="shared" ca="1" si="9"/>
        <v>#NAME?</v>
      </c>
    </row>
    <row r="17" spans="20:28" x14ac:dyDescent="0.25">
      <c r="T17" t="s">
        <v>188</v>
      </c>
      <c r="U17" s="265" t="e">
        <f t="shared" ref="U17:Z17" ca="1" si="10">IF(U10&lt;U15,"Yes","No")</f>
        <v>#NAME?</v>
      </c>
      <c r="V17" s="265" t="e">
        <f t="shared" ca="1" si="10"/>
        <v>#NAME?</v>
      </c>
      <c r="W17" s="265" t="e">
        <f t="shared" ca="1" si="10"/>
        <v>#NAME?</v>
      </c>
      <c r="X17" s="265" t="e">
        <f t="shared" ca="1" si="10"/>
        <v>#NAME?</v>
      </c>
      <c r="Y17" s="265" t="e">
        <f t="shared" ca="1" si="10"/>
        <v>#NAME?</v>
      </c>
      <c r="Z17" s="265" t="e">
        <f t="shared" ca="1" si="10"/>
        <v>#NAME?</v>
      </c>
      <c r="AA17" s="265" t="e">
        <f t="shared" ref="AA17:AB17" ca="1" si="11">IF(AA10&lt;AA15,"Yes","No")</f>
        <v>#NAME?</v>
      </c>
      <c r="AB17" s="265" t="e">
        <f t="shared" ca="1" si="11"/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22"/>
  <sheetViews>
    <sheetView workbookViewId="0"/>
  </sheetViews>
  <sheetFormatPr defaultRowHeight="15" x14ac:dyDescent="0.25"/>
  <sheetData>
    <row r="1" spans="1:16" x14ac:dyDescent="0.25">
      <c r="A1" s="1" t="s">
        <v>200</v>
      </c>
    </row>
    <row r="3" spans="1:16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E3" s="333" t="s">
        <v>771</v>
      </c>
      <c r="G3" t="s">
        <v>769</v>
      </c>
    </row>
    <row r="4" spans="1:16" ht="15.75" thickTop="1" x14ac:dyDescent="0.25">
      <c r="A4" s="255">
        <v>51</v>
      </c>
      <c r="B4" s="255">
        <v>82</v>
      </c>
      <c r="C4" s="255">
        <v>79</v>
      </c>
      <c r="D4" s="255">
        <v>85</v>
      </c>
      <c r="E4" s="45">
        <v>37</v>
      </c>
      <c r="G4" s="251" t="s">
        <v>757</v>
      </c>
      <c r="H4" s="251" t="s">
        <v>4</v>
      </c>
      <c r="I4" s="251" t="s">
        <v>666</v>
      </c>
      <c r="J4" s="251" t="s">
        <v>770</v>
      </c>
    </row>
    <row r="5" spans="1:16" x14ac:dyDescent="0.25">
      <c r="A5" s="406">
        <v>84</v>
      </c>
      <c r="B5" s="406">
        <v>91</v>
      </c>
      <c r="C5" s="406">
        <v>84</v>
      </c>
      <c r="D5" s="406">
        <v>80</v>
      </c>
      <c r="E5" s="45">
        <v>40</v>
      </c>
      <c r="G5" t="str">
        <f>A3</f>
        <v>Method 1</v>
      </c>
      <c r="H5">
        <f>AVERAGE(A4:A11)</f>
        <v>60</v>
      </c>
      <c r="I5">
        <f>COUNT(A4:A11)</f>
        <v>8</v>
      </c>
      <c r="J5">
        <f>STDEV(A4:A11)</f>
        <v>13.877010793806733</v>
      </c>
    </row>
    <row r="6" spans="1:16" x14ac:dyDescent="0.25">
      <c r="A6" s="406">
        <v>50</v>
      </c>
      <c r="B6" s="406">
        <v>92</v>
      </c>
      <c r="C6" s="406">
        <v>74</v>
      </c>
      <c r="D6" s="406">
        <v>65</v>
      </c>
      <c r="E6" s="45">
        <v>61</v>
      </c>
      <c r="G6" t="str">
        <f>B3</f>
        <v>Method 2</v>
      </c>
      <c r="H6">
        <f>AVERAGE(B4:B11)</f>
        <v>78.625</v>
      </c>
      <c r="I6">
        <f>COUNT(B4:B11)</f>
        <v>8</v>
      </c>
      <c r="J6">
        <f>STDEV(B4:B11)</f>
        <v>12.805551251591742</v>
      </c>
    </row>
    <row r="7" spans="1:16" x14ac:dyDescent="0.25">
      <c r="A7" s="406">
        <v>48</v>
      </c>
      <c r="B7" s="406">
        <v>80</v>
      </c>
      <c r="C7" s="406">
        <v>98</v>
      </c>
      <c r="D7" s="406">
        <v>71</v>
      </c>
      <c r="E7" s="45">
        <v>51</v>
      </c>
      <c r="G7" t="str">
        <f>C3</f>
        <v>Method 3</v>
      </c>
      <c r="H7">
        <f>AVERAGE(C4:C11)</f>
        <v>78</v>
      </c>
      <c r="I7">
        <f>COUNT(C4:C11)</f>
        <v>8</v>
      </c>
      <c r="J7">
        <f>STDEV(C4:C11)</f>
        <v>12.828539611796371</v>
      </c>
    </row>
    <row r="8" spans="1:16" x14ac:dyDescent="0.25">
      <c r="A8" s="406">
        <v>79</v>
      </c>
      <c r="B8" s="406">
        <v>52</v>
      </c>
      <c r="C8" s="406">
        <v>63</v>
      </c>
      <c r="D8" s="406">
        <v>67</v>
      </c>
      <c r="E8" s="45">
        <v>76</v>
      </c>
      <c r="G8" t="str">
        <f>D3</f>
        <v>Method 4</v>
      </c>
      <c r="H8">
        <f>AVERAGE(D4:D11)</f>
        <v>71.875</v>
      </c>
      <c r="I8">
        <f>COUNT(D4:D11)</f>
        <v>8</v>
      </c>
      <c r="J8">
        <f>STDEV(D4:D11)</f>
        <v>13.474181660812334</v>
      </c>
    </row>
    <row r="9" spans="1:16" x14ac:dyDescent="0.25">
      <c r="A9" s="406">
        <v>61</v>
      </c>
      <c r="B9" s="406">
        <v>85</v>
      </c>
      <c r="C9" s="406">
        <v>83</v>
      </c>
      <c r="D9" s="406">
        <v>51</v>
      </c>
      <c r="E9" s="45">
        <v>55</v>
      </c>
      <c r="G9" t="str">
        <f>E3</f>
        <v>Method 5</v>
      </c>
      <c r="H9">
        <f>AVERAGE(E4:E11)</f>
        <v>56.25</v>
      </c>
      <c r="I9">
        <f>COUNT(E4:E11)</f>
        <v>8</v>
      </c>
      <c r="J9">
        <f>STDEV(E4:E11)</f>
        <v>13.519826710639242</v>
      </c>
    </row>
    <row r="10" spans="1:16" x14ac:dyDescent="0.25">
      <c r="A10" s="406">
        <v>53</v>
      </c>
      <c r="B10" s="406">
        <v>73</v>
      </c>
      <c r="C10" s="406">
        <v>85</v>
      </c>
      <c r="D10" s="406">
        <v>63</v>
      </c>
      <c r="E10" s="45">
        <v>60</v>
      </c>
      <c r="G10" s="252"/>
      <c r="H10" s="252"/>
      <c r="I10" s="252"/>
      <c r="J10" s="252"/>
    </row>
    <row r="11" spans="1:16" ht="15.75" thickBot="1" x14ac:dyDescent="0.3">
      <c r="A11" s="390">
        <v>54</v>
      </c>
      <c r="B11" s="390">
        <v>74</v>
      </c>
      <c r="C11" s="390">
        <v>58</v>
      </c>
      <c r="D11" s="390">
        <v>93</v>
      </c>
      <c r="E11" s="439">
        <v>70</v>
      </c>
      <c r="G11" t="s">
        <v>478</v>
      </c>
      <c r="L11" s="435" t="s">
        <v>70</v>
      </c>
      <c r="M11">
        <v>0.05</v>
      </c>
    </row>
    <row r="12" spans="1:16" ht="15.75" thickTop="1" x14ac:dyDescent="0.25">
      <c r="G12" s="251" t="e">
        <f t="array" aca="1" ref="G12:P22" ca="1">REGWQ(A3:E11,TRUE,M11)</f>
        <v>#NAME?</v>
      </c>
      <c r="H12" s="251" t="e">
        <f ca="1"/>
        <v>#NAME?</v>
      </c>
      <c r="I12" s="251" t="e">
        <f ca="1"/>
        <v>#NAME?</v>
      </c>
      <c r="J12" s="251" t="e">
        <f ca="1"/>
        <v>#NAME?</v>
      </c>
      <c r="K12" s="251" t="e">
        <f ca="1"/>
        <v>#NAME?</v>
      </c>
      <c r="L12" s="251" t="e">
        <f ca="1"/>
        <v>#NAME?</v>
      </c>
      <c r="M12" s="251" t="e">
        <f ca="1"/>
        <v>#NAME?</v>
      </c>
      <c r="N12" s="251" t="e">
        <f ca="1"/>
        <v>#NAME?</v>
      </c>
      <c r="O12" s="251" t="e">
        <f ca="1"/>
        <v>#NAME?</v>
      </c>
      <c r="P12" s="251" t="e">
        <f ca="1"/>
        <v>#NAME?</v>
      </c>
    </row>
    <row r="13" spans="1:16" x14ac:dyDescent="0.25"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7" t="e">
        <f ca="1"/>
        <v>#NAME?</v>
      </c>
      <c r="P13" s="406" t="e">
        <f ca="1"/>
        <v>#NAME?</v>
      </c>
    </row>
    <row r="14" spans="1:16" x14ac:dyDescent="0.25"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7" t="e">
        <f ca="1"/>
        <v>#NAME?</v>
      </c>
      <c r="P14" s="406" t="e">
        <f ca="1"/>
        <v>#NAME?</v>
      </c>
    </row>
    <row r="15" spans="1:16" x14ac:dyDescent="0.25"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7" t="e">
        <f ca="1"/>
        <v>#NAME?</v>
      </c>
      <c r="P15" s="406" t="e">
        <f ca="1"/>
        <v>#NAME?</v>
      </c>
    </row>
    <row r="16" spans="1:16" x14ac:dyDescent="0.25"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7" t="e">
        <f ca="1"/>
        <v>#NAME?</v>
      </c>
      <c r="P16" s="406" t="e">
        <f ca="1"/>
        <v>#NAME?</v>
      </c>
    </row>
    <row r="17" spans="7:16" x14ac:dyDescent="0.25">
      <c r="G17" s="7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7" t="e">
        <f ca="1"/>
        <v>#NAME?</v>
      </c>
      <c r="M17" s="7" t="e">
        <f ca="1"/>
        <v>#NAME?</v>
      </c>
      <c r="N17" s="7" t="e">
        <f ca="1"/>
        <v>#NAME?</v>
      </c>
      <c r="O17" s="7" t="e">
        <f ca="1"/>
        <v>#NAME?</v>
      </c>
      <c r="P17" s="406" t="e">
        <f ca="1"/>
        <v>#NAME?</v>
      </c>
    </row>
    <row r="18" spans="7:16" x14ac:dyDescent="0.25">
      <c r="G18" s="7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7" t="e">
        <f ca="1"/>
        <v>#NAME?</v>
      </c>
      <c r="M18" s="7" t="e">
        <f ca="1"/>
        <v>#NAME?</v>
      </c>
      <c r="N18" s="7" t="e">
        <f ca="1"/>
        <v>#NAME?</v>
      </c>
      <c r="O18" s="7" t="e">
        <f ca="1"/>
        <v>#NAME?</v>
      </c>
      <c r="P18" s="406" t="e">
        <f ca="1"/>
        <v>#NAME?</v>
      </c>
    </row>
    <row r="19" spans="7:16" x14ac:dyDescent="0.25">
      <c r="G19" s="7" t="e">
        <f ca="1"/>
        <v>#NAME?</v>
      </c>
      <c r="H19" s="7" t="e">
        <f ca="1"/>
        <v>#NAME?</v>
      </c>
      <c r="I19" s="7" t="e">
        <f ca="1"/>
        <v>#NAME?</v>
      </c>
      <c r="J19" s="7" t="e">
        <f ca="1"/>
        <v>#NAME?</v>
      </c>
      <c r="K19" s="7" t="e">
        <f ca="1"/>
        <v>#NAME?</v>
      </c>
      <c r="L19" s="7" t="e">
        <f ca="1"/>
        <v>#NAME?</v>
      </c>
      <c r="M19" s="7" t="e">
        <f ca="1"/>
        <v>#NAME?</v>
      </c>
      <c r="N19" s="7" t="e">
        <f ca="1"/>
        <v>#NAME?</v>
      </c>
      <c r="O19" s="7" t="e">
        <f ca="1"/>
        <v>#NAME?</v>
      </c>
      <c r="P19" s="406" t="e">
        <f ca="1"/>
        <v>#NAME?</v>
      </c>
    </row>
    <row r="20" spans="7:16" x14ac:dyDescent="0.25">
      <c r="G20" s="7" t="e">
        <f ca="1"/>
        <v>#NAME?</v>
      </c>
      <c r="H20" s="7" t="e">
        <f ca="1"/>
        <v>#NAME?</v>
      </c>
      <c r="I20" s="7" t="e">
        <f ca="1"/>
        <v>#NAME?</v>
      </c>
      <c r="J20" s="7" t="e">
        <f ca="1"/>
        <v>#NAME?</v>
      </c>
      <c r="K20" s="7" t="e">
        <f ca="1"/>
        <v>#NAME?</v>
      </c>
      <c r="L20" s="7" t="e">
        <f ca="1"/>
        <v>#NAME?</v>
      </c>
      <c r="M20" s="7" t="e">
        <f ca="1"/>
        <v>#NAME?</v>
      </c>
      <c r="N20" s="7" t="e">
        <f ca="1"/>
        <v>#NAME?</v>
      </c>
      <c r="O20" s="7" t="e">
        <f ca="1"/>
        <v>#NAME?</v>
      </c>
      <c r="P20" s="406" t="e">
        <f ca="1"/>
        <v>#NAME?</v>
      </c>
    </row>
    <row r="21" spans="7:16" x14ac:dyDescent="0.25">
      <c r="G21" s="7" t="e">
        <f ca="1"/>
        <v>#NAME?</v>
      </c>
      <c r="H21" s="7" t="e">
        <f ca="1"/>
        <v>#NAME?</v>
      </c>
      <c r="I21" s="7" t="e">
        <f ca="1"/>
        <v>#NAME?</v>
      </c>
      <c r="J21" s="7" t="e">
        <f ca="1"/>
        <v>#NAME?</v>
      </c>
      <c r="K21" s="7" t="e">
        <f ca="1"/>
        <v>#NAME?</v>
      </c>
      <c r="L21" s="7" t="e">
        <f ca="1"/>
        <v>#NAME?</v>
      </c>
      <c r="M21" s="7" t="e">
        <f ca="1"/>
        <v>#NAME?</v>
      </c>
      <c r="N21" s="7" t="e">
        <f ca="1"/>
        <v>#NAME?</v>
      </c>
      <c r="O21" s="7" t="e">
        <f ca="1"/>
        <v>#NAME?</v>
      </c>
      <c r="P21" s="406" t="e">
        <f ca="1"/>
        <v>#NAME?</v>
      </c>
    </row>
    <row r="22" spans="7:16" x14ac:dyDescent="0.25">
      <c r="G22" s="224" t="e">
        <f ca="1"/>
        <v>#NAME?</v>
      </c>
      <c r="H22" s="224" t="e">
        <f ca="1"/>
        <v>#NAME?</v>
      </c>
      <c r="I22" s="224" t="e">
        <f ca="1"/>
        <v>#NAME?</v>
      </c>
      <c r="J22" s="224" t="e">
        <f ca="1"/>
        <v>#NAME?</v>
      </c>
      <c r="K22" s="224" t="e">
        <f ca="1"/>
        <v>#NAME?</v>
      </c>
      <c r="L22" s="224" t="e">
        <f ca="1"/>
        <v>#NAME?</v>
      </c>
      <c r="M22" s="224" t="e">
        <f ca="1"/>
        <v>#NAME?</v>
      </c>
      <c r="N22" s="224" t="e">
        <f ca="1"/>
        <v>#NAME?</v>
      </c>
      <c r="O22" s="224" t="e">
        <f ca="1"/>
        <v>#NAME?</v>
      </c>
      <c r="P22" s="390" t="e">
        <f ca="1"/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13"/>
  <sheetViews>
    <sheetView workbookViewId="0"/>
  </sheetViews>
  <sheetFormatPr defaultRowHeight="15" x14ac:dyDescent="0.25"/>
  <cols>
    <col min="5" max="5" width="4.140625" customWidth="1"/>
  </cols>
  <sheetData>
    <row r="1" spans="1:14" x14ac:dyDescent="0.25">
      <c r="A1" s="1" t="s">
        <v>617</v>
      </c>
    </row>
    <row r="2" spans="1:14" ht="15.75" thickBot="1" x14ac:dyDescent="0.3">
      <c r="F2" t="s">
        <v>618</v>
      </c>
      <c r="I2" s="435" t="s">
        <v>70</v>
      </c>
      <c r="J2">
        <v>0.05</v>
      </c>
    </row>
    <row r="3" spans="1:14" ht="15.75" thickTop="1" x14ac:dyDescent="0.25">
      <c r="A3" s="255" t="s">
        <v>33</v>
      </c>
      <c r="B3" s="255" t="s">
        <v>34</v>
      </c>
      <c r="C3" s="255" t="s">
        <v>40</v>
      </c>
      <c r="D3" s="255" t="s">
        <v>41</v>
      </c>
      <c r="F3" s="251" t="s">
        <v>757</v>
      </c>
      <c r="G3" s="251" t="s">
        <v>4</v>
      </c>
      <c r="H3" s="251" t="s">
        <v>666</v>
      </c>
      <c r="I3" s="251" t="s">
        <v>385</v>
      </c>
      <c r="J3" s="251" t="s">
        <v>51</v>
      </c>
      <c r="K3" s="251" t="s">
        <v>620</v>
      </c>
    </row>
    <row r="4" spans="1:14" x14ac:dyDescent="0.25">
      <c r="A4" s="255">
        <v>51</v>
      </c>
      <c r="B4" s="255">
        <v>82</v>
      </c>
      <c r="C4" s="255">
        <v>79</v>
      </c>
      <c r="D4" s="255">
        <v>85</v>
      </c>
      <c r="F4" t="str">
        <f>A3</f>
        <v>Method 1</v>
      </c>
      <c r="G4">
        <f>AVERAGE(A4:A11)</f>
        <v>60.375</v>
      </c>
      <c r="H4">
        <f>COUNT(A4:A11)</f>
        <v>8</v>
      </c>
      <c r="I4">
        <f>DEVSQ(A4:A11)</f>
        <v>1499.875</v>
      </c>
    </row>
    <row r="5" spans="1:14" x14ac:dyDescent="0.25">
      <c r="A5" s="406">
        <v>87</v>
      </c>
      <c r="B5" s="406">
        <v>91</v>
      </c>
      <c r="C5" s="406">
        <v>84</v>
      </c>
      <c r="D5" s="406">
        <v>80</v>
      </c>
      <c r="F5" t="str">
        <f>B3</f>
        <v>Method 2</v>
      </c>
      <c r="G5">
        <f>AVERAGE(B4:B11)</f>
        <v>77.875</v>
      </c>
      <c r="H5">
        <f>COUNT(B4:B11)</f>
        <v>8</v>
      </c>
      <c r="I5">
        <f>DEVSQ(B4:B11)</f>
        <v>1102.875</v>
      </c>
    </row>
    <row r="6" spans="1:14" x14ac:dyDescent="0.25">
      <c r="A6" s="406">
        <v>50</v>
      </c>
      <c r="B6" s="406">
        <v>92</v>
      </c>
      <c r="C6" s="406">
        <v>74</v>
      </c>
      <c r="D6" s="406">
        <v>65</v>
      </c>
      <c r="F6" t="str">
        <f>C3</f>
        <v>Method 3</v>
      </c>
      <c r="G6">
        <f>AVERAGE(C4:C11)</f>
        <v>78</v>
      </c>
      <c r="H6">
        <f>COUNT(C4:C11)</f>
        <v>8</v>
      </c>
      <c r="I6">
        <f>DEVSQ(C4:C11)</f>
        <v>1152</v>
      </c>
    </row>
    <row r="7" spans="1:14" x14ac:dyDescent="0.25">
      <c r="A7" s="406">
        <v>48</v>
      </c>
      <c r="B7" s="406">
        <v>80</v>
      </c>
      <c r="C7" s="406">
        <v>98</v>
      </c>
      <c r="D7" s="406">
        <v>71</v>
      </c>
      <c r="F7" t="str">
        <f>D3</f>
        <v>Method 4</v>
      </c>
      <c r="G7">
        <f>AVERAGE(D4:D11)</f>
        <v>71.875</v>
      </c>
      <c r="H7">
        <f>COUNT(D4:D11)</f>
        <v>8</v>
      </c>
      <c r="I7">
        <f>DEVSQ(D4:D11)</f>
        <v>1270.875</v>
      </c>
    </row>
    <row r="8" spans="1:14" x14ac:dyDescent="0.25">
      <c r="A8" s="406">
        <v>79</v>
      </c>
      <c r="B8" s="406">
        <v>52</v>
      </c>
      <c r="C8" s="406">
        <v>63</v>
      </c>
      <c r="D8" s="406">
        <v>67</v>
      </c>
      <c r="F8" s="252"/>
      <c r="G8" s="252"/>
      <c r="H8" s="252">
        <f>SUM(H4:H7)</f>
        <v>32</v>
      </c>
      <c r="I8" s="252">
        <f>SUM(I4:I7)</f>
        <v>5025.625</v>
      </c>
      <c r="J8" s="252">
        <f>H8-COUNT(H4:H7)</f>
        <v>28</v>
      </c>
      <c r="K8" s="252" t="e">
        <f ca="1">DCRIT(COUNT(H4:H7),J8,J2)</f>
        <v>#NAME?</v>
      </c>
    </row>
    <row r="9" spans="1:14" ht="15.75" thickBot="1" x14ac:dyDescent="0.3">
      <c r="A9" s="406">
        <v>61</v>
      </c>
      <c r="B9" s="406">
        <v>79</v>
      </c>
      <c r="C9" s="406">
        <v>83</v>
      </c>
      <c r="D9" s="406">
        <v>51</v>
      </c>
      <c r="F9" t="s">
        <v>55</v>
      </c>
    </row>
    <row r="10" spans="1:14" ht="15.75" thickTop="1" x14ac:dyDescent="0.25">
      <c r="A10" s="406">
        <v>53</v>
      </c>
      <c r="B10" s="406">
        <v>73</v>
      </c>
      <c r="C10" s="406">
        <v>85</v>
      </c>
      <c r="D10" s="406">
        <v>63</v>
      </c>
      <c r="F10" s="251" t="s">
        <v>757</v>
      </c>
      <c r="G10" s="251" t="s">
        <v>4</v>
      </c>
      <c r="H10" s="251" t="s">
        <v>370</v>
      </c>
      <c r="I10" s="251" t="s">
        <v>619</v>
      </c>
      <c r="J10" s="251" t="s">
        <v>26</v>
      </c>
      <c r="K10" s="251" t="s">
        <v>27</v>
      </c>
      <c r="L10" s="251" t="s">
        <v>56</v>
      </c>
      <c r="M10" s="251" t="s">
        <v>760</v>
      </c>
      <c r="N10" s="251" t="s">
        <v>54</v>
      </c>
    </row>
    <row r="11" spans="1:14" x14ac:dyDescent="0.25">
      <c r="A11" s="390">
        <v>54</v>
      </c>
      <c r="B11" s="390">
        <v>74</v>
      </c>
      <c r="C11" s="390">
        <v>58</v>
      </c>
      <c r="D11" s="390">
        <v>93</v>
      </c>
      <c r="F11" s="252" t="str">
        <f>F5</f>
        <v>Method 2</v>
      </c>
      <c r="G11" s="252">
        <f>G$4-G5</f>
        <v>-17.5</v>
      </c>
      <c r="H11" s="252">
        <f>SQRT(I$8/J$8*(1/H$4+1/H5))</f>
        <v>6.6986305903307048</v>
      </c>
      <c r="I11" s="252">
        <f>ABS(G11/H11)</f>
        <v>2.6124742608229186</v>
      </c>
      <c r="J11" s="252" t="e">
        <f ca="1">G11-H11*K$8</f>
        <v>#NAME?</v>
      </c>
      <c r="K11" s="252" t="e">
        <f ca="1">G11+H11*K$8</f>
        <v>#NAME?</v>
      </c>
      <c r="L11" s="252" t="e">
        <f ca="1">DPROB(I11,COUNT(H$4:H$7),J$8)</f>
        <v>#NAME?</v>
      </c>
      <c r="M11" s="252" t="e">
        <f ca="1">H11*K$8</f>
        <v>#NAME?</v>
      </c>
      <c r="N11" s="252">
        <f>ABS(G11)*SQRT(J$8/I$8)</f>
        <v>1.3062371304114593</v>
      </c>
    </row>
    <row r="12" spans="1:14" x14ac:dyDescent="0.25">
      <c r="F12" s="7" t="str">
        <f t="shared" ref="F12:F13" si="0">F6</f>
        <v>Method 3</v>
      </c>
      <c r="G12" s="7">
        <f t="shared" ref="G12:G13" si="1">G$4-G6</f>
        <v>-17.625</v>
      </c>
      <c r="H12" s="7">
        <f t="shared" ref="H12:H13" si="2">SQRT(I$8/J$8*(1/H$4+1/H6))</f>
        <v>6.6986305903307048</v>
      </c>
      <c r="I12" s="7">
        <f t="shared" ref="I12:I13" si="3">ABS(G12/H12)</f>
        <v>2.6311347912573684</v>
      </c>
      <c r="J12" s="7" t="e">
        <f t="shared" ref="J12:J13" ca="1" si="4">G12-H12*K$8</f>
        <v>#NAME?</v>
      </c>
      <c r="K12" s="7" t="e">
        <f t="shared" ref="K12:K13" ca="1" si="5">G12+H12*K$8</f>
        <v>#NAME?</v>
      </c>
      <c r="L12" s="7" t="e">
        <f ca="1">DPROB(I12,COUNT(H$4:H$7),J$8)</f>
        <v>#NAME?</v>
      </c>
      <c r="M12" s="7" t="e">
        <f t="shared" ref="M12:M13" ca="1" si="6">H12*K$8</f>
        <v>#NAME?</v>
      </c>
      <c r="N12" s="7">
        <f t="shared" ref="N12:N13" si="7">ABS(G12)*SQRT(J$8/I$8)</f>
        <v>1.315567395628684</v>
      </c>
    </row>
    <row r="13" spans="1:14" x14ac:dyDescent="0.25">
      <c r="F13" s="224" t="str">
        <f t="shared" si="0"/>
        <v>Method 4</v>
      </c>
      <c r="G13" s="224">
        <f t="shared" si="1"/>
        <v>-11.5</v>
      </c>
      <c r="H13" s="224">
        <f t="shared" si="2"/>
        <v>6.6986305903307048</v>
      </c>
      <c r="I13" s="224">
        <f t="shared" si="3"/>
        <v>1.7167687999693466</v>
      </c>
      <c r="J13" s="224" t="e">
        <f t="shared" ca="1" si="4"/>
        <v>#NAME?</v>
      </c>
      <c r="K13" s="224" t="e">
        <f t="shared" ca="1" si="5"/>
        <v>#NAME?</v>
      </c>
      <c r="L13" s="224" t="e">
        <f ca="1">DPROB(I13,COUNT(H$4:H$7),J$8)</f>
        <v>#NAME?</v>
      </c>
      <c r="M13" s="224" t="e">
        <f t="shared" ca="1" si="6"/>
        <v>#NAME?</v>
      </c>
      <c r="N13" s="224">
        <f t="shared" si="7"/>
        <v>0.85838439998467331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8"/>
  <sheetViews>
    <sheetView workbookViewId="0">
      <selection activeCell="M24" sqref="M24"/>
    </sheetView>
  </sheetViews>
  <sheetFormatPr defaultRowHeight="15" x14ac:dyDescent="0.25"/>
  <cols>
    <col min="5" max="5" width="4.5703125" customWidth="1"/>
  </cols>
  <sheetData>
    <row r="1" spans="1:11" x14ac:dyDescent="0.25">
      <c r="A1" s="1" t="s">
        <v>156</v>
      </c>
    </row>
    <row r="2" spans="1:11" ht="15.75" thickBot="1" x14ac:dyDescent="0.3">
      <c r="A2" s="545"/>
      <c r="B2" s="545"/>
      <c r="F2" t="s">
        <v>880</v>
      </c>
      <c r="I2" s="545" t="s">
        <v>70</v>
      </c>
      <c r="J2">
        <v>0.05</v>
      </c>
    </row>
    <row r="3" spans="1:11" ht="15.75" thickTop="1" x14ac:dyDescent="0.25">
      <c r="A3" s="255" t="s">
        <v>33</v>
      </c>
      <c r="B3" s="255" t="s">
        <v>34</v>
      </c>
      <c r="C3" s="255" t="s">
        <v>40</v>
      </c>
      <c r="D3" s="255" t="s">
        <v>41</v>
      </c>
      <c r="F3" s="251" t="s">
        <v>757</v>
      </c>
      <c r="G3" s="251" t="s">
        <v>4</v>
      </c>
      <c r="H3" s="251" t="s">
        <v>666</v>
      </c>
      <c r="I3" s="251" t="s">
        <v>881</v>
      </c>
      <c r="J3" s="251" t="s">
        <v>51</v>
      </c>
      <c r="K3" s="251" t="s">
        <v>620</v>
      </c>
    </row>
    <row r="4" spans="1:11" x14ac:dyDescent="0.25">
      <c r="A4" s="255">
        <v>51</v>
      </c>
      <c r="B4" s="255">
        <v>82</v>
      </c>
      <c r="C4" s="255">
        <v>79</v>
      </c>
      <c r="D4" s="255">
        <v>85</v>
      </c>
      <c r="F4" t="str">
        <f>A3</f>
        <v>Method 1</v>
      </c>
      <c r="G4">
        <f>AVERAGE(A4:A11)</f>
        <v>60.375</v>
      </c>
      <c r="H4">
        <f>COUNT(A4:A11)</f>
        <v>8</v>
      </c>
      <c r="I4">
        <f>DEVSQ(A4:A11)</f>
        <v>1499.875</v>
      </c>
    </row>
    <row r="5" spans="1:11" x14ac:dyDescent="0.25">
      <c r="A5" s="545">
        <v>87</v>
      </c>
      <c r="B5" s="545">
        <v>91</v>
      </c>
      <c r="C5" s="545">
        <v>84</v>
      </c>
      <c r="D5" s="545">
        <v>80</v>
      </c>
      <c r="F5" t="str">
        <f>B3</f>
        <v>Method 2</v>
      </c>
      <c r="G5">
        <f>AVERAGE(B4:B11)</f>
        <v>77.875</v>
      </c>
      <c r="H5">
        <f>COUNT(B4:B11)</f>
        <v>8</v>
      </c>
      <c r="I5">
        <f>DEVSQ(B4:B11)</f>
        <v>1102.875</v>
      </c>
    </row>
    <row r="6" spans="1:11" x14ac:dyDescent="0.25">
      <c r="A6" s="545">
        <v>50</v>
      </c>
      <c r="B6" s="545">
        <v>92</v>
      </c>
      <c r="C6" s="545">
        <v>74</v>
      </c>
      <c r="D6" s="545">
        <v>65</v>
      </c>
      <c r="F6" t="str">
        <f>C3</f>
        <v>Method 3</v>
      </c>
      <c r="G6">
        <f>AVERAGE(C4:C11)</f>
        <v>78</v>
      </c>
      <c r="H6">
        <f>COUNT(C4:C11)</f>
        <v>8</v>
      </c>
      <c r="I6">
        <f>DEVSQ(C4:C11)</f>
        <v>1152</v>
      </c>
    </row>
    <row r="7" spans="1:11" x14ac:dyDescent="0.25">
      <c r="A7" s="545">
        <v>48</v>
      </c>
      <c r="B7" s="545">
        <v>80</v>
      </c>
      <c r="C7" s="545">
        <v>98</v>
      </c>
      <c r="D7" s="545">
        <v>71</v>
      </c>
      <c r="F7" t="str">
        <f>D3</f>
        <v>Method 4</v>
      </c>
      <c r="G7">
        <f>AVERAGE(D4:D11)</f>
        <v>71.875</v>
      </c>
      <c r="H7">
        <f>COUNT(D4:D11)</f>
        <v>8</v>
      </c>
      <c r="I7">
        <f>DEVSQ(D4:D11)</f>
        <v>1270.875</v>
      </c>
    </row>
    <row r="8" spans="1:11" x14ac:dyDescent="0.25">
      <c r="A8" s="545">
        <v>79</v>
      </c>
      <c r="B8" s="545">
        <v>52</v>
      </c>
      <c r="C8" s="545">
        <v>63</v>
      </c>
      <c r="D8" s="545">
        <v>67</v>
      </c>
      <c r="F8" s="252"/>
      <c r="G8" s="252"/>
      <c r="H8" s="252">
        <f>SUM(H4:H7)</f>
        <v>32</v>
      </c>
      <c r="I8" s="252">
        <f>SQRT(SUM(I4:I7)/J8)</f>
        <v>13.39726118066141</v>
      </c>
      <c r="J8" s="252">
        <f>H8-COUNT(H4:H7)</f>
        <v>28</v>
      </c>
      <c r="K8" s="252" t="e">
        <f ca="1">DCRIT1(COUNT(H4:H7),J8,J2)</f>
        <v>#NAME?</v>
      </c>
    </row>
    <row r="9" spans="1:11" ht="15.75" thickBot="1" x14ac:dyDescent="0.3">
      <c r="A9" s="545">
        <v>61</v>
      </c>
      <c r="B9" s="545">
        <v>79</v>
      </c>
      <c r="C9" s="545">
        <v>83</v>
      </c>
      <c r="D9" s="545">
        <v>51</v>
      </c>
      <c r="F9" t="s">
        <v>882</v>
      </c>
    </row>
    <row r="10" spans="1:11" ht="15.75" thickTop="1" x14ac:dyDescent="0.25">
      <c r="A10" s="545">
        <v>53</v>
      </c>
      <c r="B10" s="545">
        <v>73</v>
      </c>
      <c r="C10" s="545">
        <v>85</v>
      </c>
      <c r="D10" s="545">
        <v>63</v>
      </c>
      <c r="F10" s="251" t="s">
        <v>757</v>
      </c>
      <c r="G10" s="251" t="s">
        <v>4</v>
      </c>
      <c r="H10" s="251" t="s">
        <v>883</v>
      </c>
      <c r="I10" s="251" t="s">
        <v>884</v>
      </c>
      <c r="J10" s="251" t="s">
        <v>26</v>
      </c>
      <c r="K10" s="251" t="s">
        <v>27</v>
      </c>
    </row>
    <row r="11" spans="1:11" x14ac:dyDescent="0.25">
      <c r="A11" s="544">
        <v>54</v>
      </c>
      <c r="B11" s="544">
        <v>74</v>
      </c>
      <c r="C11" s="544">
        <v>58</v>
      </c>
      <c r="D11" s="544">
        <v>93</v>
      </c>
      <c r="F11" s="252" t="str">
        <f>F4</f>
        <v>Method 1</v>
      </c>
      <c r="G11" s="252">
        <f>G4</f>
        <v>60.375</v>
      </c>
      <c r="H11" s="252" t="e">
        <f ca="1">INDEX_MAX(G$11:G$14,G11)</f>
        <v>#NAME?</v>
      </c>
      <c r="I11" s="252" t="e">
        <f ca="1">G11-INDEX(G$11:G$14,H11)</f>
        <v>#NAME?</v>
      </c>
      <c r="J11" s="252" t="e">
        <f ca="1">MIN(0,G11-INDEX(G$11:G$14,H11)-I$8*K$8*SQRT(1/H4+1/INDEX(H$4:H$7,H11)))</f>
        <v>#NAME?</v>
      </c>
      <c r="K11" s="252" t="e">
        <f ca="1">MAX(0,G11-INDEX(G$11:G$14,H11)+I$8*K$8*SQRT(1/H4+1/INDEX(H$4:H$7,H11)))</f>
        <v>#NAME?</v>
      </c>
    </row>
    <row r="12" spans="1:11" x14ac:dyDescent="0.25">
      <c r="A12" s="545"/>
      <c r="B12" s="545"/>
      <c r="F12" t="str">
        <f t="shared" ref="F12:G14" si="0">F5</f>
        <v>Method 2</v>
      </c>
      <c r="G12">
        <f t="shared" si="0"/>
        <v>77.875</v>
      </c>
      <c r="H12" t="e">
        <f ca="1">INDEX_MAX(G$11:G$14,G12)</f>
        <v>#NAME?</v>
      </c>
      <c r="I12" t="e">
        <f t="shared" ref="I12:I14" ca="1" si="1">G12-INDEX(G$11:G$14,H12)</f>
        <v>#NAME?</v>
      </c>
      <c r="J12" t="e">
        <f t="shared" ref="J12:J14" ca="1" si="2">MIN(0,G12-INDEX(G$11:G$14,H12)-I$8*K$8*SQRT(1/H5+1/INDEX(H$4:H$7,H12)))</f>
        <v>#NAME?</v>
      </c>
      <c r="K12" t="e">
        <f t="shared" ref="K12:K14" ca="1" si="3">MAX(0,G12-INDEX(G$11:G$14,H12)+I$8*K$8*SQRT(1/H5+1/INDEX(H$4:H$7,H12)))</f>
        <v>#NAME?</v>
      </c>
    </row>
    <row r="13" spans="1:11" x14ac:dyDescent="0.25">
      <c r="A13" s="545"/>
      <c r="B13" s="545"/>
      <c r="F13" t="str">
        <f t="shared" si="0"/>
        <v>Method 3</v>
      </c>
      <c r="G13">
        <f t="shared" si="0"/>
        <v>78</v>
      </c>
      <c r="H13" t="e">
        <f ca="1">INDEX_MAX(G$11:G$14,G13)</f>
        <v>#NAME?</v>
      </c>
      <c r="I13" t="e">
        <f t="shared" ca="1" si="1"/>
        <v>#NAME?</v>
      </c>
      <c r="J13" t="e">
        <f t="shared" ca="1" si="2"/>
        <v>#NAME?</v>
      </c>
      <c r="K13" t="e">
        <f t="shared" ca="1" si="3"/>
        <v>#NAME?</v>
      </c>
    </row>
    <row r="14" spans="1:11" x14ac:dyDescent="0.25">
      <c r="A14" s="545"/>
      <c r="B14" s="545"/>
      <c r="F14" s="516" t="str">
        <f t="shared" si="0"/>
        <v>Method 4</v>
      </c>
      <c r="G14" s="516">
        <f t="shared" si="0"/>
        <v>71.875</v>
      </c>
      <c r="H14" s="516" t="e">
        <f ca="1">INDEX_MAX(G$11:G$14,G14)</f>
        <v>#NAME?</v>
      </c>
      <c r="I14" s="516" t="e">
        <f t="shared" ca="1" si="1"/>
        <v>#NAME?</v>
      </c>
      <c r="J14" s="516" t="e">
        <f t="shared" ca="1" si="2"/>
        <v>#NAME?</v>
      </c>
      <c r="K14" s="516" t="e">
        <f t="shared" ca="1" si="3"/>
        <v>#NAME?</v>
      </c>
    </row>
    <row r="15" spans="1:11" x14ac:dyDescent="0.25">
      <c r="A15" s="545"/>
      <c r="B15" s="545"/>
    </row>
    <row r="16" spans="1:11" ht="15.75" thickBot="1" x14ac:dyDescent="0.3">
      <c r="A16" s="545"/>
      <c r="B16" s="545"/>
      <c r="F16" t="s">
        <v>880</v>
      </c>
      <c r="I16" s="545" t="s">
        <v>70</v>
      </c>
      <c r="J16">
        <v>0.05</v>
      </c>
    </row>
    <row r="17" spans="1:11" ht="15.75" thickTop="1" x14ac:dyDescent="0.25">
      <c r="A17" s="545"/>
      <c r="B17" s="545"/>
      <c r="F17" s="251" t="s">
        <v>757</v>
      </c>
      <c r="G17" s="251" t="s">
        <v>4</v>
      </c>
      <c r="H17" s="251" t="s">
        <v>666</v>
      </c>
      <c r="I17" s="251" t="s">
        <v>881</v>
      </c>
      <c r="J17" s="251" t="s">
        <v>51</v>
      </c>
      <c r="K17" s="251" t="s">
        <v>620</v>
      </c>
    </row>
    <row r="18" spans="1:11" x14ac:dyDescent="0.25">
      <c r="F18" t="str">
        <f>A3</f>
        <v>Method 1</v>
      </c>
      <c r="G18">
        <f>AVERAGE(A4:A11)</f>
        <v>60.375</v>
      </c>
      <c r="H18">
        <f>COUNT(A4:A11)</f>
        <v>8</v>
      </c>
      <c r="I18">
        <f>DEVSQ(A4:A11)</f>
        <v>1499.875</v>
      </c>
    </row>
    <row r="19" spans="1:11" x14ac:dyDescent="0.25">
      <c r="F19" t="str">
        <f>B3</f>
        <v>Method 2</v>
      </c>
      <c r="G19">
        <f>AVERAGE(B4:B11)</f>
        <v>77.875</v>
      </c>
      <c r="H19">
        <f>COUNT(B4:B11)</f>
        <v>8</v>
      </c>
      <c r="I19">
        <f>DEVSQ(B4:B11)</f>
        <v>1102.875</v>
      </c>
    </row>
    <row r="20" spans="1:11" x14ac:dyDescent="0.25">
      <c r="F20" t="str">
        <f>C3</f>
        <v>Method 3</v>
      </c>
      <c r="G20">
        <f>AVERAGE(C4:C11)</f>
        <v>78</v>
      </c>
      <c r="H20">
        <f>COUNT(C4:C11)</f>
        <v>8</v>
      </c>
      <c r="I20">
        <f>DEVSQ(C4:C11)</f>
        <v>1152</v>
      </c>
    </row>
    <row r="21" spans="1:11" x14ac:dyDescent="0.25">
      <c r="F21" t="str">
        <f>D3</f>
        <v>Method 4</v>
      </c>
      <c r="G21">
        <f>AVERAGE(D4:D11)</f>
        <v>71.875</v>
      </c>
      <c r="H21">
        <f>COUNT(D4:D11)</f>
        <v>8</v>
      </c>
      <c r="I21">
        <f>DEVSQ(D4:D11)</f>
        <v>1270.875</v>
      </c>
    </row>
    <row r="22" spans="1:11" x14ac:dyDescent="0.25">
      <c r="F22" s="252"/>
      <c r="G22" s="252"/>
      <c r="H22" s="252">
        <f>SUM(H18:H21)</f>
        <v>32</v>
      </c>
      <c r="I22" s="252">
        <f>SQRT(SUM(I18:I21)/J22)</f>
        <v>13.39726118066141</v>
      </c>
      <c r="J22" s="252">
        <f>H22-COUNT(H18:H21)</f>
        <v>28</v>
      </c>
      <c r="K22" s="252" t="e">
        <f ca="1">DCRIT1(COUNT(H18:H21),J22,J16)</f>
        <v>#NAME?</v>
      </c>
    </row>
    <row r="23" spans="1:11" ht="15.75" thickBot="1" x14ac:dyDescent="0.3">
      <c r="F23" t="s">
        <v>885</v>
      </c>
    </row>
    <row r="24" spans="1:11" ht="15.75" thickTop="1" x14ac:dyDescent="0.25">
      <c r="F24" s="251" t="s">
        <v>757</v>
      </c>
      <c r="G24" s="251" t="s">
        <v>4</v>
      </c>
      <c r="H24" s="251" t="s">
        <v>883</v>
      </c>
      <c r="I24" s="251" t="s">
        <v>884</v>
      </c>
      <c r="J24" s="251" t="s">
        <v>26</v>
      </c>
      <c r="K24" s="251" t="s">
        <v>27</v>
      </c>
    </row>
    <row r="25" spans="1:11" x14ac:dyDescent="0.25">
      <c r="F25" s="252" t="str">
        <f>F18</f>
        <v>Method 1</v>
      </c>
      <c r="G25" s="252">
        <f>G18</f>
        <v>60.375</v>
      </c>
      <c r="H25" s="252" t="e">
        <f ca="1">INDEX_MIN(G$25:G$28,G25)</f>
        <v>#NAME?</v>
      </c>
      <c r="I25" s="252" t="e">
        <f ca="1">G25-INDEX(G$25:G$28,H25)</f>
        <v>#NAME?</v>
      </c>
      <c r="J25" s="252" t="e">
        <f ca="1">MIN(0,G25-INDEX(G$25:G$28,H25)-I$22*K$22*SQRT(1/H18+1/INDEX(H$18:H$21,H25)))</f>
        <v>#NAME?</v>
      </c>
      <c r="K25" s="252" t="e">
        <f ca="1">MAX(0,G25-INDEX(G$25:G$28,H25)+I$22*K$22*SQRT(1/H18+1/INDEX(H$18:H$21,H25)))</f>
        <v>#NAME?</v>
      </c>
    </row>
    <row r="26" spans="1:11" x14ac:dyDescent="0.25">
      <c r="F26" t="str">
        <f t="shared" ref="F26:G28" si="4">F19</f>
        <v>Method 2</v>
      </c>
      <c r="G26">
        <f t="shared" si="4"/>
        <v>77.875</v>
      </c>
      <c r="H26" t="e">
        <f ca="1">INDEX_MIN(G$25:G$28,G26)</f>
        <v>#NAME?</v>
      </c>
      <c r="I26" t="e">
        <f t="shared" ref="I26:I28" ca="1" si="5">G26-INDEX(G$25:G$28,H26)</f>
        <v>#NAME?</v>
      </c>
      <c r="J26" t="e">
        <f t="shared" ref="J26:J28" ca="1" si="6">MIN(0,G26-INDEX(G$25:G$28,H26)-I$22*K$22*SQRT(1/H19+1/INDEX(H$18:H$21,H26)))</f>
        <v>#NAME?</v>
      </c>
      <c r="K26" t="e">
        <f t="shared" ref="K26:K28" ca="1" si="7">MAX(0,G26-INDEX(G$25:G$28,H26)+I$22*K$22*SQRT(1/H19+1/INDEX(H$18:H$21,H26)))</f>
        <v>#NAME?</v>
      </c>
    </row>
    <row r="27" spans="1:11" x14ac:dyDescent="0.25">
      <c r="F27" t="str">
        <f t="shared" si="4"/>
        <v>Method 3</v>
      </c>
      <c r="G27">
        <f t="shared" si="4"/>
        <v>78</v>
      </c>
      <c r="H27" t="e">
        <f ca="1">INDEX_MIN(G$25:G$28,G27)</f>
        <v>#NAME?</v>
      </c>
      <c r="I27" t="e">
        <f t="shared" ca="1" si="5"/>
        <v>#NAME?</v>
      </c>
      <c r="J27" t="e">
        <f t="shared" ca="1" si="6"/>
        <v>#NAME?</v>
      </c>
      <c r="K27" t="e">
        <f t="shared" ca="1" si="7"/>
        <v>#NAME?</v>
      </c>
    </row>
    <row r="28" spans="1:11" x14ac:dyDescent="0.25">
      <c r="F28" s="516" t="str">
        <f t="shared" si="4"/>
        <v>Method 4</v>
      </c>
      <c r="G28" s="516">
        <f t="shared" si="4"/>
        <v>71.875</v>
      </c>
      <c r="H28" s="516" t="e">
        <f ca="1">INDEX_MIN(G$25:G$28,G28)</f>
        <v>#NAME?</v>
      </c>
      <c r="I28" s="516" t="e">
        <f t="shared" ca="1" si="5"/>
        <v>#NAME?</v>
      </c>
      <c r="J28" s="516" t="e">
        <f t="shared" ca="1" si="6"/>
        <v>#NAME?</v>
      </c>
      <c r="K28" s="516" t="e">
        <f t="shared" ca="1" si="7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17"/>
  <sheetViews>
    <sheetView workbookViewId="0">
      <selection activeCell="P16" sqref="P16"/>
    </sheetView>
  </sheetViews>
  <sheetFormatPr defaultRowHeight="15" x14ac:dyDescent="0.25"/>
  <cols>
    <col min="5" max="5" width="4.5703125" customWidth="1"/>
    <col min="8" max="8" width="7.28515625" customWidth="1"/>
  </cols>
  <sheetData>
    <row r="1" spans="1:11" x14ac:dyDescent="0.25">
      <c r="A1" s="1" t="s">
        <v>156</v>
      </c>
    </row>
    <row r="2" spans="1:11" ht="15.75" thickBot="1" x14ac:dyDescent="0.3">
      <c r="A2" s="545"/>
      <c r="B2" s="545"/>
      <c r="F2" t="s">
        <v>880</v>
      </c>
      <c r="I2" s="545" t="s">
        <v>70</v>
      </c>
      <c r="J2">
        <v>0.05</v>
      </c>
    </row>
    <row r="3" spans="1:11" ht="15.75" thickTop="1" x14ac:dyDescent="0.25">
      <c r="A3" s="255" t="s">
        <v>33</v>
      </c>
      <c r="B3" s="255" t="s">
        <v>34</v>
      </c>
      <c r="C3" s="543" t="s">
        <v>40</v>
      </c>
      <c r="D3" s="255" t="s">
        <v>41</v>
      </c>
      <c r="F3" s="251" t="s">
        <v>757</v>
      </c>
      <c r="G3" s="251" t="s">
        <v>4</v>
      </c>
      <c r="H3" s="251" t="s">
        <v>666</v>
      </c>
      <c r="I3" s="251" t="s">
        <v>881</v>
      </c>
      <c r="J3" s="251" t="s">
        <v>51</v>
      </c>
      <c r="K3" s="251" t="s">
        <v>620</v>
      </c>
    </row>
    <row r="4" spans="1:11" x14ac:dyDescent="0.25">
      <c r="A4" s="255">
        <v>51</v>
      </c>
      <c r="B4" s="255">
        <v>82</v>
      </c>
      <c r="C4" s="545">
        <f>'Hsu 1'!C4+15</f>
        <v>94</v>
      </c>
      <c r="D4" s="255">
        <v>85</v>
      </c>
      <c r="F4" t="str">
        <f>A3</f>
        <v>Method 1</v>
      </c>
      <c r="G4">
        <f>AVERAGE(A4:A11)</f>
        <v>60.375</v>
      </c>
      <c r="H4">
        <f>COUNT(A4:A11)</f>
        <v>8</v>
      </c>
      <c r="I4">
        <f>DEVSQ(A4:A11)</f>
        <v>1499.875</v>
      </c>
    </row>
    <row r="5" spans="1:11" x14ac:dyDescent="0.25">
      <c r="A5" s="545">
        <v>87</v>
      </c>
      <c r="B5" s="545">
        <v>91</v>
      </c>
      <c r="C5" s="545">
        <f>'Hsu 1'!C5+15</f>
        <v>99</v>
      </c>
      <c r="D5" s="545">
        <v>80</v>
      </c>
      <c r="F5" t="str">
        <f>B3</f>
        <v>Method 2</v>
      </c>
      <c r="G5">
        <f>AVERAGE(B4:B11)</f>
        <v>77.875</v>
      </c>
      <c r="H5">
        <f>COUNT(B4:B11)</f>
        <v>8</v>
      </c>
      <c r="I5">
        <f>DEVSQ(B4:B11)</f>
        <v>1102.875</v>
      </c>
    </row>
    <row r="6" spans="1:11" x14ac:dyDescent="0.25">
      <c r="A6" s="545">
        <v>50</v>
      </c>
      <c r="B6" s="545">
        <v>92</v>
      </c>
      <c r="C6" s="545">
        <f>'Hsu 1'!C6+15</f>
        <v>89</v>
      </c>
      <c r="D6" s="545">
        <v>65</v>
      </c>
      <c r="F6" t="str">
        <f>C3</f>
        <v>Method 3</v>
      </c>
      <c r="G6">
        <f>AVERAGE(C4:C11)</f>
        <v>93</v>
      </c>
      <c r="H6">
        <f>COUNT(C4:C11)</f>
        <v>8</v>
      </c>
      <c r="I6">
        <f>DEVSQ(C4:C11)</f>
        <v>1152</v>
      </c>
    </row>
    <row r="7" spans="1:11" x14ac:dyDescent="0.25">
      <c r="A7" s="545">
        <v>48</v>
      </c>
      <c r="B7" s="545">
        <v>80</v>
      </c>
      <c r="C7" s="545">
        <f>'Hsu 1'!C7+15</f>
        <v>113</v>
      </c>
      <c r="D7" s="545">
        <v>71</v>
      </c>
      <c r="F7" t="str">
        <f>D3</f>
        <v>Method 4</v>
      </c>
      <c r="G7">
        <f>AVERAGE(D4:D11)</f>
        <v>71.875</v>
      </c>
      <c r="H7">
        <f>COUNT(D4:D11)</f>
        <v>8</v>
      </c>
      <c r="I7">
        <f>DEVSQ(D4:D11)</f>
        <v>1270.875</v>
      </c>
    </row>
    <row r="8" spans="1:11" x14ac:dyDescent="0.25">
      <c r="A8" s="545">
        <v>79</v>
      </c>
      <c r="B8" s="545">
        <v>52</v>
      </c>
      <c r="C8" s="545">
        <f>'Hsu 1'!C8+15</f>
        <v>78</v>
      </c>
      <c r="D8" s="545">
        <v>67</v>
      </c>
      <c r="F8" s="252"/>
      <c r="G8" s="252"/>
      <c r="H8" s="252">
        <f>SUM(H4:H7)</f>
        <v>32</v>
      </c>
      <c r="I8" s="252">
        <f>SQRT(SUM(I4:I7)/J8)</f>
        <v>13.39726118066141</v>
      </c>
      <c r="J8" s="252">
        <f>H8-COUNT(H4:H7)</f>
        <v>28</v>
      </c>
      <c r="K8" s="252" t="e">
        <f ca="1">DCRIT1(COUNT(H4:H7),J8,J2)</f>
        <v>#NAME?</v>
      </c>
    </row>
    <row r="9" spans="1:11" ht="15.75" thickBot="1" x14ac:dyDescent="0.3">
      <c r="A9" s="545">
        <v>61</v>
      </c>
      <c r="B9" s="545">
        <v>79</v>
      </c>
      <c r="C9" s="545">
        <f>'Hsu 1'!C9+15</f>
        <v>98</v>
      </c>
      <c r="D9" s="545">
        <v>51</v>
      </c>
      <c r="F9" t="s">
        <v>882</v>
      </c>
    </row>
    <row r="10" spans="1:11" ht="15.75" thickTop="1" x14ac:dyDescent="0.25">
      <c r="A10" s="545">
        <v>53</v>
      </c>
      <c r="B10" s="545">
        <v>73</v>
      </c>
      <c r="C10" s="545">
        <f>'Hsu 1'!C10+15</f>
        <v>100</v>
      </c>
      <c r="D10" s="545">
        <v>63</v>
      </c>
      <c r="F10" s="251" t="s">
        <v>757</v>
      </c>
      <c r="G10" s="251" t="s">
        <v>4</v>
      </c>
      <c r="H10" s="251" t="s">
        <v>883</v>
      </c>
      <c r="I10" s="251" t="s">
        <v>884</v>
      </c>
      <c r="J10" s="251" t="s">
        <v>26</v>
      </c>
      <c r="K10" s="251" t="s">
        <v>27</v>
      </c>
    </row>
    <row r="11" spans="1:11" x14ac:dyDescent="0.25">
      <c r="A11" s="544">
        <v>54</v>
      </c>
      <c r="B11" s="544">
        <v>74</v>
      </c>
      <c r="C11" s="544">
        <f>'Hsu 1'!C11+15</f>
        <v>73</v>
      </c>
      <c r="D11" s="544">
        <v>93</v>
      </c>
      <c r="F11" s="252" t="str">
        <f>F4</f>
        <v>Method 1</v>
      </c>
      <c r="G11" s="252">
        <f>G4</f>
        <v>60.375</v>
      </c>
      <c r="H11" s="252" t="e">
        <f ca="1">INDEX_MAX(G$11:G$14,G11)</f>
        <v>#NAME?</v>
      </c>
      <c r="I11" s="252" t="e">
        <f ca="1">G11-INDEX(G$11:G$14,H11)</f>
        <v>#NAME?</v>
      </c>
      <c r="J11" s="252" t="e">
        <f ca="1">MIN(0,G11-INDEX(G$11:G$14,H11)-I$8*K$8*SQRT(1/H4+1/INDEX(H$4:H$7,H11)))</f>
        <v>#NAME?</v>
      </c>
      <c r="K11" s="252" t="e">
        <f ca="1">MAX(0,G11-INDEX(G$11:G$14,H11)+I$8*K$8*SQRT(1/H4+1/INDEX(H$4:H$7,H11)))</f>
        <v>#NAME?</v>
      </c>
    </row>
    <row r="12" spans="1:11" x14ac:dyDescent="0.25">
      <c r="A12" s="545"/>
      <c r="B12" s="545"/>
      <c r="F12" t="str">
        <f t="shared" ref="F12:G14" si="0">F5</f>
        <v>Method 2</v>
      </c>
      <c r="G12">
        <f t="shared" si="0"/>
        <v>77.875</v>
      </c>
      <c r="H12" t="e">
        <f ca="1">INDEX_MAX(G$11:G$14,G12)</f>
        <v>#NAME?</v>
      </c>
      <c r="I12" t="e">
        <f t="shared" ref="I12:I14" ca="1" si="1">G12-INDEX(G$11:G$14,H12)</f>
        <v>#NAME?</v>
      </c>
      <c r="J12" t="e">
        <f t="shared" ref="J12:J14" ca="1" si="2">MIN(0,G12-INDEX(G$11:G$14,H12)-I$8*K$8*SQRT(1/H5+1/INDEX(H$4:H$7,H12)))</f>
        <v>#NAME?</v>
      </c>
      <c r="K12" t="e">
        <f t="shared" ref="K12:K14" ca="1" si="3">MAX(0,G12-INDEX(G$11:G$14,H12)+I$8*K$8*SQRT(1/H5+1/INDEX(H$4:H$7,H12)))</f>
        <v>#NAME?</v>
      </c>
    </row>
    <row r="13" spans="1:11" x14ac:dyDescent="0.25">
      <c r="A13" s="545"/>
      <c r="B13" s="545"/>
      <c r="F13" t="str">
        <f t="shared" si="0"/>
        <v>Method 3</v>
      </c>
      <c r="G13">
        <f t="shared" si="0"/>
        <v>93</v>
      </c>
      <c r="H13" t="e">
        <f ca="1">INDEX_MAX(G$11:G$14,G13)</f>
        <v>#NAME?</v>
      </c>
      <c r="I13" t="e">
        <f t="shared" ca="1" si="1"/>
        <v>#NAME?</v>
      </c>
      <c r="J13" t="e">
        <f t="shared" ca="1" si="2"/>
        <v>#NAME?</v>
      </c>
      <c r="K13" t="e">
        <f t="shared" ca="1" si="3"/>
        <v>#NAME?</v>
      </c>
    </row>
    <row r="14" spans="1:11" x14ac:dyDescent="0.25">
      <c r="A14" s="545"/>
      <c r="B14" s="545"/>
      <c r="F14" s="516" t="str">
        <f t="shared" si="0"/>
        <v>Method 4</v>
      </c>
      <c r="G14" s="516">
        <f t="shared" si="0"/>
        <v>71.875</v>
      </c>
      <c r="H14" s="516" t="e">
        <f ca="1">INDEX_MAX(G$11:G$14,G14)</f>
        <v>#NAME?</v>
      </c>
      <c r="I14" s="516" t="e">
        <f t="shared" ca="1" si="1"/>
        <v>#NAME?</v>
      </c>
      <c r="J14" s="516" t="e">
        <f t="shared" ca="1" si="2"/>
        <v>#NAME?</v>
      </c>
      <c r="K14" s="516" t="e">
        <f t="shared" ca="1" si="3"/>
        <v>#NAME?</v>
      </c>
    </row>
    <row r="15" spans="1:11" x14ac:dyDescent="0.25">
      <c r="A15" s="545"/>
      <c r="B15" s="545"/>
    </row>
    <row r="16" spans="1:11" x14ac:dyDescent="0.25">
      <c r="A16" s="545"/>
      <c r="B16" s="545"/>
    </row>
    <row r="17" spans="1:2" x14ac:dyDescent="0.25">
      <c r="A17" s="545"/>
      <c r="B17" s="54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17"/>
  <sheetViews>
    <sheetView workbookViewId="0"/>
  </sheetViews>
  <sheetFormatPr defaultRowHeight="15" x14ac:dyDescent="0.25"/>
  <cols>
    <col min="5" max="5" width="4.5703125" customWidth="1"/>
    <col min="6" max="6" width="16.28515625" customWidth="1"/>
    <col min="7" max="7" width="8" customWidth="1"/>
    <col min="8" max="8" width="7.42578125" customWidth="1"/>
    <col min="9" max="12" width="9.140625" customWidth="1"/>
    <col min="13" max="13" width="4.42578125" customWidth="1"/>
    <col min="14" max="14" width="9.42578125" customWidth="1"/>
    <col min="15" max="15" width="7.7109375" customWidth="1"/>
    <col min="17" max="17" width="7.5703125" customWidth="1"/>
  </cols>
  <sheetData>
    <row r="1" spans="1:20" x14ac:dyDescent="0.25">
      <c r="A1" s="1" t="s">
        <v>210</v>
      </c>
    </row>
    <row r="2" spans="1:20" x14ac:dyDescent="0.25">
      <c r="A2" s="406"/>
      <c r="B2" s="406"/>
    </row>
    <row r="3" spans="1:20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F3" t="s">
        <v>126</v>
      </c>
      <c r="N3" t="s">
        <v>207</v>
      </c>
      <c r="R3" s="435" t="s">
        <v>31</v>
      </c>
      <c r="S3" s="435">
        <v>0.05</v>
      </c>
    </row>
    <row r="4" spans="1:20" ht="15.75" thickTop="1" x14ac:dyDescent="0.25">
      <c r="A4" s="255">
        <v>51</v>
      </c>
      <c r="B4" s="255">
        <v>82</v>
      </c>
      <c r="C4" s="255">
        <v>79</v>
      </c>
      <c r="D4" s="255">
        <v>85</v>
      </c>
      <c r="N4" s="251" t="s">
        <v>61</v>
      </c>
      <c r="O4" s="251" t="s">
        <v>37</v>
      </c>
      <c r="P4" s="251" t="s">
        <v>4</v>
      </c>
      <c r="Q4" s="251" t="s">
        <v>28</v>
      </c>
      <c r="R4" s="251" t="s">
        <v>175</v>
      </c>
      <c r="S4" s="251" t="s">
        <v>177</v>
      </c>
    </row>
    <row r="5" spans="1:20" ht="15.75" thickBot="1" x14ac:dyDescent="0.3">
      <c r="A5" s="406">
        <v>87</v>
      </c>
      <c r="B5" s="406">
        <v>91</v>
      </c>
      <c r="C5" s="406">
        <v>84</v>
      </c>
      <c r="D5" s="406">
        <v>80</v>
      </c>
      <c r="F5" t="s">
        <v>127</v>
      </c>
      <c r="N5" t="s">
        <v>33</v>
      </c>
      <c r="O5">
        <v>-0.5</v>
      </c>
      <c r="P5">
        <f>I7</f>
        <v>61.285714285714285</v>
      </c>
      <c r="Q5">
        <f>G7</f>
        <v>7</v>
      </c>
      <c r="R5">
        <f>O5^2/Q5</f>
        <v>3.5714285714285712E-2</v>
      </c>
      <c r="S5">
        <f>O5*P5</f>
        <v>-30.642857142857142</v>
      </c>
    </row>
    <row r="6" spans="1:20" ht="15.75" thickTop="1" x14ac:dyDescent="0.25">
      <c r="A6" s="406">
        <v>50</v>
      </c>
      <c r="B6" s="406">
        <v>92</v>
      </c>
      <c r="C6" s="406">
        <v>74</v>
      </c>
      <c r="D6" s="406">
        <v>65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N6" t="s">
        <v>34</v>
      </c>
      <c r="O6">
        <v>-0.5</v>
      </c>
      <c r="P6">
        <f>I8</f>
        <v>77.875</v>
      </c>
      <c r="Q6">
        <f>G8</f>
        <v>8</v>
      </c>
      <c r="R6">
        <f>O6^2/Q6</f>
        <v>3.125E-2</v>
      </c>
      <c r="S6">
        <f>O6*P6</f>
        <v>-38.9375</v>
      </c>
    </row>
    <row r="7" spans="1:20" x14ac:dyDescent="0.25">
      <c r="A7" s="406">
        <v>48</v>
      </c>
      <c r="B7" s="406">
        <v>80</v>
      </c>
      <c r="C7" s="406">
        <v>98</v>
      </c>
      <c r="D7" s="406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40</v>
      </c>
    </row>
    <row r="8" spans="1:20" x14ac:dyDescent="0.25">
      <c r="A8" s="406">
        <v>79</v>
      </c>
      <c r="B8" s="406">
        <v>52</v>
      </c>
      <c r="C8" s="406">
        <v>63</v>
      </c>
      <c r="D8" s="406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41</v>
      </c>
      <c r="O8" s="224">
        <v>1</v>
      </c>
      <c r="P8" s="224">
        <f>I10</f>
        <v>69.833333333333329</v>
      </c>
      <c r="Q8" s="224">
        <f>G10</f>
        <v>6</v>
      </c>
      <c r="R8" s="224">
        <f>O8^2/Q8</f>
        <v>0.16666666666666666</v>
      </c>
      <c r="S8" s="224">
        <f>O8*P8</f>
        <v>69.833333333333329</v>
      </c>
    </row>
    <row r="9" spans="1:20" x14ac:dyDescent="0.25">
      <c r="A9" s="406">
        <v>61</v>
      </c>
      <c r="B9" s="406">
        <v>79</v>
      </c>
      <c r="C9" s="406">
        <v>83</v>
      </c>
      <c r="D9" s="406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s="252"/>
      <c r="O9" s="7"/>
      <c r="P9" s="7"/>
      <c r="R9">
        <f>SUM(R5:R8)</f>
        <v>0.23363095238095238</v>
      </c>
      <c r="S9">
        <f>SUM(S5:S8)</f>
        <v>0.2529761904761898</v>
      </c>
    </row>
    <row r="10" spans="1:20" ht="15.75" thickBot="1" x14ac:dyDescent="0.3">
      <c r="A10" s="406">
        <v>53</v>
      </c>
      <c r="B10" s="406">
        <v>73</v>
      </c>
      <c r="C10" s="406">
        <v>85</v>
      </c>
      <c r="D10" s="406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214</v>
      </c>
    </row>
    <row r="11" spans="1:20" ht="15.75" thickTop="1" x14ac:dyDescent="0.25">
      <c r="A11" s="390"/>
      <c r="B11" s="390">
        <v>74</v>
      </c>
      <c r="C11" s="390">
        <v>58</v>
      </c>
      <c r="D11" s="390"/>
      <c r="F11" s="252"/>
      <c r="G11" s="252"/>
      <c r="H11" s="252"/>
      <c r="I11" s="252"/>
      <c r="J11" s="252"/>
      <c r="K11" s="252"/>
      <c r="N11" s="251" t="s">
        <v>85</v>
      </c>
      <c r="O11" s="251" t="s">
        <v>67</v>
      </c>
      <c r="P11" s="251" t="s">
        <v>211</v>
      </c>
      <c r="Q11" s="251" t="s">
        <v>212</v>
      </c>
      <c r="R11" s="251" t="s">
        <v>213</v>
      </c>
      <c r="S11" s="251" t="s">
        <v>94</v>
      </c>
      <c r="T11" s="251" t="s">
        <v>188</v>
      </c>
    </row>
    <row r="12" spans="1:20" ht="15.75" thickBot="1" x14ac:dyDescent="0.3">
      <c r="A12" s="406"/>
      <c r="B12" s="406"/>
      <c r="F12" t="s">
        <v>101</v>
      </c>
      <c r="I12" t="s">
        <v>31</v>
      </c>
      <c r="J12">
        <v>0.05</v>
      </c>
      <c r="N12" s="332">
        <f>SQRT($I$15*R9)</f>
        <v>6.4336101009779796</v>
      </c>
      <c r="O12" s="332">
        <f>S9/N12</f>
        <v>3.9321032282906704E-2</v>
      </c>
      <c r="P12" s="332">
        <f>O12^2</f>
        <v>1.5461435797933913E-3</v>
      </c>
      <c r="Q12" s="333">
        <f>H14</f>
        <v>3</v>
      </c>
      <c r="R12" s="333">
        <f>H15</f>
        <v>25</v>
      </c>
      <c r="S12" s="333">
        <f>Q12*FINV(S3,Q12,R12)</f>
        <v>8.9737227286498538</v>
      </c>
      <c r="T12" s="333" t="str">
        <f>IF(P12&gt;=S12,"yes","no")</f>
        <v>no</v>
      </c>
    </row>
    <row r="13" spans="1:20" ht="15.75" thickTop="1" x14ac:dyDescent="0.25">
      <c r="A13" s="406"/>
      <c r="B13" s="406"/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130</v>
      </c>
    </row>
    <row r="14" spans="1:20" x14ac:dyDescent="0.25">
      <c r="A14" s="406"/>
      <c r="B14" s="406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</row>
    <row r="15" spans="1:20" x14ac:dyDescent="0.25">
      <c r="A15" s="406"/>
      <c r="B15" s="406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20" x14ac:dyDescent="0.25">
      <c r="A16" s="406"/>
      <c r="B16" s="406"/>
      <c r="F16" s="224" t="s">
        <v>1</v>
      </c>
      <c r="G16" s="224">
        <f>DEVSQ(A4:D11)</f>
        <v>5823.310344827587</v>
      </c>
      <c r="H16" s="224">
        <f>COUNT(A4:D11)-1</f>
        <v>28</v>
      </c>
      <c r="I16" s="224">
        <f>G16/H16</f>
        <v>207.97536945812811</v>
      </c>
      <c r="J16" s="224"/>
      <c r="K16" s="224"/>
      <c r="L16" s="224"/>
    </row>
    <row r="17" spans="1:2" x14ac:dyDescent="0.25">
      <c r="A17" s="406"/>
      <c r="B17" s="40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2"/>
  <sheetViews>
    <sheetView workbookViewId="0"/>
  </sheetViews>
  <sheetFormatPr defaultRowHeight="15" x14ac:dyDescent="0.25"/>
  <sheetData>
    <row r="1" spans="1:14" x14ac:dyDescent="0.25">
      <c r="A1" s="1" t="s">
        <v>772</v>
      </c>
    </row>
    <row r="3" spans="1:14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F3" t="s">
        <v>621</v>
      </c>
      <c r="I3" t="s">
        <v>31</v>
      </c>
      <c r="J3">
        <v>0.05</v>
      </c>
    </row>
    <row r="4" spans="1:14" ht="15.75" thickTop="1" x14ac:dyDescent="0.25">
      <c r="A4" s="255">
        <v>51</v>
      </c>
      <c r="B4" s="255">
        <v>82</v>
      </c>
      <c r="C4" s="255">
        <v>79</v>
      </c>
      <c r="D4" s="255">
        <v>85</v>
      </c>
      <c r="F4" s="251" t="s">
        <v>61</v>
      </c>
      <c r="G4" s="251" t="s">
        <v>37</v>
      </c>
      <c r="H4" s="251" t="s">
        <v>4</v>
      </c>
      <c r="I4" s="251" t="s">
        <v>28</v>
      </c>
      <c r="J4" s="251" t="s">
        <v>385</v>
      </c>
    </row>
    <row r="5" spans="1:14" x14ac:dyDescent="0.25">
      <c r="A5" s="406">
        <v>87</v>
      </c>
      <c r="B5" s="406">
        <v>91</v>
      </c>
      <c r="C5" s="406">
        <v>84</v>
      </c>
      <c r="D5" s="406">
        <v>80</v>
      </c>
      <c r="F5" t="str">
        <f>A3</f>
        <v>Method 1</v>
      </c>
      <c r="G5" s="213">
        <v>-0.5</v>
      </c>
      <c r="H5">
        <f>AVERAGE(A4:A11)</f>
        <v>61.285714285714285</v>
      </c>
      <c r="I5">
        <f>COUNT(A4:A11)</f>
        <v>7</v>
      </c>
      <c r="J5">
        <f>DEVSQ(A4:A11)</f>
        <v>1453.4285714285713</v>
      </c>
    </row>
    <row r="6" spans="1:14" x14ac:dyDescent="0.25">
      <c r="A6" s="406">
        <v>50</v>
      </c>
      <c r="B6" s="406">
        <v>92</v>
      </c>
      <c r="C6" s="406">
        <v>74</v>
      </c>
      <c r="D6" s="406">
        <v>65</v>
      </c>
      <c r="F6" t="str">
        <f>B3</f>
        <v>Method 2</v>
      </c>
      <c r="G6" s="213">
        <v>-0.5</v>
      </c>
      <c r="H6">
        <f>AVERAGE(B4:B11)</f>
        <v>77.875</v>
      </c>
      <c r="I6">
        <f>COUNT(B4:B11)</f>
        <v>8</v>
      </c>
      <c r="J6">
        <f>DEVSQ(B4:B11)</f>
        <v>1102.875</v>
      </c>
    </row>
    <row r="7" spans="1:14" x14ac:dyDescent="0.25">
      <c r="A7" s="406">
        <v>48</v>
      </c>
      <c r="B7" s="406">
        <v>80</v>
      </c>
      <c r="C7" s="406">
        <v>98</v>
      </c>
      <c r="D7" s="406">
        <v>71</v>
      </c>
      <c r="F7" t="str">
        <f>C3</f>
        <v>Method 3</v>
      </c>
      <c r="G7" s="213"/>
      <c r="H7">
        <f>AVERAGE(C4:C11)</f>
        <v>78</v>
      </c>
      <c r="I7">
        <f>COUNT(C4:C11)</f>
        <v>8</v>
      </c>
      <c r="J7">
        <f>DEVSQ(C4:C11)</f>
        <v>1152</v>
      </c>
    </row>
    <row r="8" spans="1:14" x14ac:dyDescent="0.25">
      <c r="A8" s="406">
        <v>79</v>
      </c>
      <c r="B8" s="406">
        <v>52</v>
      </c>
      <c r="C8" s="406">
        <v>63</v>
      </c>
      <c r="D8" s="406">
        <v>67</v>
      </c>
      <c r="F8" t="str">
        <f>D3</f>
        <v>Method 4</v>
      </c>
      <c r="G8" s="213">
        <v>1</v>
      </c>
      <c r="H8">
        <f>AVERAGE(D4:D11)</f>
        <v>69.833333333333329</v>
      </c>
      <c r="I8">
        <f>COUNT(D4:D11)</f>
        <v>6</v>
      </c>
      <c r="J8">
        <f>DEVSQ(D4:D11)</f>
        <v>720.83333333333348</v>
      </c>
    </row>
    <row r="9" spans="1:14" x14ac:dyDescent="0.25">
      <c r="A9" s="406">
        <v>61</v>
      </c>
      <c r="B9" s="406">
        <v>79</v>
      </c>
      <c r="C9" s="406">
        <v>83</v>
      </c>
      <c r="D9" s="406">
        <v>51</v>
      </c>
      <c r="F9" s="252"/>
      <c r="G9" s="252">
        <f>SUM(G5:G8)</f>
        <v>0</v>
      </c>
      <c r="H9" s="252">
        <f>SUMPRODUCT(G5:G8,H5:H8)</f>
        <v>0.2529761904761898</v>
      </c>
      <c r="I9" s="252">
        <f>SUM(I5:I8)</f>
        <v>29</v>
      </c>
      <c r="J9" s="252">
        <f>SUM(J5:J8)</f>
        <v>4429.1369047619046</v>
      </c>
    </row>
    <row r="10" spans="1:14" ht="15.75" thickBot="1" x14ac:dyDescent="0.3">
      <c r="A10" s="406">
        <v>53</v>
      </c>
      <c r="B10" s="406">
        <v>73</v>
      </c>
      <c r="C10" s="406">
        <v>85</v>
      </c>
      <c r="D10" s="406"/>
      <c r="F10" t="s">
        <v>622</v>
      </c>
    </row>
    <row r="11" spans="1:14" ht="15.75" thickTop="1" x14ac:dyDescent="0.25">
      <c r="A11" s="390"/>
      <c r="B11" s="390">
        <v>74</v>
      </c>
      <c r="C11" s="390">
        <v>58</v>
      </c>
      <c r="D11" s="390"/>
      <c r="F11" s="251" t="s">
        <v>370</v>
      </c>
      <c r="G11" s="251" t="s">
        <v>67</v>
      </c>
      <c r="H11" s="251" t="s">
        <v>211</v>
      </c>
      <c r="I11" s="251" t="s">
        <v>212</v>
      </c>
      <c r="J11" s="251" t="s">
        <v>213</v>
      </c>
      <c r="K11" s="251" t="s">
        <v>94</v>
      </c>
      <c r="L11" s="251" t="s">
        <v>56</v>
      </c>
      <c r="M11" s="251" t="s">
        <v>26</v>
      </c>
      <c r="N11" s="251" t="s">
        <v>27</v>
      </c>
    </row>
    <row r="12" spans="1:14" x14ac:dyDescent="0.25">
      <c r="F12" s="332">
        <f>SQRT(SUMPRODUCT(G5:G8^2,1/I5:I8)*J9/J12)</f>
        <v>6.4336101009779805</v>
      </c>
      <c r="G12" s="332">
        <f>H9/F12</f>
        <v>3.9321032282906697E-2</v>
      </c>
      <c r="H12" s="332">
        <f>G12^2</f>
        <v>1.5461435797933906E-3</v>
      </c>
      <c r="I12" s="332">
        <f>COUNT(I5:I8)-1</f>
        <v>3</v>
      </c>
      <c r="J12" s="332">
        <f>I9-I12-1</f>
        <v>25</v>
      </c>
      <c r="K12" s="332">
        <f>I12*FINV(J3,I12,J12)</f>
        <v>8.9737227286498538</v>
      </c>
      <c r="L12" s="333">
        <f>FDIST(H12,I12,J12)</f>
        <v>0.99991362456189448</v>
      </c>
      <c r="M12" s="332">
        <f>H9-F12*SQRT(K12)</f>
        <v>-19.01965722942797</v>
      </c>
      <c r="N12" s="332">
        <f>H9+F12*SQRT(K12)</f>
        <v>19.52560961038035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workbookViewId="0"/>
  </sheetViews>
  <sheetFormatPr defaultRowHeight="15" x14ac:dyDescent="0.25"/>
  <cols>
    <col min="5" max="5" width="4" customWidth="1"/>
    <col min="6" max="6" width="15.42578125" customWidth="1"/>
    <col min="8" max="8" width="6.28515625" customWidth="1"/>
    <col min="20" max="20" width="9.140625" customWidth="1"/>
    <col min="24" max="24" width="7" style="451" customWidth="1"/>
  </cols>
  <sheetData>
    <row r="1" spans="1:26" x14ac:dyDescent="0.25">
      <c r="A1" s="1" t="s">
        <v>773</v>
      </c>
      <c r="F1" t="s">
        <v>126</v>
      </c>
      <c r="U1" t="s">
        <v>774</v>
      </c>
    </row>
    <row r="2" spans="1:26" x14ac:dyDescent="0.25">
      <c r="A2" s="406"/>
      <c r="B2" s="406"/>
    </row>
    <row r="3" spans="1:26" ht="15.75" thickBot="1" x14ac:dyDescent="0.3">
      <c r="A3" s="255" t="s">
        <v>33</v>
      </c>
      <c r="B3" s="255" t="s">
        <v>34</v>
      </c>
      <c r="C3" s="255" t="s">
        <v>40</v>
      </c>
      <c r="D3" s="255" t="s">
        <v>41</v>
      </c>
      <c r="F3" t="s">
        <v>127</v>
      </c>
      <c r="K3" t="s">
        <v>31</v>
      </c>
      <c r="L3">
        <v>0.05</v>
      </c>
      <c r="U3" t="s">
        <v>775</v>
      </c>
      <c r="V3" s="387">
        <v>0.05</v>
      </c>
    </row>
    <row r="4" spans="1:26" ht="15.75" thickTop="1" x14ac:dyDescent="0.25">
      <c r="A4" s="255">
        <v>51</v>
      </c>
      <c r="B4" s="255">
        <v>82</v>
      </c>
      <c r="C4" s="255">
        <v>79</v>
      </c>
      <c r="D4" s="255">
        <v>85</v>
      </c>
      <c r="F4" s="251" t="s">
        <v>759</v>
      </c>
      <c r="G4" s="251" t="s">
        <v>19</v>
      </c>
      <c r="H4" s="251" t="s">
        <v>18</v>
      </c>
      <c r="I4" s="251" t="s">
        <v>7</v>
      </c>
      <c r="J4" s="251" t="s">
        <v>62</v>
      </c>
      <c r="K4" s="251" t="s">
        <v>88</v>
      </c>
      <c r="L4" s="251" t="s">
        <v>50</v>
      </c>
      <c r="M4" s="251" t="s">
        <v>110</v>
      </c>
      <c r="N4" s="251" t="s">
        <v>111</v>
      </c>
      <c r="P4" t="s">
        <v>773</v>
      </c>
      <c r="U4" t="s">
        <v>776</v>
      </c>
      <c r="V4" s="219">
        <f ca="1">COUNT(W7:W12)</f>
        <v>0</v>
      </c>
    </row>
    <row r="5" spans="1:26" ht="15.75" thickBot="1" x14ac:dyDescent="0.3">
      <c r="A5" s="406">
        <v>81</v>
      </c>
      <c r="B5" s="406">
        <v>91</v>
      </c>
      <c r="C5" s="406">
        <v>84</v>
      </c>
      <c r="D5" s="406">
        <v>80</v>
      </c>
      <c r="F5" t="str">
        <f>A3</f>
        <v>Method 1</v>
      </c>
      <c r="G5">
        <f>COUNT(A4:A11)</f>
        <v>7</v>
      </c>
      <c r="H5">
        <f>SUM(A4:A11)</f>
        <v>419</v>
      </c>
      <c r="I5">
        <f>AVERAGE(A4:A11)</f>
        <v>59.857142857142854</v>
      </c>
      <c r="J5">
        <f>VAR(A4:A11)</f>
        <v>173.47619047619023</v>
      </c>
      <c r="K5">
        <f>DEVSQ(A4:A11)</f>
        <v>1040.8571428571429</v>
      </c>
      <c r="L5">
        <f>SQRT(I13/G5)</f>
        <v>4.7908039743959927</v>
      </c>
      <c r="M5">
        <f>I5-L5*TINV(L3,H13)</f>
        <v>49.990297373190586</v>
      </c>
      <c r="N5">
        <f>I5+L5*TINV(L3,H13)</f>
        <v>69.723988341095122</v>
      </c>
    </row>
    <row r="6" spans="1:26" ht="15.75" thickTop="1" x14ac:dyDescent="0.25">
      <c r="A6" s="406">
        <v>50</v>
      </c>
      <c r="B6" s="406">
        <v>92</v>
      </c>
      <c r="C6" s="406">
        <v>74</v>
      </c>
      <c r="D6" s="406">
        <v>65</v>
      </c>
      <c r="F6" t="str">
        <f>B3</f>
        <v>Method 2</v>
      </c>
      <c r="G6">
        <f>COUNT(B4:B11)</f>
        <v>8</v>
      </c>
      <c r="H6">
        <f>SUM(B4:B11)</f>
        <v>623</v>
      </c>
      <c r="I6">
        <f>AVERAGE(B4:B11)</f>
        <v>77.875</v>
      </c>
      <c r="J6">
        <f>VAR(B4:B11)</f>
        <v>157.55357142857142</v>
      </c>
      <c r="K6">
        <f>DEVSQ(B4:B11)</f>
        <v>1102.875</v>
      </c>
      <c r="L6">
        <f>SQRT(I13/G6)</f>
        <v>4.4813867698461802</v>
      </c>
      <c r="M6">
        <f>I6-L6*TINV(L3,H13)</f>
        <v>68.645411177703224</v>
      </c>
      <c r="N6">
        <f>I6+L6*TINV(L3,H13)</f>
        <v>87.104588822296776</v>
      </c>
      <c r="P6" s="251" t="s">
        <v>731</v>
      </c>
      <c r="Q6" s="251" t="s">
        <v>732</v>
      </c>
      <c r="R6" s="251" t="s">
        <v>56</v>
      </c>
      <c r="S6" s="251" t="s">
        <v>4</v>
      </c>
      <c r="U6" s="251" t="s">
        <v>731</v>
      </c>
      <c r="V6" s="251" t="s">
        <v>732</v>
      </c>
      <c r="W6" s="251" t="s">
        <v>56</v>
      </c>
      <c r="X6" s="251" t="s">
        <v>777</v>
      </c>
      <c r="Y6" s="251" t="s">
        <v>70</v>
      </c>
      <c r="Z6" s="251" t="s">
        <v>188</v>
      </c>
    </row>
    <row r="7" spans="1:26" x14ac:dyDescent="0.25">
      <c r="A7" s="406">
        <v>48</v>
      </c>
      <c r="B7" s="406">
        <v>80</v>
      </c>
      <c r="C7" s="406">
        <v>98</v>
      </c>
      <c r="D7" s="406">
        <v>71</v>
      </c>
      <c r="F7" t="str">
        <f>C3</f>
        <v>Method 3</v>
      </c>
      <c r="G7">
        <f>COUNT(C4:C11)</f>
        <v>8</v>
      </c>
      <c r="H7">
        <f>SUM(C4:C11)</f>
        <v>624</v>
      </c>
      <c r="I7">
        <f>AVERAGE(C4:C11)</f>
        <v>78</v>
      </c>
      <c r="J7">
        <f>VAR(C4:C11)</f>
        <v>164.57142857142858</v>
      </c>
      <c r="K7">
        <f>DEVSQ(C4:C11)</f>
        <v>1152</v>
      </c>
      <c r="L7">
        <f>SQRT(I13/G7)</f>
        <v>4.4813867698461802</v>
      </c>
      <c r="M7">
        <f>I7-L7*TINV(L3,H13)</f>
        <v>68.770411177703224</v>
      </c>
      <c r="N7">
        <f>I7+L7*TINV(L3,H13)</f>
        <v>87.229588822296776</v>
      </c>
      <c r="P7" t="str">
        <f>A3</f>
        <v>Method 1</v>
      </c>
      <c r="Q7" t="str">
        <f>B3</f>
        <v>Method 2</v>
      </c>
      <c r="R7">
        <f>TTEST(A4:A11,B4:B11,2,3)</f>
        <v>1.8624168456824946E-2</v>
      </c>
      <c r="S7">
        <f>ABS(AVERAGE(A4:A11)-AVERAGE(B4:B11))</f>
        <v>18.017857142857146</v>
      </c>
      <c r="U7" t="e">
        <f t="array" aca="1" ref="U7:W12" ca="1">QSORTRows(P7:R12,3)</f>
        <v>#NAME?</v>
      </c>
      <c r="V7" t="e">
        <f ca="1"/>
        <v>#NAME?</v>
      </c>
      <c r="W7" t="e">
        <f ca="1"/>
        <v>#NAME?</v>
      </c>
      <c r="X7" s="451">
        <f ca="1">V4</f>
        <v>0</v>
      </c>
      <c r="Y7" t="e">
        <f ca="1">V$3*X7/V$4</f>
        <v>#DIV/0!</v>
      </c>
      <c r="Z7" s="435" t="e">
        <f ca="1">IF(Z8="yes","yes",IF(W7&lt;Y7,"yes","no"))</f>
        <v>#NAME?</v>
      </c>
    </row>
    <row r="8" spans="1:26" x14ac:dyDescent="0.25">
      <c r="A8" s="406">
        <v>75</v>
      </c>
      <c r="B8" s="406">
        <v>52</v>
      </c>
      <c r="C8" s="406">
        <v>63</v>
      </c>
      <c r="D8" s="406">
        <v>67</v>
      </c>
      <c r="F8" t="str">
        <f>D3</f>
        <v>Method 4</v>
      </c>
      <c r="G8">
        <f>COUNT(D4:D11)</f>
        <v>6</v>
      </c>
      <c r="H8">
        <f>SUM(D4:D11)</f>
        <v>419</v>
      </c>
      <c r="I8">
        <f>AVERAGE(D4:D11)</f>
        <v>69.833333333333329</v>
      </c>
      <c r="J8">
        <f>VAR(D4:D11)</f>
        <v>144.16666666666643</v>
      </c>
      <c r="K8">
        <f>DEVSQ(D4:D11)</f>
        <v>720.83333333333348</v>
      </c>
      <c r="L8">
        <f>SQRT(I13/G8)</f>
        <v>5.1746597158270395</v>
      </c>
      <c r="M8">
        <f>I8-L8*TINV(L3,H13)</f>
        <v>59.175922151208113</v>
      </c>
      <c r="N8">
        <f>I8+L8*TINV(L3,H13)</f>
        <v>80.490744515458545</v>
      </c>
      <c r="P8" t="str">
        <f>A3</f>
        <v>Method 1</v>
      </c>
      <c r="Q8" t="str">
        <f>C3</f>
        <v>Method 3</v>
      </c>
      <c r="R8">
        <f>TTEST(A4:A11,C4:C11,2,3)</f>
        <v>1.8790547618485653E-2</v>
      </c>
      <c r="S8">
        <f>ABS(AVERAGE(A4:A11)-AVERAGE(C4:C11))</f>
        <v>18.142857142857146</v>
      </c>
      <c r="U8" t="e">
        <f ca="1"/>
        <v>#NAME?</v>
      </c>
      <c r="V8" t="e">
        <f ca="1"/>
        <v>#NAME?</v>
      </c>
      <c r="W8" t="e">
        <f ca="1"/>
        <v>#NAME?</v>
      </c>
      <c r="X8" s="451">
        <f ca="1">X7-1</f>
        <v>-1</v>
      </c>
      <c r="Y8" t="e">
        <f t="shared" ref="Y8:Y12" ca="1" si="0">V$3*X8/V$4</f>
        <v>#DIV/0!</v>
      </c>
      <c r="Z8" s="435" t="e">
        <f t="shared" ref="Z8:Z12" ca="1" si="1">IF(Z9="yes","yes",IF(W8&lt;Y8,"yes","no"))</f>
        <v>#NAME?</v>
      </c>
    </row>
    <row r="9" spans="1:26" x14ac:dyDescent="0.25">
      <c r="A9" s="406">
        <v>61</v>
      </c>
      <c r="B9" s="406">
        <v>79</v>
      </c>
      <c r="C9" s="406">
        <v>83</v>
      </c>
      <c r="D9" s="406">
        <v>51</v>
      </c>
      <c r="F9" s="252"/>
      <c r="G9" s="252"/>
      <c r="H9" s="252"/>
      <c r="I9" s="252"/>
      <c r="J9" s="252"/>
      <c r="K9" s="252"/>
      <c r="L9" s="252"/>
      <c r="M9" s="252"/>
      <c r="N9" s="252"/>
      <c r="P9" t="str">
        <f>A3</f>
        <v>Method 1</v>
      </c>
      <c r="Q9" t="str">
        <f>D3</f>
        <v>Method 4</v>
      </c>
      <c r="R9">
        <f>TTEST(A4:A11,D4:D11,2,3)</f>
        <v>0.18123501362366465</v>
      </c>
      <c r="S9">
        <f>ABS(AVERAGE(A4:A11)-AVERAGE(D4:D11))</f>
        <v>9.9761904761904745</v>
      </c>
      <c r="U9" t="e">
        <f ca="1"/>
        <v>#NAME?</v>
      </c>
      <c r="V9" t="e">
        <f ca="1"/>
        <v>#NAME?</v>
      </c>
      <c r="W9" t="e">
        <f ca="1"/>
        <v>#NAME?</v>
      </c>
      <c r="X9" s="451">
        <f t="shared" ref="X9:X12" ca="1" si="2">X8-1</f>
        <v>-2</v>
      </c>
      <c r="Y9" t="e">
        <f t="shared" ca="1" si="0"/>
        <v>#DIV/0!</v>
      </c>
      <c r="Z9" s="435" t="e">
        <f t="shared" ca="1" si="1"/>
        <v>#NAME?</v>
      </c>
    </row>
    <row r="10" spans="1:26" ht="15.75" thickBot="1" x14ac:dyDescent="0.3">
      <c r="A10" s="406">
        <v>53</v>
      </c>
      <c r="B10" s="406">
        <v>73</v>
      </c>
      <c r="C10" s="406">
        <v>85</v>
      </c>
      <c r="D10" s="406"/>
      <c r="F10" t="s">
        <v>101</v>
      </c>
      <c r="P10" t="str">
        <f>B3</f>
        <v>Method 2</v>
      </c>
      <c r="Q10" t="str">
        <f>C3</f>
        <v>Method 3</v>
      </c>
      <c r="R10">
        <f>TTEST(B4:B11,C4:C11,2,3)</f>
        <v>0.98456166776316212</v>
      </c>
      <c r="S10">
        <f>ABS(AVERAGE(B4:B11)-AVERAGE(C4:C11))</f>
        <v>0.125</v>
      </c>
      <c r="U10" t="e">
        <f ca="1"/>
        <v>#NAME?</v>
      </c>
      <c r="V10" t="e">
        <f ca="1"/>
        <v>#NAME?</v>
      </c>
      <c r="W10" t="e">
        <f ca="1"/>
        <v>#NAME?</v>
      </c>
      <c r="X10" s="451">
        <f t="shared" ca="1" si="2"/>
        <v>-3</v>
      </c>
      <c r="Y10" t="e">
        <f t="shared" ca="1" si="0"/>
        <v>#DIV/0!</v>
      </c>
      <c r="Z10" s="435" t="e">
        <f t="shared" ca="1" si="1"/>
        <v>#NAME?</v>
      </c>
    </row>
    <row r="11" spans="1:26" ht="15.75" thickTop="1" x14ac:dyDescent="0.25">
      <c r="A11" s="390"/>
      <c r="B11" s="390">
        <v>74</v>
      </c>
      <c r="C11" s="390">
        <v>58</v>
      </c>
      <c r="D11" s="390"/>
      <c r="F11" s="251" t="s">
        <v>128</v>
      </c>
      <c r="G11" s="251" t="s">
        <v>88</v>
      </c>
      <c r="H11" s="251" t="s">
        <v>51</v>
      </c>
      <c r="I11" s="251" t="s">
        <v>92</v>
      </c>
      <c r="J11" s="251" t="s">
        <v>82</v>
      </c>
      <c r="K11" s="251" t="s">
        <v>129</v>
      </c>
      <c r="L11" s="251" t="s">
        <v>878</v>
      </c>
      <c r="M11" s="251" t="s">
        <v>383</v>
      </c>
      <c r="N11" s="251" t="s">
        <v>384</v>
      </c>
      <c r="P11" t="str">
        <f>B3</f>
        <v>Method 2</v>
      </c>
      <c r="Q11" t="str">
        <f>D3</f>
        <v>Method 4</v>
      </c>
      <c r="R11">
        <f>TTEST(B4:B11,D4:D11,2,3)</f>
        <v>0.24895670139940926</v>
      </c>
      <c r="S11">
        <f>ABS(AVERAGE(B4:B11)-AVERAGE(D4:D11))</f>
        <v>8.0416666666666714</v>
      </c>
      <c r="U11" t="e">
        <f ca="1"/>
        <v>#NAME?</v>
      </c>
      <c r="V11" t="e">
        <f ca="1"/>
        <v>#NAME?</v>
      </c>
      <c r="W11" t="e">
        <f ca="1"/>
        <v>#NAME?</v>
      </c>
      <c r="X11" s="451">
        <f t="shared" ca="1" si="2"/>
        <v>-4</v>
      </c>
      <c r="Y11" t="e">
        <f t="shared" ca="1" si="0"/>
        <v>#DIV/0!</v>
      </c>
      <c r="Z11" s="435" t="e">
        <f t="shared" ca="1" si="1"/>
        <v>#NAME?</v>
      </c>
    </row>
    <row r="12" spans="1:26" x14ac:dyDescent="0.25">
      <c r="A12" s="406"/>
      <c r="B12" s="406"/>
      <c r="F12" t="s">
        <v>131</v>
      </c>
      <c r="G12">
        <f>G14-G13</f>
        <v>1624.1241789819383</v>
      </c>
      <c r="H12">
        <f>COUNTA(F5:F8)-1</f>
        <v>3</v>
      </c>
      <c r="I12">
        <f>G12/H12</f>
        <v>541.37472632731271</v>
      </c>
      <c r="J12">
        <f>I12/I13</f>
        <v>3.3696371286394484</v>
      </c>
      <c r="K12">
        <f>FDIST(J12,H12,H13)</f>
        <v>3.4298693670449125E-2</v>
      </c>
      <c r="L12">
        <f>G12/G14</f>
        <v>0.28793007207773691</v>
      </c>
      <c r="M12">
        <f>SQRT(DEVSQ(I5:I8)/(I13*H12))</f>
        <v>0.67741100788141384</v>
      </c>
      <c r="N12">
        <f>(G14-H14*I13)/(G14+I13)</f>
        <v>0.19687415413721551</v>
      </c>
      <c r="P12" s="224" t="str">
        <f>C3</f>
        <v>Method 3</v>
      </c>
      <c r="Q12" s="224" t="str">
        <f>D3</f>
        <v>Method 4</v>
      </c>
      <c r="R12" s="224">
        <f>TTEST(C4:C11,D4:D11,2,3)</f>
        <v>0.24625503687583949</v>
      </c>
      <c r="S12" s="224">
        <f>ABS(AVERAGE(C4:C11)-AVERAGE(D4:D11))</f>
        <v>8.1666666666666714</v>
      </c>
      <c r="U12" s="224" t="e">
        <f ca="1"/>
        <v>#NAME?</v>
      </c>
      <c r="V12" s="224" t="e">
        <f ca="1"/>
        <v>#NAME?</v>
      </c>
      <c r="W12" s="224" t="e">
        <f ca="1"/>
        <v>#NAME?</v>
      </c>
      <c r="X12" s="450">
        <f t="shared" ca="1" si="2"/>
        <v>-5</v>
      </c>
      <c r="Y12" s="224" t="e">
        <f t="shared" ca="1" si="0"/>
        <v>#DIV/0!</v>
      </c>
      <c r="Z12" s="390" t="e">
        <f t="shared" ca="1" si="1"/>
        <v>#NAME?</v>
      </c>
    </row>
    <row r="13" spans="1:26" x14ac:dyDescent="0.25">
      <c r="A13" s="406"/>
      <c r="B13" s="406"/>
      <c r="F13" t="s">
        <v>132</v>
      </c>
      <c r="G13">
        <f>SUM(K5:K8)</f>
        <v>4016.5654761904766</v>
      </c>
      <c r="H13">
        <f>H14-H12</f>
        <v>25</v>
      </c>
      <c r="I13">
        <f>G13/H13</f>
        <v>160.66261904761907</v>
      </c>
    </row>
    <row r="14" spans="1:26" x14ac:dyDescent="0.25">
      <c r="A14" s="406"/>
      <c r="B14" s="406"/>
      <c r="F14" s="224" t="s">
        <v>1</v>
      </c>
      <c r="G14" s="224">
        <f>DEVSQ(A4:D11)</f>
        <v>5640.6896551724149</v>
      </c>
      <c r="H14" s="224">
        <f>COUNT(A4:D11)-1</f>
        <v>28</v>
      </c>
      <c r="I14" s="224">
        <f>G14/H14</f>
        <v>201.45320197044339</v>
      </c>
      <c r="J14" s="224"/>
      <c r="K14" s="224"/>
      <c r="L14" s="224"/>
      <c r="M14" s="224"/>
      <c r="N14" s="224"/>
    </row>
    <row r="15" spans="1:26" x14ac:dyDescent="0.25">
      <c r="A15" s="406"/>
      <c r="B15" s="406"/>
    </row>
    <row r="16" spans="1:26" x14ac:dyDescent="0.25">
      <c r="A16" s="406"/>
      <c r="B16" s="406"/>
    </row>
    <row r="17" spans="1:2" x14ac:dyDescent="0.25">
      <c r="A17" s="406"/>
      <c r="B17" s="40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S82"/>
  <sheetViews>
    <sheetView zoomScale="95" zoomScaleNormal="95" workbookViewId="0">
      <selection activeCell="S9" sqref="S9"/>
    </sheetView>
  </sheetViews>
  <sheetFormatPr defaultRowHeight="15" x14ac:dyDescent="0.25"/>
  <cols>
    <col min="1" max="1" width="6.28515625" customWidth="1"/>
    <col min="6" max="6" width="5.85546875" customWidth="1"/>
    <col min="7" max="7" width="16.7109375" customWidth="1"/>
    <col min="8" max="8" width="7.85546875" customWidth="1"/>
    <col min="9" max="9" width="6.5703125" customWidth="1"/>
    <col min="10" max="10" width="10.42578125" customWidth="1"/>
    <col min="12" max="12" width="8.42578125" customWidth="1"/>
    <col min="13" max="13" width="7.85546875" customWidth="1"/>
    <col min="15" max="15" width="15.85546875" customWidth="1"/>
  </cols>
  <sheetData>
    <row r="1" spans="1:19" x14ac:dyDescent="0.25">
      <c r="A1" s="1" t="s">
        <v>157</v>
      </c>
    </row>
    <row r="2" spans="1:19" x14ac:dyDescent="0.25">
      <c r="A2" s="1"/>
    </row>
    <row r="3" spans="1:19" x14ac:dyDescent="0.25">
      <c r="A3" s="15" t="s">
        <v>386</v>
      </c>
      <c r="G3" t="s">
        <v>133</v>
      </c>
      <c r="O3" t="s">
        <v>564</v>
      </c>
      <c r="R3" t="s">
        <v>479</v>
      </c>
    </row>
    <row r="5" spans="1:19" ht="15.75" thickBot="1" x14ac:dyDescent="0.3">
      <c r="B5" s="60" t="s">
        <v>33</v>
      </c>
      <c r="C5" s="60" t="s">
        <v>34</v>
      </c>
      <c r="D5" s="60" t="s">
        <v>40</v>
      </c>
      <c r="E5" s="60" t="s">
        <v>41</v>
      </c>
      <c r="G5" t="s">
        <v>52</v>
      </c>
      <c r="O5" t="s">
        <v>462</v>
      </c>
      <c r="P5" s="187" t="e">
        <f ca="1">LEVENE(B6:E13)</f>
        <v>#NAME?</v>
      </c>
      <c r="R5" t="s">
        <v>480</v>
      </c>
      <c r="S5" s="12" t="s">
        <v>56</v>
      </c>
    </row>
    <row r="6" spans="1:19" x14ac:dyDescent="0.25">
      <c r="B6" s="60">
        <v>51</v>
      </c>
      <c r="C6" s="60">
        <v>82</v>
      </c>
      <c r="D6" s="60">
        <v>79</v>
      </c>
      <c r="E6" s="60">
        <v>85</v>
      </c>
      <c r="G6" s="54" t="s">
        <v>61</v>
      </c>
      <c r="H6" s="54" t="s">
        <v>19</v>
      </c>
      <c r="I6" s="54" t="s">
        <v>18</v>
      </c>
      <c r="J6" s="54" t="s">
        <v>134</v>
      </c>
      <c r="K6" s="54" t="s">
        <v>62</v>
      </c>
      <c r="R6" t="s">
        <v>481</v>
      </c>
      <c r="S6" s="215" t="e">
        <f ca="1">LEVENE(B6:E13)</f>
        <v>#NAME?</v>
      </c>
    </row>
    <row r="7" spans="1:19" x14ac:dyDescent="0.25">
      <c r="B7" s="37">
        <v>87</v>
      </c>
      <c r="C7" s="37">
        <v>91</v>
      </c>
      <c r="D7" s="37">
        <v>84</v>
      </c>
      <c r="E7" s="37">
        <v>80</v>
      </c>
      <c r="G7" s="17" t="s">
        <v>33</v>
      </c>
      <c r="H7" s="17">
        <v>8</v>
      </c>
      <c r="I7" s="17">
        <v>91.75</v>
      </c>
      <c r="J7" s="17">
        <v>11.46875</v>
      </c>
      <c r="K7" s="17">
        <v>63.9453125</v>
      </c>
      <c r="R7" t="s">
        <v>482</v>
      </c>
      <c r="S7" s="206" t="e">
        <f ca="1">LEVENE(B6:E13,1)</f>
        <v>#NAME?</v>
      </c>
    </row>
    <row r="8" spans="1:19" x14ac:dyDescent="0.25">
      <c r="B8" s="37">
        <v>50</v>
      </c>
      <c r="C8" s="37">
        <v>92</v>
      </c>
      <c r="D8" s="37">
        <v>74</v>
      </c>
      <c r="E8" s="37">
        <v>65</v>
      </c>
      <c r="G8" s="17" t="s">
        <v>34</v>
      </c>
      <c r="H8" s="17">
        <v>8</v>
      </c>
      <c r="I8" s="17">
        <v>69.25</v>
      </c>
      <c r="J8" s="17">
        <v>8.65625</v>
      </c>
      <c r="K8" s="17">
        <v>71.918526785714292</v>
      </c>
      <c r="R8" t="s">
        <v>483</v>
      </c>
      <c r="S8" s="207" t="e">
        <f ca="1">LEVENE(B6:E13,-1)</f>
        <v>#NAME?</v>
      </c>
    </row>
    <row r="9" spans="1:19" x14ac:dyDescent="0.25">
      <c r="B9" s="37">
        <v>48</v>
      </c>
      <c r="C9" s="37">
        <v>80</v>
      </c>
      <c r="D9" s="37">
        <v>98</v>
      </c>
      <c r="E9" s="37">
        <v>71</v>
      </c>
      <c r="G9" s="17" t="s">
        <v>40</v>
      </c>
      <c r="H9" s="17">
        <v>8</v>
      </c>
      <c r="I9" s="17">
        <v>78</v>
      </c>
      <c r="J9" s="17">
        <v>9.75</v>
      </c>
      <c r="K9" s="17">
        <v>55.928571428571431</v>
      </c>
    </row>
    <row r="10" spans="1:19" ht="15.75" thickBot="1" x14ac:dyDescent="0.3">
      <c r="B10" s="37">
        <v>79</v>
      </c>
      <c r="C10" s="37">
        <v>52</v>
      </c>
      <c r="D10" s="37">
        <v>63</v>
      </c>
      <c r="E10" s="37">
        <v>67</v>
      </c>
      <c r="G10" s="18" t="s">
        <v>41</v>
      </c>
      <c r="H10" s="18">
        <v>8</v>
      </c>
      <c r="I10" s="18">
        <v>84.75</v>
      </c>
      <c r="J10" s="18">
        <v>10.59375</v>
      </c>
      <c r="K10" s="18">
        <v>53.293526785714285</v>
      </c>
    </row>
    <row r="11" spans="1:19" x14ac:dyDescent="0.25">
      <c r="B11" s="37">
        <v>61</v>
      </c>
      <c r="C11" s="37">
        <v>79</v>
      </c>
      <c r="D11" s="37">
        <v>83</v>
      </c>
      <c r="E11" s="37">
        <v>51</v>
      </c>
    </row>
    <row r="12" spans="1:19" x14ac:dyDescent="0.25">
      <c r="B12" s="37">
        <v>53</v>
      </c>
      <c r="C12" s="37">
        <v>73</v>
      </c>
      <c r="D12" s="37">
        <v>85</v>
      </c>
      <c r="E12" s="37">
        <v>63</v>
      </c>
    </row>
    <row r="13" spans="1:19" ht="15.75" thickBot="1" x14ac:dyDescent="0.3">
      <c r="B13" s="64">
        <v>54</v>
      </c>
      <c r="C13" s="64">
        <v>74</v>
      </c>
      <c r="D13" s="64">
        <v>58</v>
      </c>
      <c r="E13" s="64">
        <v>93</v>
      </c>
      <c r="G13" t="s">
        <v>101</v>
      </c>
    </row>
    <row r="14" spans="1:19" ht="18" x14ac:dyDescent="0.35">
      <c r="A14" s="70" t="s">
        <v>139</v>
      </c>
      <c r="B14" s="52">
        <f>AVERAGE(B6:B13)</f>
        <v>60.375</v>
      </c>
      <c r="C14" s="52">
        <f>AVERAGE(C6:C13)</f>
        <v>77.875</v>
      </c>
      <c r="D14" s="52">
        <f>AVERAGE(D6:D13)</f>
        <v>78</v>
      </c>
      <c r="E14" s="52">
        <f>AVERAGE(E6:E13)</f>
        <v>71.875</v>
      </c>
      <c r="G14" s="54" t="s">
        <v>135</v>
      </c>
      <c r="H14" s="54" t="s">
        <v>88</v>
      </c>
      <c r="I14" s="54" t="s">
        <v>51</v>
      </c>
      <c r="J14" s="54" t="s">
        <v>92</v>
      </c>
      <c r="K14" s="54" t="s">
        <v>82</v>
      </c>
      <c r="L14" s="54" t="s">
        <v>74</v>
      </c>
      <c r="M14" s="54" t="s">
        <v>136</v>
      </c>
    </row>
    <row r="15" spans="1:19" ht="18.75" x14ac:dyDescent="0.35">
      <c r="A15" s="70" t="s">
        <v>158</v>
      </c>
      <c r="B15" s="64">
        <f>VAR(B6:B13)</f>
        <v>214.26785714285714</v>
      </c>
      <c r="C15" s="64">
        <f>VAR(C6:C13)</f>
        <v>157.55357142857142</v>
      </c>
      <c r="D15" s="64">
        <f>VAR(D6:D13)</f>
        <v>164.57142857142858</v>
      </c>
      <c r="E15" s="64">
        <f>VAR(E6:E13)</f>
        <v>181.55357142857142</v>
      </c>
      <c r="G15" s="17" t="s">
        <v>131</v>
      </c>
      <c r="H15" s="17">
        <v>34.583984375</v>
      </c>
      <c r="I15" s="17">
        <v>3</v>
      </c>
      <c r="J15" s="17">
        <v>11.527994791666666</v>
      </c>
      <c r="K15" s="17">
        <v>0.18814616471688289</v>
      </c>
      <c r="L15" s="17">
        <v>0.90357218992034294</v>
      </c>
      <c r="M15" s="17">
        <v>2.9466852660172647</v>
      </c>
    </row>
    <row r="16" spans="1:19" x14ac:dyDescent="0.25">
      <c r="A16" s="70"/>
      <c r="G16" s="17" t="s">
        <v>132</v>
      </c>
      <c r="H16" s="17">
        <v>1715.6015625</v>
      </c>
      <c r="I16" s="17">
        <v>28</v>
      </c>
      <c r="J16" s="17">
        <v>61.271484375</v>
      </c>
      <c r="K16" s="17"/>
      <c r="L16" s="17"/>
      <c r="M16" s="17"/>
    </row>
    <row r="17" spans="1:16" x14ac:dyDescent="0.25">
      <c r="A17" s="70"/>
      <c r="B17" t="s">
        <v>160</v>
      </c>
      <c r="G17" s="17"/>
      <c r="H17" s="17"/>
      <c r="I17" s="17"/>
      <c r="J17" s="17"/>
      <c r="K17" s="17"/>
      <c r="L17" s="17"/>
      <c r="M17" s="17"/>
    </row>
    <row r="18" spans="1:16" ht="15.75" thickBot="1" x14ac:dyDescent="0.3">
      <c r="G18" s="18" t="s">
        <v>1</v>
      </c>
      <c r="H18" s="18">
        <v>1750.185546875</v>
      </c>
      <c r="I18" s="18">
        <v>31</v>
      </c>
      <c r="J18" s="18"/>
      <c r="K18" s="18"/>
      <c r="L18" s="18"/>
      <c r="M18" s="18"/>
    </row>
    <row r="19" spans="1:16" x14ac:dyDescent="0.25">
      <c r="B19" s="60" t="s">
        <v>33</v>
      </c>
      <c r="C19" s="60" t="s">
        <v>34</v>
      </c>
      <c r="D19" s="60" t="s">
        <v>40</v>
      </c>
      <c r="E19" s="60" t="s">
        <v>41</v>
      </c>
    </row>
    <row r="20" spans="1:16" x14ac:dyDescent="0.25">
      <c r="B20" s="71">
        <f t="shared" ref="B20:E27" si="0">IF(ISNUMBER(B6),ABS(B6-B$14),"")</f>
        <v>9.375</v>
      </c>
      <c r="C20" s="71">
        <f t="shared" si="0"/>
        <v>4.125</v>
      </c>
      <c r="D20" s="71">
        <f t="shared" si="0"/>
        <v>1</v>
      </c>
      <c r="E20" s="71">
        <f t="shared" si="0"/>
        <v>13.125</v>
      </c>
    </row>
    <row r="21" spans="1:16" x14ac:dyDescent="0.25">
      <c r="B21" s="23">
        <f t="shared" si="0"/>
        <v>26.625</v>
      </c>
      <c r="C21" s="23">
        <f t="shared" si="0"/>
        <v>13.125</v>
      </c>
      <c r="D21" s="23">
        <f t="shared" si="0"/>
        <v>6</v>
      </c>
      <c r="E21" s="23">
        <f t="shared" si="0"/>
        <v>8.125</v>
      </c>
    </row>
    <row r="22" spans="1:16" x14ac:dyDescent="0.25">
      <c r="B22" s="23">
        <f t="shared" si="0"/>
        <v>10.375</v>
      </c>
      <c r="C22" s="23">
        <f t="shared" si="0"/>
        <v>14.125</v>
      </c>
      <c r="D22" s="23">
        <f t="shared" si="0"/>
        <v>4</v>
      </c>
      <c r="E22" s="23">
        <f t="shared" si="0"/>
        <v>6.875</v>
      </c>
    </row>
    <row r="23" spans="1:16" x14ac:dyDescent="0.25">
      <c r="B23" s="23">
        <f t="shared" si="0"/>
        <v>12.375</v>
      </c>
      <c r="C23" s="23">
        <f t="shared" si="0"/>
        <v>2.125</v>
      </c>
      <c r="D23" s="23">
        <f t="shared" si="0"/>
        <v>20</v>
      </c>
      <c r="E23" s="23">
        <f t="shared" si="0"/>
        <v>0.875</v>
      </c>
      <c r="F23" s="37"/>
      <c r="G23" s="37"/>
      <c r="H23" s="37"/>
      <c r="I23" s="37"/>
    </row>
    <row r="24" spans="1:16" x14ac:dyDescent="0.25">
      <c r="B24" s="23">
        <f t="shared" si="0"/>
        <v>18.625</v>
      </c>
      <c r="C24" s="23">
        <f t="shared" si="0"/>
        <v>25.875</v>
      </c>
      <c r="D24" s="23">
        <f t="shared" si="0"/>
        <v>15</v>
      </c>
      <c r="E24" s="23">
        <f t="shared" si="0"/>
        <v>4.875</v>
      </c>
    </row>
    <row r="25" spans="1:16" x14ac:dyDescent="0.25">
      <c r="B25" s="23">
        <f t="shared" si="0"/>
        <v>0.625</v>
      </c>
      <c r="C25" s="23">
        <f t="shared" si="0"/>
        <v>1.125</v>
      </c>
      <c r="D25" s="23">
        <f t="shared" si="0"/>
        <v>5</v>
      </c>
      <c r="E25" s="23">
        <f t="shared" si="0"/>
        <v>20.875</v>
      </c>
    </row>
    <row r="26" spans="1:16" x14ac:dyDescent="0.25">
      <c r="B26" s="23">
        <f t="shared" si="0"/>
        <v>7.375</v>
      </c>
      <c r="C26" s="23">
        <f t="shared" si="0"/>
        <v>4.875</v>
      </c>
      <c r="D26" s="23">
        <f t="shared" si="0"/>
        <v>7</v>
      </c>
      <c r="E26" s="23">
        <f t="shared" si="0"/>
        <v>8.875</v>
      </c>
    </row>
    <row r="27" spans="1:16" x14ac:dyDescent="0.25">
      <c r="B27" s="69">
        <f t="shared" si="0"/>
        <v>6.375</v>
      </c>
      <c r="C27" s="69">
        <f t="shared" si="0"/>
        <v>3.875</v>
      </c>
      <c r="D27" s="69">
        <f t="shared" si="0"/>
        <v>20</v>
      </c>
      <c r="E27" s="69">
        <f t="shared" si="0"/>
        <v>21.125</v>
      </c>
    </row>
    <row r="28" spans="1:16" x14ac:dyDescent="0.25">
      <c r="B28" s="231"/>
      <c r="C28" s="231"/>
      <c r="D28" s="231"/>
      <c r="E28" s="231"/>
      <c r="F28" s="37"/>
      <c r="G28" s="37"/>
      <c r="H28" s="37"/>
      <c r="I28" s="37"/>
    </row>
    <row r="30" spans="1:16" x14ac:dyDescent="0.25">
      <c r="A30" s="15" t="s">
        <v>387</v>
      </c>
      <c r="G30" t="s">
        <v>133</v>
      </c>
      <c r="O30" t="s">
        <v>564</v>
      </c>
    </row>
    <row r="32" spans="1:16" ht="15.75" thickBot="1" x14ac:dyDescent="0.3">
      <c r="B32" s="60" t="s">
        <v>33</v>
      </c>
      <c r="C32" s="60" t="s">
        <v>34</v>
      </c>
      <c r="D32" s="60" t="s">
        <v>40</v>
      </c>
      <c r="E32" s="60" t="s">
        <v>41</v>
      </c>
      <c r="G32" t="s">
        <v>52</v>
      </c>
      <c r="O32" t="s">
        <v>460</v>
      </c>
      <c r="P32" s="187" t="e">
        <f ca="1">LEVENE(B33:E40,1)</f>
        <v>#NAME?</v>
      </c>
    </row>
    <row r="33" spans="1:13" x14ac:dyDescent="0.25">
      <c r="B33" s="60">
        <v>51</v>
      </c>
      <c r="C33" s="60">
        <v>82</v>
      </c>
      <c r="D33" s="60">
        <v>79</v>
      </c>
      <c r="E33" s="60">
        <v>85</v>
      </c>
      <c r="G33" s="211" t="s">
        <v>61</v>
      </c>
      <c r="H33" s="211" t="s">
        <v>19</v>
      </c>
      <c r="I33" s="211" t="s">
        <v>18</v>
      </c>
      <c r="J33" s="211" t="s">
        <v>134</v>
      </c>
      <c r="K33" s="211" t="s">
        <v>62</v>
      </c>
    </row>
    <row r="34" spans="1:13" x14ac:dyDescent="0.25">
      <c r="B34" s="37">
        <v>87</v>
      </c>
      <c r="C34" s="37">
        <v>91</v>
      </c>
      <c r="D34" s="37">
        <v>84</v>
      </c>
      <c r="E34" s="37">
        <v>80</v>
      </c>
      <c r="G34" s="17" t="s">
        <v>33</v>
      </c>
      <c r="H34" s="17">
        <v>8</v>
      </c>
      <c r="I34" s="17">
        <v>79</v>
      </c>
      <c r="J34" s="17">
        <v>9.875</v>
      </c>
      <c r="K34" s="17">
        <v>156.83928571428572</v>
      </c>
    </row>
    <row r="35" spans="1:13" x14ac:dyDescent="0.25">
      <c r="B35" s="37">
        <v>50</v>
      </c>
      <c r="C35" s="37">
        <v>92</v>
      </c>
      <c r="D35" s="37">
        <v>74</v>
      </c>
      <c r="E35" s="37">
        <v>65</v>
      </c>
      <c r="G35" s="17" t="s">
        <v>34</v>
      </c>
      <c r="H35" s="17">
        <v>8</v>
      </c>
      <c r="I35" s="17">
        <v>67</v>
      </c>
      <c r="J35" s="17">
        <v>8.375</v>
      </c>
      <c r="K35" s="17">
        <v>80.410714285714292</v>
      </c>
    </row>
    <row r="36" spans="1:13" x14ac:dyDescent="0.25">
      <c r="B36" s="37">
        <v>48</v>
      </c>
      <c r="C36" s="37">
        <v>80</v>
      </c>
      <c r="D36" s="37">
        <v>98</v>
      </c>
      <c r="E36" s="37">
        <v>71</v>
      </c>
      <c r="G36" s="17" t="s">
        <v>40</v>
      </c>
      <c r="H36" s="17">
        <v>8</v>
      </c>
      <c r="I36" s="17">
        <v>76</v>
      </c>
      <c r="J36" s="17">
        <v>9.5</v>
      </c>
      <c r="K36" s="17">
        <v>71.714285714285708</v>
      </c>
    </row>
    <row r="37" spans="1:13" ht="15.75" thickBot="1" x14ac:dyDescent="0.3">
      <c r="B37" s="37">
        <v>79</v>
      </c>
      <c r="C37" s="37">
        <v>52</v>
      </c>
      <c r="D37" s="37">
        <v>63</v>
      </c>
      <c r="E37" s="37">
        <v>67</v>
      </c>
      <c r="G37" s="18" t="s">
        <v>41</v>
      </c>
      <c r="H37" s="18">
        <v>8</v>
      </c>
      <c r="I37" s="18">
        <v>83</v>
      </c>
      <c r="J37" s="18">
        <v>10.375</v>
      </c>
      <c r="K37" s="18">
        <v>67.982142857142861</v>
      </c>
    </row>
    <row r="38" spans="1:13" x14ac:dyDescent="0.25">
      <c r="B38" s="37">
        <v>61</v>
      </c>
      <c r="C38" s="37">
        <v>79</v>
      </c>
      <c r="D38" s="37">
        <v>83</v>
      </c>
      <c r="E38" s="37">
        <v>51</v>
      </c>
    </row>
    <row r="39" spans="1:13" x14ac:dyDescent="0.25">
      <c r="B39" s="37">
        <v>53</v>
      </c>
      <c r="C39" s="37">
        <v>73</v>
      </c>
      <c r="D39" s="37">
        <v>85</v>
      </c>
      <c r="E39" s="37">
        <v>63</v>
      </c>
    </row>
    <row r="40" spans="1:13" ht="15.75" thickBot="1" x14ac:dyDescent="0.3">
      <c r="B40" s="64">
        <v>54</v>
      </c>
      <c r="C40" s="64">
        <v>74</v>
      </c>
      <c r="D40" s="64">
        <v>58</v>
      </c>
      <c r="E40" s="64">
        <v>93</v>
      </c>
      <c r="G40" t="s">
        <v>101</v>
      </c>
    </row>
    <row r="41" spans="1:13" x14ac:dyDescent="0.25">
      <c r="A41" s="76" t="s">
        <v>169</v>
      </c>
      <c r="B41" s="52">
        <f>MEDIAN(B33:B40)</f>
        <v>53.5</v>
      </c>
      <c r="C41" s="52">
        <f>MEDIAN(C33:C40)</f>
        <v>79.5</v>
      </c>
      <c r="D41" s="52">
        <f>MEDIAN(D33:D40)</f>
        <v>81</v>
      </c>
      <c r="E41" s="52">
        <f>MEDIAN(E33:E40)</f>
        <v>69</v>
      </c>
      <c r="G41" s="211" t="s">
        <v>135</v>
      </c>
      <c r="H41" s="211" t="s">
        <v>88</v>
      </c>
      <c r="I41" s="211" t="s">
        <v>51</v>
      </c>
      <c r="J41" s="211" t="s">
        <v>92</v>
      </c>
      <c r="K41" s="211" t="s">
        <v>82</v>
      </c>
      <c r="L41" s="211" t="s">
        <v>74</v>
      </c>
      <c r="M41" s="211" t="s">
        <v>136</v>
      </c>
    </row>
    <row r="42" spans="1:13" ht="18.75" x14ac:dyDescent="0.35">
      <c r="A42" s="70" t="s">
        <v>158</v>
      </c>
      <c r="B42" s="64">
        <f>VAR(B33:B40)</f>
        <v>214.26785714285714</v>
      </c>
      <c r="C42" s="64">
        <f>VAR(C33:C40)</f>
        <v>157.55357142857142</v>
      </c>
      <c r="D42" s="64">
        <f>VAR(D33:D40)</f>
        <v>164.57142857142858</v>
      </c>
      <c r="E42" s="64">
        <f>VAR(E33:E40)</f>
        <v>181.55357142857142</v>
      </c>
      <c r="G42" s="17" t="s">
        <v>131</v>
      </c>
      <c r="H42" s="17">
        <v>17.34375</v>
      </c>
      <c r="I42" s="17">
        <v>3</v>
      </c>
      <c r="J42" s="17">
        <v>5.78125</v>
      </c>
      <c r="K42" s="17">
        <v>6.1348240087166613E-2</v>
      </c>
      <c r="L42" s="17">
        <v>0.97971219945513577</v>
      </c>
      <c r="M42" s="17">
        <v>2.9466852660172647</v>
      </c>
    </row>
    <row r="43" spans="1:13" x14ac:dyDescent="0.25">
      <c r="A43" s="70"/>
      <c r="G43" s="17" t="s">
        <v>132</v>
      </c>
      <c r="H43" s="17">
        <v>2638.625</v>
      </c>
      <c r="I43" s="17">
        <v>28</v>
      </c>
      <c r="J43" s="17">
        <v>94.236607142857139</v>
      </c>
      <c r="K43" s="17"/>
      <c r="L43" s="17"/>
      <c r="M43" s="17"/>
    </row>
    <row r="44" spans="1:13" x14ac:dyDescent="0.25">
      <c r="A44" s="70"/>
      <c r="B44" t="s">
        <v>160</v>
      </c>
      <c r="G44" s="17"/>
      <c r="H44" s="17"/>
      <c r="I44" s="17"/>
      <c r="J44" s="17"/>
      <c r="K44" s="17"/>
      <c r="L44" s="17"/>
      <c r="M44" s="17"/>
    </row>
    <row r="45" spans="1:13" ht="15.75" thickBot="1" x14ac:dyDescent="0.3">
      <c r="G45" s="18" t="s">
        <v>1</v>
      </c>
      <c r="H45" s="18">
        <v>2655.96875</v>
      </c>
      <c r="I45" s="18">
        <v>31</v>
      </c>
      <c r="J45" s="18"/>
      <c r="K45" s="18"/>
      <c r="L45" s="18"/>
      <c r="M45" s="18"/>
    </row>
    <row r="46" spans="1:13" x14ac:dyDescent="0.25">
      <c r="B46" s="60" t="s">
        <v>33</v>
      </c>
      <c r="C46" s="60" t="s">
        <v>34</v>
      </c>
      <c r="D46" s="60" t="s">
        <v>40</v>
      </c>
      <c r="E46" s="60" t="s">
        <v>41</v>
      </c>
    </row>
    <row r="47" spans="1:13" x14ac:dyDescent="0.25">
      <c r="B47" s="73">
        <f t="shared" ref="B47:E54" si="1">ABS(B33-B$41)</f>
        <v>2.5</v>
      </c>
      <c r="C47" s="73">
        <f t="shared" si="1"/>
        <v>2.5</v>
      </c>
      <c r="D47" s="73">
        <f t="shared" si="1"/>
        <v>2</v>
      </c>
      <c r="E47" s="73">
        <f t="shared" si="1"/>
        <v>16</v>
      </c>
    </row>
    <row r="48" spans="1:13" x14ac:dyDescent="0.25">
      <c r="B48" s="23">
        <f t="shared" si="1"/>
        <v>33.5</v>
      </c>
      <c r="C48" s="23">
        <f t="shared" si="1"/>
        <v>11.5</v>
      </c>
      <c r="D48" s="23">
        <f t="shared" si="1"/>
        <v>3</v>
      </c>
      <c r="E48" s="23">
        <f t="shared" si="1"/>
        <v>11</v>
      </c>
    </row>
    <row r="49" spans="1:16" x14ac:dyDescent="0.25">
      <c r="B49" s="23">
        <f t="shared" si="1"/>
        <v>3.5</v>
      </c>
      <c r="C49" s="23">
        <f t="shared" si="1"/>
        <v>12.5</v>
      </c>
      <c r="D49" s="23">
        <f t="shared" si="1"/>
        <v>7</v>
      </c>
      <c r="E49" s="23">
        <f t="shared" si="1"/>
        <v>4</v>
      </c>
    </row>
    <row r="50" spans="1:16" x14ac:dyDescent="0.25">
      <c r="B50" s="23">
        <f t="shared" si="1"/>
        <v>5.5</v>
      </c>
      <c r="C50" s="23">
        <f t="shared" si="1"/>
        <v>0.5</v>
      </c>
      <c r="D50" s="23">
        <f t="shared" si="1"/>
        <v>17</v>
      </c>
      <c r="E50" s="23">
        <f t="shared" si="1"/>
        <v>2</v>
      </c>
    </row>
    <row r="51" spans="1:16" x14ac:dyDescent="0.25">
      <c r="B51" s="23">
        <f t="shared" si="1"/>
        <v>25.5</v>
      </c>
      <c r="C51" s="23">
        <f t="shared" si="1"/>
        <v>27.5</v>
      </c>
      <c r="D51" s="23">
        <f t="shared" si="1"/>
        <v>18</v>
      </c>
      <c r="E51" s="23">
        <f t="shared" si="1"/>
        <v>2</v>
      </c>
    </row>
    <row r="52" spans="1:16" x14ac:dyDescent="0.25">
      <c r="B52" s="23">
        <f t="shared" si="1"/>
        <v>7.5</v>
      </c>
      <c r="C52" s="23">
        <f t="shared" si="1"/>
        <v>0.5</v>
      </c>
      <c r="D52" s="23">
        <f t="shared" si="1"/>
        <v>2</v>
      </c>
      <c r="E52" s="23">
        <f t="shared" si="1"/>
        <v>18</v>
      </c>
    </row>
    <row r="53" spans="1:16" x14ac:dyDescent="0.25">
      <c r="B53" s="23">
        <f t="shared" si="1"/>
        <v>0.5</v>
      </c>
      <c r="C53" s="23">
        <f t="shared" si="1"/>
        <v>6.5</v>
      </c>
      <c r="D53" s="23">
        <f t="shared" si="1"/>
        <v>4</v>
      </c>
      <c r="E53" s="23">
        <f t="shared" si="1"/>
        <v>6</v>
      </c>
    </row>
    <row r="54" spans="1:16" x14ac:dyDescent="0.25">
      <c r="B54" s="69">
        <f t="shared" si="1"/>
        <v>0.5</v>
      </c>
      <c r="C54" s="69">
        <f t="shared" si="1"/>
        <v>5.5</v>
      </c>
      <c r="D54" s="69">
        <f t="shared" si="1"/>
        <v>23</v>
      </c>
      <c r="E54" s="69">
        <f t="shared" si="1"/>
        <v>24</v>
      </c>
    </row>
    <row r="57" spans="1:16" x14ac:dyDescent="0.25">
      <c r="A57" s="15" t="s">
        <v>458</v>
      </c>
      <c r="G57" t="s">
        <v>133</v>
      </c>
      <c r="O57" t="s">
        <v>564</v>
      </c>
    </row>
    <row r="59" spans="1:16" ht="15.75" thickBot="1" x14ac:dyDescent="0.3">
      <c r="B59" s="60" t="s">
        <v>33</v>
      </c>
      <c r="C59" s="60" t="s">
        <v>34</v>
      </c>
      <c r="D59" s="60" t="s">
        <v>40</v>
      </c>
      <c r="E59" s="60" t="s">
        <v>41</v>
      </c>
      <c r="G59" t="s">
        <v>52</v>
      </c>
      <c r="O59" t="s">
        <v>461</v>
      </c>
      <c r="P59" s="187" t="e">
        <f ca="1">LEVENE(B60:E67,-1)</f>
        <v>#NAME?</v>
      </c>
    </row>
    <row r="60" spans="1:16" x14ac:dyDescent="0.25">
      <c r="B60" s="60">
        <v>51</v>
      </c>
      <c r="C60" s="60">
        <v>82</v>
      </c>
      <c r="D60" s="60">
        <v>79</v>
      </c>
      <c r="E60" s="60">
        <v>85</v>
      </c>
      <c r="G60" s="211" t="s">
        <v>61</v>
      </c>
      <c r="H60" s="211" t="s">
        <v>19</v>
      </c>
      <c r="I60" s="211" t="s">
        <v>18</v>
      </c>
      <c r="J60" s="211" t="s">
        <v>134</v>
      </c>
      <c r="K60" s="211" t="s">
        <v>62</v>
      </c>
    </row>
    <row r="61" spans="1:16" x14ac:dyDescent="0.25">
      <c r="B61" s="209">
        <v>87</v>
      </c>
      <c r="C61" s="209">
        <v>91</v>
      </c>
      <c r="D61" s="209">
        <v>84</v>
      </c>
      <c r="E61" s="209">
        <v>80</v>
      </c>
      <c r="G61" s="17" t="s">
        <v>33</v>
      </c>
      <c r="H61" s="17">
        <v>8</v>
      </c>
      <c r="I61" s="17">
        <v>91.75</v>
      </c>
      <c r="J61" s="17">
        <v>11.46875</v>
      </c>
      <c r="K61" s="17">
        <v>63.9453125</v>
      </c>
    </row>
    <row r="62" spans="1:16" x14ac:dyDescent="0.25">
      <c r="B62" s="209">
        <v>50</v>
      </c>
      <c r="C62" s="209">
        <v>92</v>
      </c>
      <c r="D62" s="209">
        <v>74</v>
      </c>
      <c r="E62" s="209">
        <v>65</v>
      </c>
      <c r="G62" s="17" t="s">
        <v>34</v>
      </c>
      <c r="H62" s="17">
        <v>8</v>
      </c>
      <c r="I62" s="17">
        <v>69.25</v>
      </c>
      <c r="J62" s="17">
        <v>8.65625</v>
      </c>
      <c r="K62" s="17">
        <v>71.918526785714292</v>
      </c>
    </row>
    <row r="63" spans="1:16" x14ac:dyDescent="0.25">
      <c r="B63" s="209">
        <v>48</v>
      </c>
      <c r="C63" s="209">
        <v>80</v>
      </c>
      <c r="D63" s="209">
        <v>98</v>
      </c>
      <c r="E63" s="209">
        <v>71</v>
      </c>
      <c r="G63" s="17" t="s">
        <v>40</v>
      </c>
      <c r="H63" s="17">
        <v>8</v>
      </c>
      <c r="I63" s="17">
        <v>78</v>
      </c>
      <c r="J63" s="17">
        <v>9.75</v>
      </c>
      <c r="K63" s="17">
        <v>55.928571428571431</v>
      </c>
    </row>
    <row r="64" spans="1:16" ht="15.75" thickBot="1" x14ac:dyDescent="0.3">
      <c r="B64" s="209">
        <v>79</v>
      </c>
      <c r="C64" s="209">
        <v>52</v>
      </c>
      <c r="D64" s="209">
        <v>63</v>
      </c>
      <c r="E64" s="209">
        <v>67</v>
      </c>
      <c r="G64" s="18" t="s">
        <v>41</v>
      </c>
      <c r="H64" s="18">
        <v>8</v>
      </c>
      <c r="I64" s="18">
        <v>84.75</v>
      </c>
      <c r="J64" s="18">
        <v>10.59375</v>
      </c>
      <c r="K64" s="18">
        <v>53.293526785714285</v>
      </c>
    </row>
    <row r="65" spans="1:13" x14ac:dyDescent="0.25">
      <c r="B65" s="209">
        <v>61</v>
      </c>
      <c r="C65" s="209">
        <v>79</v>
      </c>
      <c r="D65" s="209">
        <v>83</v>
      </c>
      <c r="E65" s="209">
        <v>51</v>
      </c>
    </row>
    <row r="66" spans="1:13" x14ac:dyDescent="0.25">
      <c r="B66" s="209">
        <v>53</v>
      </c>
      <c r="C66" s="209">
        <v>73</v>
      </c>
      <c r="D66" s="209">
        <v>85</v>
      </c>
      <c r="E66" s="209">
        <v>63</v>
      </c>
    </row>
    <row r="67" spans="1:13" ht="15.75" thickBot="1" x14ac:dyDescent="0.3">
      <c r="B67" s="210">
        <v>54</v>
      </c>
      <c r="C67" s="210">
        <v>74</v>
      </c>
      <c r="D67" s="210">
        <v>58</v>
      </c>
      <c r="E67" s="210">
        <v>93</v>
      </c>
      <c r="G67" t="s">
        <v>101</v>
      </c>
    </row>
    <row r="68" spans="1:13" ht="18" x14ac:dyDescent="0.35">
      <c r="A68" s="70" t="s">
        <v>459</v>
      </c>
      <c r="B68" s="208">
        <f>TRIMMEAN(B60:B67,0.1)</f>
        <v>60.375</v>
      </c>
      <c r="C68" s="208">
        <f>TRIMMEAN(C60:C67,0.1)</f>
        <v>77.875</v>
      </c>
      <c r="D68" s="208">
        <f>TRIMMEAN(D60:D67,0.1)</f>
        <v>78</v>
      </c>
      <c r="E68" s="208">
        <f>TRIMMEAN(E60:E67,0.1)</f>
        <v>71.875</v>
      </c>
      <c r="G68" s="211" t="s">
        <v>135</v>
      </c>
      <c r="H68" s="211" t="s">
        <v>88</v>
      </c>
      <c r="I68" s="211" t="s">
        <v>51</v>
      </c>
      <c r="J68" s="211" t="s">
        <v>92</v>
      </c>
      <c r="K68" s="211" t="s">
        <v>82</v>
      </c>
      <c r="L68" s="211" t="s">
        <v>74</v>
      </c>
      <c r="M68" s="211" t="s">
        <v>136</v>
      </c>
    </row>
    <row r="69" spans="1:13" ht="18.75" x14ac:dyDescent="0.35">
      <c r="A69" s="70" t="s">
        <v>158</v>
      </c>
      <c r="B69" s="210">
        <f>VAR(B60:B67)</f>
        <v>214.26785714285714</v>
      </c>
      <c r="C69" s="210">
        <f>VAR(C60:C67)</f>
        <v>157.55357142857142</v>
      </c>
      <c r="D69" s="210">
        <f>VAR(D60:D67)</f>
        <v>164.57142857142858</v>
      </c>
      <c r="E69" s="210">
        <f>VAR(E60:E67)</f>
        <v>181.55357142857142</v>
      </c>
      <c r="G69" s="17" t="s">
        <v>131</v>
      </c>
      <c r="H69" s="17">
        <v>34.583984375</v>
      </c>
      <c r="I69" s="17">
        <v>3</v>
      </c>
      <c r="J69" s="17">
        <v>11.527994791666666</v>
      </c>
      <c r="K69" s="17">
        <v>0.18814616471688289</v>
      </c>
      <c r="L69" s="17">
        <v>0.90357218992034294</v>
      </c>
      <c r="M69" s="17">
        <v>2.9466852660172647</v>
      </c>
    </row>
    <row r="70" spans="1:13" x14ac:dyDescent="0.25">
      <c r="A70" s="70"/>
      <c r="G70" s="17" t="s">
        <v>132</v>
      </c>
      <c r="H70" s="17">
        <v>1715.6015625</v>
      </c>
      <c r="I70" s="17">
        <v>28</v>
      </c>
      <c r="J70" s="17">
        <v>61.271484375</v>
      </c>
      <c r="K70" s="17"/>
      <c r="L70" s="17"/>
      <c r="M70" s="17"/>
    </row>
    <row r="71" spans="1:13" x14ac:dyDescent="0.25">
      <c r="A71" s="70"/>
      <c r="B71" t="s">
        <v>160</v>
      </c>
      <c r="G71" s="17"/>
      <c r="H71" s="17"/>
      <c r="I71" s="17"/>
      <c r="J71" s="17"/>
      <c r="K71" s="17"/>
      <c r="L71" s="17"/>
      <c r="M71" s="17"/>
    </row>
    <row r="72" spans="1:13" ht="15.75" thickBot="1" x14ac:dyDescent="0.3">
      <c r="G72" s="18" t="s">
        <v>1</v>
      </c>
      <c r="H72" s="18">
        <v>1750.185546875</v>
      </c>
      <c r="I72" s="18">
        <v>31</v>
      </c>
      <c r="J72" s="18"/>
      <c r="K72" s="18"/>
      <c r="L72" s="18"/>
      <c r="M72" s="18"/>
    </row>
    <row r="73" spans="1:13" x14ac:dyDescent="0.25">
      <c r="B73" s="60" t="s">
        <v>33</v>
      </c>
      <c r="C73" s="60" t="s">
        <v>34</v>
      </c>
      <c r="D73" s="60" t="s">
        <v>40</v>
      </c>
      <c r="E73" s="60" t="s">
        <v>41</v>
      </c>
    </row>
    <row r="74" spans="1:13" x14ac:dyDescent="0.25">
      <c r="B74" s="73">
        <f t="shared" ref="B74:E81" si="2">ABS(B60-B$14)</f>
        <v>9.375</v>
      </c>
      <c r="C74" s="73">
        <f t="shared" si="2"/>
        <v>4.125</v>
      </c>
      <c r="D74" s="73">
        <f t="shared" si="2"/>
        <v>1</v>
      </c>
      <c r="E74" s="73">
        <f t="shared" si="2"/>
        <v>13.125</v>
      </c>
    </row>
    <row r="75" spans="1:13" x14ac:dyDescent="0.25">
      <c r="B75" s="23">
        <f t="shared" si="2"/>
        <v>26.625</v>
      </c>
      <c r="C75" s="23">
        <f t="shared" si="2"/>
        <v>13.125</v>
      </c>
      <c r="D75" s="23">
        <f t="shared" si="2"/>
        <v>6</v>
      </c>
      <c r="E75" s="23">
        <f t="shared" si="2"/>
        <v>8.125</v>
      </c>
    </row>
    <row r="76" spans="1:13" x14ac:dyDescent="0.25">
      <c r="B76" s="23">
        <f t="shared" si="2"/>
        <v>10.375</v>
      </c>
      <c r="C76" s="23">
        <f t="shared" si="2"/>
        <v>14.125</v>
      </c>
      <c r="D76" s="23">
        <f t="shared" si="2"/>
        <v>4</v>
      </c>
      <c r="E76" s="23">
        <f t="shared" si="2"/>
        <v>6.875</v>
      </c>
    </row>
    <row r="77" spans="1:13" x14ac:dyDescent="0.25">
      <c r="B77" s="23">
        <f t="shared" si="2"/>
        <v>12.375</v>
      </c>
      <c r="C77" s="23">
        <f t="shared" si="2"/>
        <v>2.125</v>
      </c>
      <c r="D77" s="23">
        <f t="shared" si="2"/>
        <v>20</v>
      </c>
      <c r="E77" s="23">
        <f t="shared" si="2"/>
        <v>0.875</v>
      </c>
      <c r="F77" s="209"/>
      <c r="G77" s="209"/>
      <c r="H77" s="209"/>
      <c r="I77" s="209"/>
    </row>
    <row r="78" spans="1:13" x14ac:dyDescent="0.25">
      <c r="B78" s="23">
        <f t="shared" si="2"/>
        <v>18.625</v>
      </c>
      <c r="C78" s="23">
        <f t="shared" si="2"/>
        <v>25.875</v>
      </c>
      <c r="D78" s="23">
        <f t="shared" si="2"/>
        <v>15</v>
      </c>
      <c r="E78" s="23">
        <f t="shared" si="2"/>
        <v>4.875</v>
      </c>
    </row>
    <row r="79" spans="1:13" x14ac:dyDescent="0.25">
      <c r="B79" s="23">
        <f t="shared" si="2"/>
        <v>0.625</v>
      </c>
      <c r="C79" s="23">
        <f t="shared" si="2"/>
        <v>1.125</v>
      </c>
      <c r="D79" s="23">
        <f t="shared" si="2"/>
        <v>5</v>
      </c>
      <c r="E79" s="23">
        <f t="shared" si="2"/>
        <v>20.875</v>
      </c>
    </row>
    <row r="80" spans="1:13" x14ac:dyDescent="0.25">
      <c r="B80" s="23">
        <f t="shared" si="2"/>
        <v>7.375</v>
      </c>
      <c r="C80" s="23">
        <f t="shared" si="2"/>
        <v>4.875</v>
      </c>
      <c r="D80" s="23">
        <f t="shared" si="2"/>
        <v>7</v>
      </c>
      <c r="E80" s="23">
        <f t="shared" si="2"/>
        <v>8.875</v>
      </c>
    </row>
    <row r="81" spans="2:9" x14ac:dyDescent="0.25">
      <c r="B81" s="69">
        <f t="shared" si="2"/>
        <v>6.375</v>
      </c>
      <c r="C81" s="69">
        <f t="shared" si="2"/>
        <v>3.875</v>
      </c>
      <c r="D81" s="69">
        <f t="shared" si="2"/>
        <v>20</v>
      </c>
      <c r="E81" s="69">
        <f t="shared" si="2"/>
        <v>21.125</v>
      </c>
    </row>
    <row r="82" spans="2:9" x14ac:dyDescent="0.25">
      <c r="F82" s="209"/>
      <c r="G82" s="209"/>
      <c r="H82" s="209"/>
      <c r="I82" s="20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S28"/>
  <sheetViews>
    <sheetView workbookViewId="0">
      <selection activeCell="H21" sqref="H21"/>
    </sheetView>
  </sheetViews>
  <sheetFormatPr defaultRowHeight="15" x14ac:dyDescent="0.25"/>
  <cols>
    <col min="1" max="1" width="6.28515625" customWidth="1"/>
    <col min="5" max="5" width="7.5703125" customWidth="1"/>
    <col min="9" max="9" width="7" customWidth="1"/>
    <col min="10" max="10" width="16.7109375" customWidth="1"/>
    <col min="12" max="12" width="7.85546875" customWidth="1"/>
    <col min="13" max="13" width="11" customWidth="1"/>
  </cols>
  <sheetData>
    <row r="1" spans="1:19" x14ac:dyDescent="0.25">
      <c r="A1" s="1" t="s">
        <v>157</v>
      </c>
    </row>
    <row r="2" spans="1:19" x14ac:dyDescent="0.25">
      <c r="A2" s="1"/>
    </row>
    <row r="3" spans="1:19" x14ac:dyDescent="0.25">
      <c r="A3" s="1" t="s">
        <v>159</v>
      </c>
      <c r="F3" t="s">
        <v>160</v>
      </c>
      <c r="J3" t="s">
        <v>133</v>
      </c>
      <c r="R3" t="s">
        <v>479</v>
      </c>
    </row>
    <row r="5" spans="1:19" ht="15.75" thickBot="1" x14ac:dyDescent="0.3">
      <c r="B5" s="48" t="s">
        <v>122</v>
      </c>
      <c r="C5" s="48" t="s">
        <v>123</v>
      </c>
      <c r="D5" s="48" t="s">
        <v>124</v>
      </c>
      <c r="F5" s="60" t="s">
        <v>33</v>
      </c>
      <c r="G5" s="60" t="s">
        <v>34</v>
      </c>
      <c r="H5" s="60" t="s">
        <v>40</v>
      </c>
      <c r="J5" t="s">
        <v>52</v>
      </c>
      <c r="R5" t="s">
        <v>480</v>
      </c>
      <c r="S5" s="12" t="s">
        <v>56</v>
      </c>
    </row>
    <row r="6" spans="1:19" x14ac:dyDescent="0.25">
      <c r="B6" s="46">
        <v>13</v>
      </c>
      <c r="C6" s="46">
        <v>12</v>
      </c>
      <c r="D6" s="52">
        <v>7</v>
      </c>
      <c r="F6" s="74">
        <f>ABS(B6-B$16)</f>
        <v>2</v>
      </c>
      <c r="G6" s="74">
        <f>ABS(C6-C$16)</f>
        <v>0.90000000000000036</v>
      </c>
      <c r="H6" s="74">
        <f>ABS(D6-D$16)</f>
        <v>6.5</v>
      </c>
      <c r="J6" s="54" t="s">
        <v>61</v>
      </c>
      <c r="K6" s="54" t="s">
        <v>19</v>
      </c>
      <c r="L6" s="54" t="s">
        <v>18</v>
      </c>
      <c r="M6" s="54" t="s">
        <v>134</v>
      </c>
      <c r="N6" s="54" t="s">
        <v>62</v>
      </c>
      <c r="R6" t="s">
        <v>481</v>
      </c>
      <c r="S6" s="214" t="e">
        <f ca="1">LEVENE(B6:D15)</f>
        <v>#NAME?</v>
      </c>
    </row>
    <row r="7" spans="1:19" x14ac:dyDescent="0.25">
      <c r="B7" s="37">
        <v>17</v>
      </c>
      <c r="C7" s="37">
        <v>8</v>
      </c>
      <c r="D7" s="52">
        <v>19</v>
      </c>
      <c r="F7" s="37">
        <f t="shared" ref="F7:F15" si="0">ABS(B7-B$16)</f>
        <v>2</v>
      </c>
      <c r="G7" s="37">
        <f t="shared" ref="G7:G15" si="1">ABS(C7-C$16)</f>
        <v>3.0999999999999996</v>
      </c>
      <c r="H7" s="37">
        <f t="shared" ref="H7:H15" si="2">ABS(D7-D$16)</f>
        <v>5.5</v>
      </c>
      <c r="J7" s="17" t="s">
        <v>33</v>
      </c>
      <c r="K7" s="17">
        <v>10</v>
      </c>
      <c r="L7" s="17">
        <v>30</v>
      </c>
      <c r="M7" s="17">
        <v>3</v>
      </c>
      <c r="N7" s="17">
        <v>3.3333333333333335</v>
      </c>
      <c r="R7" t="s">
        <v>482</v>
      </c>
      <c r="S7" s="206" t="e">
        <f ca="1">LEVENE(B6:D15,1)</f>
        <v>#NAME?</v>
      </c>
    </row>
    <row r="8" spans="1:19" x14ac:dyDescent="0.25">
      <c r="B8" s="37">
        <v>19</v>
      </c>
      <c r="C8" s="37">
        <v>6</v>
      </c>
      <c r="D8" s="52">
        <v>15</v>
      </c>
      <c r="F8" s="37">
        <f t="shared" si="0"/>
        <v>4</v>
      </c>
      <c r="G8" s="37">
        <f t="shared" si="1"/>
        <v>5.0999999999999996</v>
      </c>
      <c r="H8" s="37">
        <f t="shared" si="2"/>
        <v>1.5</v>
      </c>
      <c r="J8" s="17" t="s">
        <v>34</v>
      </c>
      <c r="K8" s="17">
        <v>10</v>
      </c>
      <c r="L8" s="17">
        <v>33</v>
      </c>
      <c r="M8" s="17">
        <v>3.3</v>
      </c>
      <c r="N8" s="17">
        <v>6.6666666666666634</v>
      </c>
      <c r="R8" t="s">
        <v>483</v>
      </c>
      <c r="S8" s="207" t="e">
        <f ca="1">LEVENE(B6:D15,-1)</f>
        <v>#NAME?</v>
      </c>
    </row>
    <row r="9" spans="1:19" ht="15.75" thickBot="1" x14ac:dyDescent="0.3">
      <c r="B9" s="37">
        <v>11</v>
      </c>
      <c r="C9" s="37">
        <v>16</v>
      </c>
      <c r="D9" s="52">
        <v>14</v>
      </c>
      <c r="F9" s="37">
        <f t="shared" si="0"/>
        <v>4</v>
      </c>
      <c r="G9" s="37">
        <f t="shared" si="1"/>
        <v>4.9000000000000004</v>
      </c>
      <c r="H9" s="37">
        <f t="shared" si="2"/>
        <v>0.5</v>
      </c>
      <c r="J9" s="18" t="s">
        <v>40</v>
      </c>
      <c r="K9" s="18">
        <v>10</v>
      </c>
      <c r="L9" s="18">
        <v>30</v>
      </c>
      <c r="M9" s="18">
        <v>3</v>
      </c>
      <c r="N9" s="18">
        <v>4.0555555555555554</v>
      </c>
    </row>
    <row r="10" spans="1:19" x14ac:dyDescent="0.25">
      <c r="B10" s="37">
        <v>20</v>
      </c>
      <c r="C10" s="37">
        <v>12</v>
      </c>
      <c r="D10" s="52">
        <v>10</v>
      </c>
      <c r="F10" s="37">
        <f t="shared" si="0"/>
        <v>5</v>
      </c>
      <c r="G10" s="37">
        <f t="shared" si="1"/>
        <v>0.90000000000000036</v>
      </c>
      <c r="H10" s="37">
        <f t="shared" si="2"/>
        <v>3.5</v>
      </c>
    </row>
    <row r="11" spans="1:19" x14ac:dyDescent="0.25">
      <c r="B11" s="37">
        <v>15</v>
      </c>
      <c r="C11" s="37">
        <v>14</v>
      </c>
      <c r="D11" s="52">
        <v>16</v>
      </c>
      <c r="F11" s="37">
        <f t="shared" si="0"/>
        <v>0</v>
      </c>
      <c r="G11" s="37">
        <f t="shared" si="1"/>
        <v>2.9000000000000004</v>
      </c>
      <c r="H11" s="37">
        <f t="shared" si="2"/>
        <v>2.5</v>
      </c>
    </row>
    <row r="12" spans="1:19" ht="15.75" thickBot="1" x14ac:dyDescent="0.3">
      <c r="B12" s="37">
        <v>18</v>
      </c>
      <c r="C12" s="37">
        <v>10</v>
      </c>
      <c r="D12" s="52">
        <v>18</v>
      </c>
      <c r="F12" s="37">
        <f t="shared" si="0"/>
        <v>3</v>
      </c>
      <c r="G12" s="37">
        <f t="shared" si="1"/>
        <v>1.0999999999999996</v>
      </c>
      <c r="H12" s="37">
        <f t="shared" si="2"/>
        <v>4.5</v>
      </c>
      <c r="J12" t="s">
        <v>101</v>
      </c>
    </row>
    <row r="13" spans="1:19" x14ac:dyDescent="0.25">
      <c r="B13" s="37">
        <v>9</v>
      </c>
      <c r="C13" s="37">
        <v>18</v>
      </c>
      <c r="D13" s="52">
        <v>11</v>
      </c>
      <c r="F13" s="37">
        <f t="shared" si="0"/>
        <v>6</v>
      </c>
      <c r="G13" s="37">
        <f t="shared" si="1"/>
        <v>6.9</v>
      </c>
      <c r="H13" s="37">
        <f t="shared" si="2"/>
        <v>2.5</v>
      </c>
      <c r="J13" s="54" t="s">
        <v>135</v>
      </c>
      <c r="K13" s="54" t="s">
        <v>88</v>
      </c>
      <c r="L13" s="54" t="s">
        <v>51</v>
      </c>
      <c r="M13" s="54" t="s">
        <v>92</v>
      </c>
      <c r="N13" s="54" t="s">
        <v>82</v>
      </c>
      <c r="O13" s="54" t="s">
        <v>74</v>
      </c>
      <c r="P13" s="54" t="s">
        <v>136</v>
      </c>
    </row>
    <row r="14" spans="1:19" x14ac:dyDescent="0.25">
      <c r="B14" s="37">
        <v>12</v>
      </c>
      <c r="C14" s="37">
        <v>4</v>
      </c>
      <c r="D14" s="52">
        <v>14</v>
      </c>
      <c r="F14" s="37">
        <f t="shared" si="0"/>
        <v>3</v>
      </c>
      <c r="G14" s="37">
        <f t="shared" si="1"/>
        <v>7.1</v>
      </c>
      <c r="H14" s="37">
        <f t="shared" si="2"/>
        <v>0.5</v>
      </c>
      <c r="J14" s="17" t="s">
        <v>131</v>
      </c>
      <c r="K14" s="17">
        <v>0.5999999999999801</v>
      </c>
      <c r="L14" s="17">
        <v>2</v>
      </c>
      <c r="M14" s="17">
        <v>0.29999999999999005</v>
      </c>
      <c r="N14" s="17">
        <v>6.4031620553357566E-2</v>
      </c>
      <c r="O14" s="17">
        <v>0.93811733669330666</v>
      </c>
      <c r="P14" s="17">
        <v>3.3541308285291991</v>
      </c>
    </row>
    <row r="15" spans="1:19" x14ac:dyDescent="0.25">
      <c r="B15" s="53">
        <v>16</v>
      </c>
      <c r="C15" s="53">
        <v>11</v>
      </c>
      <c r="D15" s="53">
        <v>11</v>
      </c>
      <c r="F15" s="64">
        <f t="shared" si="0"/>
        <v>1</v>
      </c>
      <c r="G15" s="64">
        <f t="shared" si="1"/>
        <v>9.9999999999999645E-2</v>
      </c>
      <c r="H15" s="64">
        <f t="shared" si="2"/>
        <v>2.5</v>
      </c>
      <c r="J15" s="17" t="s">
        <v>132</v>
      </c>
      <c r="K15" s="17">
        <v>126.5</v>
      </c>
      <c r="L15" s="17">
        <v>27</v>
      </c>
      <c r="M15" s="17">
        <v>4.6851851851851851</v>
      </c>
      <c r="N15" s="17"/>
      <c r="O15" s="17"/>
      <c r="P15" s="17"/>
    </row>
    <row r="16" spans="1:19" ht="18" x14ac:dyDescent="0.35">
      <c r="A16" s="70" t="s">
        <v>139</v>
      </c>
      <c r="B16" s="52">
        <f>AVERAGE(B6:B15)</f>
        <v>15</v>
      </c>
      <c r="C16" s="52">
        <f>AVERAGE(C6:C15)</f>
        <v>11.1</v>
      </c>
      <c r="D16" s="52">
        <f>AVERAGE(D6:D15)</f>
        <v>13.5</v>
      </c>
      <c r="J16" s="17"/>
      <c r="K16" s="17"/>
      <c r="L16" s="17"/>
      <c r="M16" s="17"/>
      <c r="N16" s="17"/>
      <c r="O16" s="17"/>
      <c r="P16" s="17"/>
    </row>
    <row r="17" spans="1:16" ht="19.5" thickBot="1" x14ac:dyDescent="0.4">
      <c r="A17" s="70" t="s">
        <v>158</v>
      </c>
      <c r="B17" s="64">
        <f>VAR(B6:B15)</f>
        <v>13.333333333333334</v>
      </c>
      <c r="C17" s="64">
        <f>VAR(C6:C15)</f>
        <v>18.766666666666676</v>
      </c>
      <c r="D17" s="64">
        <f>VAR(D6:D15)</f>
        <v>14.055555555555555</v>
      </c>
      <c r="J17" s="18" t="s">
        <v>1</v>
      </c>
      <c r="K17" s="18">
        <v>127.09999999999998</v>
      </c>
      <c r="L17" s="18">
        <v>29</v>
      </c>
      <c r="M17" s="18"/>
      <c r="N17" s="18"/>
      <c r="O17" s="18"/>
      <c r="P17" s="18"/>
    </row>
    <row r="23" spans="1:16" x14ac:dyDescent="0.25">
      <c r="E23" s="37"/>
      <c r="F23" s="37"/>
      <c r="G23" s="37"/>
      <c r="H23" s="37"/>
      <c r="I23" s="37"/>
      <c r="J23" s="37"/>
      <c r="K23" s="37"/>
      <c r="L23" s="37"/>
    </row>
    <row r="28" spans="1:16" x14ac:dyDescent="0.25">
      <c r="E28" s="37"/>
      <c r="F28" s="37"/>
      <c r="G28" s="37"/>
      <c r="H28" s="37"/>
      <c r="I28" s="37"/>
      <c r="J28" s="37"/>
      <c r="K28" s="37"/>
      <c r="L28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K33"/>
  <sheetViews>
    <sheetView workbookViewId="0"/>
  </sheetViews>
  <sheetFormatPr defaultRowHeight="15" x14ac:dyDescent="0.25"/>
  <cols>
    <col min="1" max="1" width="6.7109375" customWidth="1"/>
    <col min="7" max="7" width="3.7109375" customWidth="1"/>
    <col min="10" max="10" width="2.28515625" customWidth="1"/>
    <col min="11" max="11" width="37.42578125" customWidth="1"/>
  </cols>
  <sheetData>
    <row r="1" spans="1:11" x14ac:dyDescent="0.25">
      <c r="A1" s="1" t="s">
        <v>161</v>
      </c>
    </row>
    <row r="3" spans="1:11" x14ac:dyDescent="0.25">
      <c r="B3" s="60" t="s">
        <v>33</v>
      </c>
      <c r="C3" s="60" t="s">
        <v>34</v>
      </c>
      <c r="D3" s="60" t="s">
        <v>40</v>
      </c>
      <c r="E3" s="60" t="s">
        <v>41</v>
      </c>
      <c r="H3" s="49" t="s">
        <v>51</v>
      </c>
      <c r="I3" s="75">
        <f>COUNT(B4:E4)-1</f>
        <v>3</v>
      </c>
      <c r="K3" t="e">
        <f ca="1">FTEXT(I3)</f>
        <v>#NAME?</v>
      </c>
    </row>
    <row r="4" spans="1:11" x14ac:dyDescent="0.25">
      <c r="B4" s="60">
        <v>51</v>
      </c>
      <c r="C4" s="60">
        <v>82</v>
      </c>
      <c r="D4" s="60">
        <v>79</v>
      </c>
      <c r="E4" s="60">
        <v>85</v>
      </c>
      <c r="H4" t="s">
        <v>165</v>
      </c>
      <c r="I4" s="21">
        <f>F13*F16-SUMPRODUCT(B13:E13,B16:E16)</f>
        <v>0.19960131136477344</v>
      </c>
      <c r="K4" t="e">
        <f ca="1">FTEXT(I4)</f>
        <v>#NAME?</v>
      </c>
    </row>
    <row r="5" spans="1:11" x14ac:dyDescent="0.25">
      <c r="B5" s="37">
        <v>87</v>
      </c>
      <c r="C5" s="37">
        <v>91</v>
      </c>
      <c r="D5" s="37">
        <v>84</v>
      </c>
      <c r="E5" s="37">
        <v>80</v>
      </c>
      <c r="H5" t="s">
        <v>166</v>
      </c>
      <c r="I5" s="21">
        <f>1+1/(3*I3)*(SUM(B14:E14)-F14)</f>
        <v>1.0595238095238095</v>
      </c>
      <c r="K5" t="e">
        <f ca="1">FTEXT(I5)</f>
        <v>#NAME?</v>
      </c>
    </row>
    <row r="6" spans="1:11" x14ac:dyDescent="0.25">
      <c r="B6" s="37">
        <v>50</v>
      </c>
      <c r="C6" s="37">
        <v>92</v>
      </c>
      <c r="D6" s="37">
        <v>74</v>
      </c>
      <c r="E6" s="37">
        <v>65</v>
      </c>
      <c r="H6" t="s">
        <v>78</v>
      </c>
      <c r="I6" s="58">
        <f>I4/I5</f>
        <v>0.18838775454652773</v>
      </c>
      <c r="K6" t="e">
        <f ca="1">FTEXT(I6)</f>
        <v>#NAME?</v>
      </c>
    </row>
    <row r="7" spans="1:11" x14ac:dyDescent="0.25">
      <c r="B7" s="37">
        <v>48</v>
      </c>
      <c r="C7" s="37">
        <v>80</v>
      </c>
      <c r="D7" s="37">
        <v>98</v>
      </c>
      <c r="E7" s="37">
        <v>71</v>
      </c>
    </row>
    <row r="8" spans="1:11" x14ac:dyDescent="0.25">
      <c r="B8" s="37">
        <v>79</v>
      </c>
      <c r="C8" s="37">
        <v>52</v>
      </c>
      <c r="D8" s="37">
        <v>63</v>
      </c>
      <c r="E8" s="37">
        <v>67</v>
      </c>
      <c r="H8" s="27" t="s">
        <v>42</v>
      </c>
      <c r="I8" s="75">
        <v>0.05</v>
      </c>
    </row>
    <row r="9" spans="1:11" x14ac:dyDescent="0.25">
      <c r="B9" s="37">
        <v>61</v>
      </c>
      <c r="C9" s="37">
        <v>79</v>
      </c>
      <c r="D9" s="37">
        <v>83</v>
      </c>
      <c r="E9" s="37">
        <v>51</v>
      </c>
      <c r="H9" t="s">
        <v>56</v>
      </c>
      <c r="I9" s="21">
        <f>CHIDIST(I6,I3)</f>
        <v>0.97944177773798269</v>
      </c>
      <c r="K9" s="14" t="s">
        <v>718</v>
      </c>
    </row>
    <row r="10" spans="1:11" x14ac:dyDescent="0.25">
      <c r="B10" s="37">
        <v>53</v>
      </c>
      <c r="C10" s="37">
        <v>73</v>
      </c>
      <c r="D10" s="37">
        <v>85</v>
      </c>
      <c r="E10" s="37">
        <v>63</v>
      </c>
      <c r="H10" t="s">
        <v>167</v>
      </c>
      <c r="I10" s="21">
        <f>CHIINV(I8,I3)</f>
        <v>7.8147279032511792</v>
      </c>
      <c r="K10" s="14" t="s">
        <v>719</v>
      </c>
    </row>
    <row r="11" spans="1:11" x14ac:dyDescent="0.25">
      <c r="B11" s="64">
        <v>54</v>
      </c>
      <c r="C11" s="64">
        <v>74</v>
      </c>
      <c r="D11" s="64">
        <v>58</v>
      </c>
      <c r="E11" s="64">
        <v>93</v>
      </c>
      <c r="F11" s="64" t="s">
        <v>164</v>
      </c>
      <c r="G11" s="37"/>
      <c r="H11" t="s">
        <v>188</v>
      </c>
      <c r="I11" s="57" t="str">
        <f>IF(I9&lt;I8,"yes","no")</f>
        <v>no</v>
      </c>
      <c r="K11" t="e">
        <f ca="1">FTEXT(I11)</f>
        <v>#NAME?</v>
      </c>
    </row>
    <row r="12" spans="1:11" x14ac:dyDescent="0.25">
      <c r="A12" t="s">
        <v>4</v>
      </c>
      <c r="B12" s="37">
        <f>AVERAGE(B4:B11)</f>
        <v>60.375</v>
      </c>
      <c r="C12" s="37">
        <f>AVERAGE(C4:C11)</f>
        <v>77.875</v>
      </c>
      <c r="D12" s="37">
        <f>AVERAGE(D4:D11)</f>
        <v>78</v>
      </c>
      <c r="E12" s="37">
        <f>AVERAGE(E4:E11)</f>
        <v>71.875</v>
      </c>
      <c r="F12" s="37"/>
      <c r="G12" s="37"/>
    </row>
    <row r="13" spans="1:11" x14ac:dyDescent="0.25">
      <c r="A13" t="s">
        <v>51</v>
      </c>
      <c r="B13" s="37">
        <f>COUNT(B4:B11)-1</f>
        <v>7</v>
      </c>
      <c r="C13" s="37">
        <f>COUNT(C4:C11)-1</f>
        <v>7</v>
      </c>
      <c r="D13" s="37">
        <f>COUNT(D4:D11)-1</f>
        <v>7</v>
      </c>
      <c r="E13" s="37">
        <f>COUNT(E4:E11)-1</f>
        <v>7</v>
      </c>
      <c r="F13" s="45">
        <f>SUM(B13:E13)</f>
        <v>28</v>
      </c>
      <c r="G13" s="45"/>
    </row>
    <row r="14" spans="1:11" x14ac:dyDescent="0.25">
      <c r="A14" t="s">
        <v>162</v>
      </c>
      <c r="B14" s="37">
        <f>1/B13</f>
        <v>0.14285714285714285</v>
      </c>
      <c r="C14" s="37">
        <f>1/C13</f>
        <v>0.14285714285714285</v>
      </c>
      <c r="D14" s="37">
        <f>1/D13</f>
        <v>0.14285714285714285</v>
      </c>
      <c r="E14" s="37">
        <f>1/E13</f>
        <v>0.14285714285714285</v>
      </c>
      <c r="F14" s="37">
        <f>1/F13</f>
        <v>3.5714285714285712E-2</v>
      </c>
      <c r="G14" s="37"/>
    </row>
    <row r="15" spans="1:11" x14ac:dyDescent="0.25">
      <c r="A15" t="s">
        <v>5</v>
      </c>
      <c r="B15" s="37">
        <f>VAR(B4:B11)</f>
        <v>214.26785714285714</v>
      </c>
      <c r="C15" s="37">
        <f>VAR(C4:C11)</f>
        <v>157.55357142857142</v>
      </c>
      <c r="D15" s="37">
        <f>VAR(D4:D11)</f>
        <v>164.57142857142858</v>
      </c>
      <c r="E15" s="37">
        <f>VAR(E4:E11)</f>
        <v>181.55357142857142</v>
      </c>
      <c r="F15" s="45">
        <f>SUMPRODUCT(B13:E13,B15:E15)/F13</f>
        <v>179.48660714285714</v>
      </c>
      <c r="G15" s="45"/>
    </row>
    <row r="16" spans="1:11" x14ac:dyDescent="0.25">
      <c r="A16" t="s">
        <v>163</v>
      </c>
      <c r="B16" s="64">
        <f>LN(B15)</f>
        <v>5.3672269012292393</v>
      </c>
      <c r="C16" s="64">
        <f>LN(C15)</f>
        <v>5.0597655364869558</v>
      </c>
      <c r="D16" s="64">
        <f>LN(D15)</f>
        <v>5.1033446922005234</v>
      </c>
      <c r="E16" s="64">
        <f>LN(E15)</f>
        <v>5.2015507695400114</v>
      </c>
      <c r="F16" s="64">
        <f>LN(F15)</f>
        <v>5.1901005931272097</v>
      </c>
      <c r="G16" s="37"/>
    </row>
    <row r="18" spans="1:9" x14ac:dyDescent="0.25">
      <c r="A18" t="s">
        <v>168</v>
      </c>
    </row>
    <row r="20" spans="1:9" x14ac:dyDescent="0.25">
      <c r="B20" s="60" t="s">
        <v>33</v>
      </c>
      <c r="C20" s="60" t="s">
        <v>34</v>
      </c>
      <c r="D20" s="60" t="s">
        <v>40</v>
      </c>
      <c r="E20" s="60" t="s">
        <v>41</v>
      </c>
      <c r="H20" s="49" t="s">
        <v>51</v>
      </c>
      <c r="I20" s="75">
        <f>COUNT(B21:E21)-1</f>
        <v>3</v>
      </c>
    </row>
    <row r="21" spans="1:9" x14ac:dyDescent="0.25">
      <c r="B21" s="60">
        <v>51</v>
      </c>
      <c r="C21" s="60">
        <v>82</v>
      </c>
      <c r="D21" s="60">
        <v>79</v>
      </c>
      <c r="E21" s="60">
        <v>185</v>
      </c>
      <c r="H21" t="s">
        <v>165</v>
      </c>
      <c r="I21" s="21">
        <f>F30*F33-SUMPRODUCT(B30:E30,B33:E33)</f>
        <v>17.233772610498249</v>
      </c>
    </row>
    <row r="22" spans="1:9" x14ac:dyDescent="0.25">
      <c r="B22" s="37">
        <v>87</v>
      </c>
      <c r="C22" s="37">
        <v>91</v>
      </c>
      <c r="D22" s="37">
        <v>84</v>
      </c>
      <c r="E22" s="37">
        <v>80</v>
      </c>
      <c r="H22" t="s">
        <v>166</v>
      </c>
      <c r="I22" s="21">
        <f>1+1/(3*I20)*(SUM(B31:E31)-F31)</f>
        <v>1.0595238095238095</v>
      </c>
    </row>
    <row r="23" spans="1:9" x14ac:dyDescent="0.25">
      <c r="B23" s="37">
        <v>50</v>
      </c>
      <c r="C23" s="37">
        <v>92</v>
      </c>
      <c r="D23" s="37">
        <v>74</v>
      </c>
      <c r="E23" s="37">
        <v>65</v>
      </c>
      <c r="H23" t="s">
        <v>78</v>
      </c>
      <c r="I23" s="58">
        <f>I21/I22</f>
        <v>16.265583137998348</v>
      </c>
    </row>
    <row r="24" spans="1:9" x14ac:dyDescent="0.25">
      <c r="B24" s="37">
        <v>48</v>
      </c>
      <c r="C24" s="37">
        <v>80</v>
      </c>
      <c r="D24" s="37">
        <v>98</v>
      </c>
      <c r="E24" s="37">
        <v>71</v>
      </c>
    </row>
    <row r="25" spans="1:9" x14ac:dyDescent="0.25">
      <c r="B25" s="37">
        <v>79</v>
      </c>
      <c r="C25" s="37">
        <v>52</v>
      </c>
      <c r="D25" s="37">
        <v>63</v>
      </c>
      <c r="E25" s="37">
        <v>67</v>
      </c>
      <c r="H25" s="27" t="s">
        <v>42</v>
      </c>
      <c r="I25" s="75">
        <v>0.05</v>
      </c>
    </row>
    <row r="26" spans="1:9" x14ac:dyDescent="0.25">
      <c r="B26" s="37">
        <v>61</v>
      </c>
      <c r="C26" s="37">
        <v>79</v>
      </c>
      <c r="D26" s="37">
        <v>83</v>
      </c>
      <c r="E26" s="37">
        <v>51</v>
      </c>
      <c r="H26" t="s">
        <v>56</v>
      </c>
      <c r="I26" s="21">
        <f>CHIDIST(I23,I20)</f>
        <v>1.0003086055649175E-3</v>
      </c>
    </row>
    <row r="27" spans="1:9" x14ac:dyDescent="0.25">
      <c r="B27" s="37">
        <v>53</v>
      </c>
      <c r="C27" s="37">
        <v>73</v>
      </c>
      <c r="D27" s="37">
        <v>85</v>
      </c>
      <c r="E27" s="37">
        <v>63</v>
      </c>
      <c r="H27" t="s">
        <v>167</v>
      </c>
      <c r="I27" s="21">
        <f>CHIINV(I25,I20)</f>
        <v>7.8147279032511792</v>
      </c>
    </row>
    <row r="28" spans="1:9" x14ac:dyDescent="0.25">
      <c r="B28" s="64">
        <v>54</v>
      </c>
      <c r="C28" s="64">
        <v>74</v>
      </c>
      <c r="D28" s="64">
        <v>58</v>
      </c>
      <c r="E28" s="64">
        <v>93</v>
      </c>
      <c r="F28" s="64" t="s">
        <v>164</v>
      </c>
      <c r="G28" s="37"/>
      <c r="H28" t="s">
        <v>188</v>
      </c>
      <c r="I28" s="57" t="str">
        <f>IF(I26&lt;I25,"yes","no")</f>
        <v>yes</v>
      </c>
    </row>
    <row r="29" spans="1:9" x14ac:dyDescent="0.25">
      <c r="A29" t="s">
        <v>4</v>
      </c>
      <c r="B29" s="37">
        <f>AVERAGE(B21:B28)</f>
        <v>60.375</v>
      </c>
      <c r="C29" s="37">
        <f>AVERAGE(C21:C28)</f>
        <v>77.875</v>
      </c>
      <c r="D29" s="37">
        <f>AVERAGE(D21:D28)</f>
        <v>78</v>
      </c>
      <c r="E29" s="37">
        <f>AVERAGE(E21:E28)</f>
        <v>84.375</v>
      </c>
      <c r="F29" s="37"/>
      <c r="G29" s="37"/>
    </row>
    <row r="30" spans="1:9" x14ac:dyDescent="0.25">
      <c r="A30" t="s">
        <v>51</v>
      </c>
      <c r="B30" s="37">
        <f>COUNT(B21:B28)-1</f>
        <v>7</v>
      </c>
      <c r="C30" s="37">
        <f>COUNT(C21:C28)-1</f>
        <v>7</v>
      </c>
      <c r="D30" s="37">
        <f>COUNT(D21:D28)-1</f>
        <v>7</v>
      </c>
      <c r="E30" s="37">
        <f>COUNT(E21:E28)-1</f>
        <v>7</v>
      </c>
      <c r="F30" s="45">
        <f>SUM(B30:E30)</f>
        <v>28</v>
      </c>
      <c r="G30" s="45"/>
    </row>
    <row r="31" spans="1:9" x14ac:dyDescent="0.25">
      <c r="A31" t="s">
        <v>162</v>
      </c>
      <c r="B31" s="37">
        <f>1/B30</f>
        <v>0.14285714285714285</v>
      </c>
      <c r="C31" s="37">
        <f>1/C30</f>
        <v>0.14285714285714285</v>
      </c>
      <c r="D31" s="37">
        <f>1/D30</f>
        <v>0.14285714285714285</v>
      </c>
      <c r="E31" s="37">
        <f>1/E30</f>
        <v>0.14285714285714285</v>
      </c>
      <c r="F31" s="37">
        <f>1/F30</f>
        <v>3.5714285714285712E-2</v>
      </c>
      <c r="G31" s="37"/>
    </row>
    <row r="32" spans="1:9" x14ac:dyDescent="0.25">
      <c r="A32" t="s">
        <v>5</v>
      </c>
      <c r="B32" s="37">
        <f>VAR(B21:B28)</f>
        <v>214.26785714285714</v>
      </c>
      <c r="C32" s="37">
        <f>VAR(C21:C28)</f>
        <v>157.55357142857142</v>
      </c>
      <c r="D32" s="37">
        <f>VAR(D21:D28)</f>
        <v>164.57142857142858</v>
      </c>
      <c r="E32" s="37">
        <f>VAR(E21:E28)</f>
        <v>1806.5535714285713</v>
      </c>
      <c r="F32" s="45">
        <f>SUMPRODUCT(B30:E30,B32:E32)/F30</f>
        <v>585.73660714285711</v>
      </c>
      <c r="G32" s="45"/>
    </row>
    <row r="33" spans="1:7" x14ac:dyDescent="0.25">
      <c r="A33" t="s">
        <v>163</v>
      </c>
      <c r="B33" s="64">
        <f>LN(B32)</f>
        <v>5.3672269012292393</v>
      </c>
      <c r="C33" s="64">
        <f>LN(C32)</f>
        <v>5.0597655364869558</v>
      </c>
      <c r="D33" s="64">
        <f>LN(D32)</f>
        <v>5.1033446922005234</v>
      </c>
      <c r="E33" s="64">
        <f>LN(E32)</f>
        <v>7.4991762049659192</v>
      </c>
      <c r="F33" s="64">
        <f>LN(F32)</f>
        <v>6.3728702126670251</v>
      </c>
      <c r="G33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2"/>
  <dimension ref="A1:U19"/>
  <sheetViews>
    <sheetView workbookViewId="0">
      <selection activeCell="M20" sqref="M20"/>
    </sheetView>
  </sheetViews>
  <sheetFormatPr defaultRowHeight="15" x14ac:dyDescent="0.25"/>
  <cols>
    <col min="1" max="1" width="5.42578125" customWidth="1"/>
    <col min="6" max="6" width="3.7109375" customWidth="1"/>
    <col min="11" max="11" width="3.7109375" customWidth="1"/>
  </cols>
  <sheetData>
    <row r="1" spans="1:21" x14ac:dyDescent="0.25">
      <c r="A1" s="1" t="s">
        <v>610</v>
      </c>
      <c r="G1" t="s">
        <v>230</v>
      </c>
      <c r="L1" t="s">
        <v>392</v>
      </c>
      <c r="Q1" t="s">
        <v>611</v>
      </c>
    </row>
    <row r="3" spans="1:21" x14ac:dyDescent="0.25">
      <c r="B3" s="255" t="s">
        <v>33</v>
      </c>
      <c r="C3" s="255" t="s">
        <v>34</v>
      </c>
      <c r="D3" s="255" t="s">
        <v>40</v>
      </c>
      <c r="E3" s="255" t="s">
        <v>41</v>
      </c>
      <c r="G3" s="302" t="s">
        <v>33</v>
      </c>
      <c r="H3" s="302" t="s">
        <v>34</v>
      </c>
      <c r="I3" s="302" t="s">
        <v>40</v>
      </c>
      <c r="J3" s="302" t="s">
        <v>41</v>
      </c>
      <c r="L3" s="302" t="s">
        <v>33</v>
      </c>
      <c r="M3" s="302" t="s">
        <v>34</v>
      </c>
      <c r="N3" s="302" t="s">
        <v>40</v>
      </c>
      <c r="O3" s="302" t="s">
        <v>41</v>
      </c>
      <c r="Q3" s="302" t="s">
        <v>33</v>
      </c>
      <c r="R3" s="302" t="s">
        <v>34</v>
      </c>
      <c r="S3" s="302" t="s">
        <v>40</v>
      </c>
      <c r="T3" s="302" t="s">
        <v>41</v>
      </c>
      <c r="U3" s="302" t="s">
        <v>1</v>
      </c>
    </row>
    <row r="4" spans="1:21" x14ac:dyDescent="0.25">
      <c r="B4" s="255">
        <v>51</v>
      </c>
      <c r="C4" s="255">
        <v>82</v>
      </c>
      <c r="D4" s="255">
        <v>79</v>
      </c>
      <c r="E4" s="255">
        <v>85</v>
      </c>
      <c r="G4" s="300">
        <f>ABS(B4-B$12)</f>
        <v>2.5</v>
      </c>
      <c r="H4" s="300">
        <f t="shared" ref="H4:J11" si="0">ABS(C4-C$12)</f>
        <v>2.5</v>
      </c>
      <c r="I4" s="300">
        <f t="shared" si="0"/>
        <v>2</v>
      </c>
      <c r="J4" s="300">
        <f t="shared" si="0"/>
        <v>16</v>
      </c>
      <c r="L4" s="300" t="e">
        <f t="shared" ref="L4:O11" ca="1" si="1">RANK_AVG(G4,$G$4:$J$11,1)</f>
        <v>#NAME?</v>
      </c>
      <c r="M4" s="300" t="e">
        <f t="shared" ca="1" si="1"/>
        <v>#NAME?</v>
      </c>
      <c r="N4" s="300" t="e">
        <f t="shared" ca="1" si="1"/>
        <v>#NAME?</v>
      </c>
      <c r="O4" s="300" t="e">
        <f t="shared" ca="1" si="1"/>
        <v>#NAME?</v>
      </c>
      <c r="Q4" s="300" t="e">
        <f ca="1">NORMSINV((L4/$H$13+1)/2)</f>
        <v>#NAME?</v>
      </c>
      <c r="R4" s="300" t="e">
        <f t="shared" ref="R4:T11" ca="1" si="2">NORMSINV((M4/$H$13+1)/2)</f>
        <v>#NAME?</v>
      </c>
      <c r="S4" s="300" t="e">
        <f t="shared" ca="1" si="2"/>
        <v>#NAME?</v>
      </c>
      <c r="T4" s="300" t="e">
        <f t="shared" ca="1" si="2"/>
        <v>#NAME?</v>
      </c>
    </row>
    <row r="5" spans="1:21" x14ac:dyDescent="0.25">
      <c r="B5" s="300">
        <v>87</v>
      </c>
      <c r="C5" s="300">
        <v>91</v>
      </c>
      <c r="D5" s="300">
        <v>84</v>
      </c>
      <c r="E5" s="300">
        <v>80</v>
      </c>
      <c r="G5" s="300">
        <f t="shared" ref="G5:G11" si="3">ABS(B5-B$12)</f>
        <v>33.5</v>
      </c>
      <c r="H5" s="300">
        <f t="shared" si="0"/>
        <v>11.5</v>
      </c>
      <c r="I5" s="300">
        <f t="shared" si="0"/>
        <v>3</v>
      </c>
      <c r="J5" s="300">
        <f t="shared" si="0"/>
        <v>11</v>
      </c>
      <c r="L5" s="300" t="e">
        <f t="shared" ca="1" si="1"/>
        <v>#NAME?</v>
      </c>
      <c r="M5" s="300" t="e">
        <f t="shared" ca="1" si="1"/>
        <v>#NAME?</v>
      </c>
      <c r="N5" s="300" t="e">
        <f t="shared" ca="1" si="1"/>
        <v>#NAME?</v>
      </c>
      <c r="O5" s="300" t="e">
        <f t="shared" ca="1" si="1"/>
        <v>#NAME?</v>
      </c>
      <c r="Q5" s="300" t="e">
        <f t="shared" ref="Q5:Q11" ca="1" si="4">NORMSINV((L5/$H$13+1)/2)</f>
        <v>#NAME?</v>
      </c>
      <c r="R5" s="300" t="e">
        <f t="shared" ca="1" si="2"/>
        <v>#NAME?</v>
      </c>
      <c r="S5" s="300" t="e">
        <f t="shared" ca="1" si="2"/>
        <v>#NAME?</v>
      </c>
      <c r="T5" s="300" t="e">
        <f t="shared" ca="1" si="2"/>
        <v>#NAME?</v>
      </c>
    </row>
    <row r="6" spans="1:21" x14ac:dyDescent="0.25">
      <c r="B6" s="300">
        <v>50</v>
      </c>
      <c r="C6" s="300">
        <v>92</v>
      </c>
      <c r="D6" s="300">
        <v>74</v>
      </c>
      <c r="E6" s="300">
        <v>65</v>
      </c>
      <c r="G6" s="300">
        <f t="shared" si="3"/>
        <v>3.5</v>
      </c>
      <c r="H6" s="300">
        <f t="shared" si="0"/>
        <v>12.5</v>
      </c>
      <c r="I6" s="300">
        <f t="shared" si="0"/>
        <v>7</v>
      </c>
      <c r="J6" s="300">
        <f t="shared" si="0"/>
        <v>4</v>
      </c>
      <c r="L6" s="300" t="e">
        <f t="shared" ca="1" si="1"/>
        <v>#NAME?</v>
      </c>
      <c r="M6" s="300" t="e">
        <f t="shared" ca="1" si="1"/>
        <v>#NAME?</v>
      </c>
      <c r="N6" s="300" t="e">
        <f t="shared" ca="1" si="1"/>
        <v>#NAME?</v>
      </c>
      <c r="O6" s="300" t="e">
        <f t="shared" ca="1" si="1"/>
        <v>#NAME?</v>
      </c>
      <c r="Q6" s="300" t="e">
        <f t="shared" ca="1" si="4"/>
        <v>#NAME?</v>
      </c>
      <c r="R6" s="300" t="e">
        <f t="shared" ca="1" si="2"/>
        <v>#NAME?</v>
      </c>
      <c r="S6" s="300" t="e">
        <f t="shared" ca="1" si="2"/>
        <v>#NAME?</v>
      </c>
      <c r="T6" s="300" t="e">
        <f t="shared" ca="1" si="2"/>
        <v>#NAME?</v>
      </c>
    </row>
    <row r="7" spans="1:21" x14ac:dyDescent="0.25">
      <c r="B7" s="300">
        <v>48</v>
      </c>
      <c r="C7" s="300">
        <v>80</v>
      </c>
      <c r="D7" s="300">
        <v>98</v>
      </c>
      <c r="E7" s="300">
        <v>71</v>
      </c>
      <c r="G7" s="300">
        <f t="shared" si="3"/>
        <v>5.5</v>
      </c>
      <c r="H7" s="300">
        <f t="shared" si="0"/>
        <v>0.5</v>
      </c>
      <c r="I7" s="300">
        <f t="shared" si="0"/>
        <v>17</v>
      </c>
      <c r="J7" s="300">
        <f t="shared" si="0"/>
        <v>2</v>
      </c>
      <c r="L7" s="300" t="e">
        <f t="shared" ca="1" si="1"/>
        <v>#NAME?</v>
      </c>
      <c r="M7" s="300" t="e">
        <f t="shared" ca="1" si="1"/>
        <v>#NAME?</v>
      </c>
      <c r="N7" s="300" t="e">
        <f t="shared" ca="1" si="1"/>
        <v>#NAME?</v>
      </c>
      <c r="O7" s="300" t="e">
        <f t="shared" ca="1" si="1"/>
        <v>#NAME?</v>
      </c>
      <c r="Q7" s="300" t="e">
        <f t="shared" ca="1" si="4"/>
        <v>#NAME?</v>
      </c>
      <c r="R7" s="300" t="e">
        <f t="shared" ca="1" si="2"/>
        <v>#NAME?</v>
      </c>
      <c r="S7" s="300" t="e">
        <f t="shared" ca="1" si="2"/>
        <v>#NAME?</v>
      </c>
      <c r="T7" s="300" t="e">
        <f t="shared" ca="1" si="2"/>
        <v>#NAME?</v>
      </c>
    </row>
    <row r="8" spans="1:21" x14ac:dyDescent="0.25">
      <c r="B8" s="300">
        <v>79</v>
      </c>
      <c r="C8" s="300">
        <v>52</v>
      </c>
      <c r="D8" s="300">
        <v>63</v>
      </c>
      <c r="E8" s="300">
        <v>67</v>
      </c>
      <c r="G8" s="300">
        <f t="shared" si="3"/>
        <v>25.5</v>
      </c>
      <c r="H8" s="300">
        <f t="shared" si="0"/>
        <v>27.5</v>
      </c>
      <c r="I8" s="300">
        <f t="shared" si="0"/>
        <v>18</v>
      </c>
      <c r="J8" s="300">
        <f t="shared" si="0"/>
        <v>2</v>
      </c>
      <c r="L8" s="300" t="e">
        <f t="shared" ca="1" si="1"/>
        <v>#NAME?</v>
      </c>
      <c r="M8" s="300" t="e">
        <f t="shared" ca="1" si="1"/>
        <v>#NAME?</v>
      </c>
      <c r="N8" s="300" t="e">
        <f t="shared" ca="1" si="1"/>
        <v>#NAME?</v>
      </c>
      <c r="O8" s="300" t="e">
        <f t="shared" ca="1" si="1"/>
        <v>#NAME?</v>
      </c>
      <c r="Q8" s="300" t="e">
        <f t="shared" ca="1" si="4"/>
        <v>#NAME?</v>
      </c>
      <c r="R8" s="300" t="e">
        <f t="shared" ca="1" si="2"/>
        <v>#NAME?</v>
      </c>
      <c r="S8" s="300" t="e">
        <f t="shared" ca="1" si="2"/>
        <v>#NAME?</v>
      </c>
      <c r="T8" s="300" t="e">
        <f t="shared" ca="1" si="2"/>
        <v>#NAME?</v>
      </c>
    </row>
    <row r="9" spans="1:21" x14ac:dyDescent="0.25">
      <c r="B9" s="300">
        <v>61</v>
      </c>
      <c r="C9" s="300">
        <v>79</v>
      </c>
      <c r="D9" s="300">
        <v>83</v>
      </c>
      <c r="E9" s="300">
        <v>51</v>
      </c>
      <c r="G9" s="300">
        <f t="shared" si="3"/>
        <v>7.5</v>
      </c>
      <c r="H9" s="300">
        <f t="shared" si="0"/>
        <v>0.5</v>
      </c>
      <c r="I9" s="300">
        <f t="shared" si="0"/>
        <v>2</v>
      </c>
      <c r="J9" s="300">
        <f t="shared" si="0"/>
        <v>18</v>
      </c>
      <c r="L9" s="300" t="e">
        <f t="shared" ca="1" si="1"/>
        <v>#NAME?</v>
      </c>
      <c r="M9" s="300" t="e">
        <f t="shared" ca="1" si="1"/>
        <v>#NAME?</v>
      </c>
      <c r="N9" s="300" t="e">
        <f t="shared" ca="1" si="1"/>
        <v>#NAME?</v>
      </c>
      <c r="O9" s="300" t="e">
        <f t="shared" ca="1" si="1"/>
        <v>#NAME?</v>
      </c>
      <c r="Q9" s="300" t="e">
        <f t="shared" ca="1" si="4"/>
        <v>#NAME?</v>
      </c>
      <c r="R9" s="300" t="e">
        <f t="shared" ca="1" si="2"/>
        <v>#NAME?</v>
      </c>
      <c r="S9" s="300" t="e">
        <f t="shared" ca="1" si="2"/>
        <v>#NAME?</v>
      </c>
      <c r="T9" s="300" t="e">
        <f t="shared" ca="1" si="2"/>
        <v>#NAME?</v>
      </c>
    </row>
    <row r="10" spans="1:21" x14ac:dyDescent="0.25">
      <c r="B10" s="300">
        <v>53</v>
      </c>
      <c r="C10" s="300">
        <v>73</v>
      </c>
      <c r="D10" s="300">
        <v>85</v>
      </c>
      <c r="E10" s="300">
        <v>63</v>
      </c>
      <c r="G10" s="300">
        <f t="shared" si="3"/>
        <v>0.5</v>
      </c>
      <c r="H10" s="300">
        <f t="shared" si="0"/>
        <v>6.5</v>
      </c>
      <c r="I10" s="300">
        <f t="shared" si="0"/>
        <v>4</v>
      </c>
      <c r="J10" s="300">
        <f t="shared" si="0"/>
        <v>6</v>
      </c>
      <c r="L10" s="300" t="e">
        <f t="shared" ca="1" si="1"/>
        <v>#NAME?</v>
      </c>
      <c r="M10" s="300" t="e">
        <f t="shared" ca="1" si="1"/>
        <v>#NAME?</v>
      </c>
      <c r="N10" s="300" t="e">
        <f t="shared" ca="1" si="1"/>
        <v>#NAME?</v>
      </c>
      <c r="O10" s="300" t="e">
        <f t="shared" ca="1" si="1"/>
        <v>#NAME?</v>
      </c>
      <c r="Q10" s="300" t="e">
        <f t="shared" ca="1" si="4"/>
        <v>#NAME?</v>
      </c>
      <c r="R10" s="300" t="e">
        <f t="shared" ca="1" si="2"/>
        <v>#NAME?</v>
      </c>
      <c r="S10" s="300" t="e">
        <f t="shared" ca="1" si="2"/>
        <v>#NAME?</v>
      </c>
      <c r="T10" s="300" t="e">
        <f t="shared" ca="1" si="2"/>
        <v>#NAME?</v>
      </c>
    </row>
    <row r="11" spans="1:21" x14ac:dyDescent="0.25">
      <c r="B11" s="301">
        <v>54</v>
      </c>
      <c r="C11" s="301">
        <v>74</v>
      </c>
      <c r="D11" s="301">
        <v>58</v>
      </c>
      <c r="E11" s="301">
        <v>93</v>
      </c>
      <c r="G11" s="301">
        <f t="shared" si="3"/>
        <v>0.5</v>
      </c>
      <c r="H11" s="301">
        <f t="shared" si="0"/>
        <v>5.5</v>
      </c>
      <c r="I11" s="301">
        <f t="shared" si="0"/>
        <v>23</v>
      </c>
      <c r="J11" s="301">
        <f t="shared" si="0"/>
        <v>24</v>
      </c>
      <c r="L11" s="301" t="e">
        <f t="shared" ca="1" si="1"/>
        <v>#NAME?</v>
      </c>
      <c r="M11" s="301" t="e">
        <f t="shared" ca="1" si="1"/>
        <v>#NAME?</v>
      </c>
      <c r="N11" s="301" t="e">
        <f t="shared" ca="1" si="1"/>
        <v>#NAME?</v>
      </c>
      <c r="O11" s="301" t="e">
        <f t="shared" ca="1" si="1"/>
        <v>#NAME?</v>
      </c>
      <c r="Q11" s="301" t="e">
        <f t="shared" ca="1" si="4"/>
        <v>#NAME?</v>
      </c>
      <c r="R11" s="301" t="e">
        <f t="shared" ca="1" si="2"/>
        <v>#NAME?</v>
      </c>
      <c r="S11" s="301" t="e">
        <f t="shared" ca="1" si="2"/>
        <v>#NAME?</v>
      </c>
      <c r="T11" s="301" t="e">
        <f t="shared" ca="1" si="2"/>
        <v>#NAME?</v>
      </c>
      <c r="U11" s="224"/>
    </row>
    <row r="12" spans="1:21" x14ac:dyDescent="0.25">
      <c r="A12" s="76" t="s">
        <v>169</v>
      </c>
      <c r="B12" s="299">
        <f>MEDIAN(B4:B11)</f>
        <v>53.5</v>
      </c>
      <c r="C12" s="299">
        <f>MEDIAN(C4:C11)</f>
        <v>79.5</v>
      </c>
      <c r="D12" s="299">
        <f>MEDIAN(D4:D11)</f>
        <v>81</v>
      </c>
      <c r="E12" s="299">
        <f>MEDIAN(E4:E11)</f>
        <v>69</v>
      </c>
      <c r="P12" s="299" t="s">
        <v>87</v>
      </c>
      <c r="Q12" s="45">
        <f ca="1">COUNT(Q4:Q11)</f>
        <v>0</v>
      </c>
      <c r="R12" s="45">
        <f ca="1">COUNT(R4:R11)</f>
        <v>0</v>
      </c>
      <c r="S12" s="45">
        <f ca="1">COUNT(S4:S11)</f>
        <v>0</v>
      </c>
      <c r="T12" s="45">
        <f ca="1">COUNT(T4:T11)</f>
        <v>0</v>
      </c>
      <c r="U12" s="45">
        <f ca="1">SUM(Q12:T12)</f>
        <v>0</v>
      </c>
    </row>
    <row r="13" spans="1:21" ht="18.75" x14ac:dyDescent="0.35">
      <c r="A13" s="70" t="s">
        <v>158</v>
      </c>
      <c r="B13" s="301">
        <f>VAR(B4:B11)</f>
        <v>214.26785714285714</v>
      </c>
      <c r="C13" s="301">
        <f>VAR(C4:C11)</f>
        <v>157.55357142857142</v>
      </c>
      <c r="D13" s="301">
        <f>VAR(D4:D11)</f>
        <v>164.57142857142858</v>
      </c>
      <c r="E13" s="301">
        <f>VAR(E4:E11)</f>
        <v>181.55357142857142</v>
      </c>
      <c r="G13" s="303" t="s">
        <v>612</v>
      </c>
      <c r="H13" s="304">
        <f>COUNT(B4:E11)+1</f>
        <v>33</v>
      </c>
      <c r="L13" t="s">
        <v>615</v>
      </c>
      <c r="M13" s="25" t="e">
        <f ca="1">U15/U14</f>
        <v>#NAME?</v>
      </c>
      <c r="P13" s="299" t="s">
        <v>4</v>
      </c>
      <c r="Q13" s="45" t="e">
        <f ca="1">AVERAGE(Q4:Q11)</f>
        <v>#NAME?</v>
      </c>
      <c r="R13" s="45" t="e">
        <f ca="1">AVERAGE(R4:R11)</f>
        <v>#NAME?</v>
      </c>
      <c r="S13" s="45" t="e">
        <f ca="1">AVERAGE(S4:S11)</f>
        <v>#NAME?</v>
      </c>
      <c r="T13" s="45" t="e">
        <f ca="1">AVERAGE(T4:T11)</f>
        <v>#NAME?</v>
      </c>
      <c r="U13" s="45" t="e">
        <f ca="1">AVERAGE(Q4:T11)</f>
        <v>#NAME?</v>
      </c>
    </row>
    <row r="14" spans="1:21" x14ac:dyDescent="0.25">
      <c r="L14" t="s">
        <v>51</v>
      </c>
      <c r="M14" s="179">
        <f>COUNTA(L3:O3)-1</f>
        <v>3</v>
      </c>
      <c r="P14" s="299" t="s">
        <v>5</v>
      </c>
      <c r="Q14" s="7"/>
      <c r="R14" s="7"/>
      <c r="S14" s="7"/>
      <c r="T14" s="7"/>
      <c r="U14" s="7" t="e">
        <f ca="1">VAR(Q4:T11)</f>
        <v>#NAME?</v>
      </c>
    </row>
    <row r="15" spans="1:21" x14ac:dyDescent="0.25">
      <c r="L15" t="s">
        <v>56</v>
      </c>
      <c r="M15" s="175" t="e">
        <f ca="1">CHIDIST(M13,M14)</f>
        <v>#NAME?</v>
      </c>
      <c r="P15" s="299" t="s">
        <v>613</v>
      </c>
      <c r="Q15" s="224" t="e">
        <f ca="1">Q12*(Q13-$U$13)^2</f>
        <v>#NAME?</v>
      </c>
      <c r="R15" s="224" t="e">
        <f ca="1">R12*(R13-$U$13)^2</f>
        <v>#NAME?</v>
      </c>
      <c r="S15" s="224" t="e">
        <f ca="1">S12*(S13-$U$13)^2</f>
        <v>#NAME?</v>
      </c>
      <c r="T15" s="224" t="e">
        <f ca="1">T12*(T13-$U$13)^2</f>
        <v>#NAME?</v>
      </c>
      <c r="U15" s="224" t="e">
        <f ca="1">SUM(Q15:T15)</f>
        <v>#NAME?</v>
      </c>
    </row>
    <row r="17" spans="12:13" x14ac:dyDescent="0.25">
      <c r="L17" t="s">
        <v>564</v>
      </c>
    </row>
    <row r="19" spans="12:13" x14ac:dyDescent="0.25">
      <c r="L19" t="s">
        <v>56</v>
      </c>
      <c r="M19" s="187" t="e">
        <f ca="1">FKTEST(B4:E11)</f>
        <v>#NAME?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AC60"/>
  <sheetViews>
    <sheetView workbookViewId="0"/>
  </sheetViews>
  <sheetFormatPr defaultRowHeight="15" x14ac:dyDescent="0.25"/>
  <cols>
    <col min="2" max="2" width="9.140625" customWidth="1"/>
    <col min="17" max="21" width="7.5703125" customWidth="1"/>
    <col min="22" max="22" width="5.140625" customWidth="1"/>
    <col min="23" max="23" width="17.5703125" customWidth="1"/>
  </cols>
  <sheetData>
    <row r="1" spans="1:29" x14ac:dyDescent="0.25">
      <c r="A1" s="1" t="s">
        <v>90</v>
      </c>
    </row>
    <row r="3" spans="1:29" x14ac:dyDescent="0.25">
      <c r="B3" t="s">
        <v>58</v>
      </c>
      <c r="I3" t="s">
        <v>228</v>
      </c>
      <c r="Q3" t="s">
        <v>231</v>
      </c>
    </row>
    <row r="5" spans="1:29" x14ac:dyDescent="0.25">
      <c r="B5" s="12" t="s">
        <v>86</v>
      </c>
      <c r="C5" s="12" t="s">
        <v>78</v>
      </c>
      <c r="D5" s="12" t="s">
        <v>79</v>
      </c>
      <c r="E5" s="12" t="s">
        <v>80</v>
      </c>
      <c r="F5" s="36" t="s">
        <v>81</v>
      </c>
      <c r="I5" s="12" t="s">
        <v>86</v>
      </c>
      <c r="J5" s="12" t="s">
        <v>78</v>
      </c>
      <c r="K5" s="12" t="s">
        <v>79</v>
      </c>
      <c r="L5" s="12" t="s">
        <v>80</v>
      </c>
      <c r="M5" s="36" t="s">
        <v>81</v>
      </c>
      <c r="Q5" t="s">
        <v>230</v>
      </c>
      <c r="W5" t="s">
        <v>133</v>
      </c>
    </row>
    <row r="6" spans="1:29" x14ac:dyDescent="0.25">
      <c r="B6" s="111">
        <v>32</v>
      </c>
      <c r="C6" s="112">
        <v>63</v>
      </c>
      <c r="D6" s="112">
        <v>6</v>
      </c>
      <c r="E6" s="112">
        <v>15</v>
      </c>
      <c r="F6" s="113">
        <v>55</v>
      </c>
      <c r="I6" s="111">
        <f>LOG(B6)</f>
        <v>1.505149978319906</v>
      </c>
      <c r="J6" s="112">
        <f>LOG(C6)</f>
        <v>1.7993405494535817</v>
      </c>
      <c r="K6" s="112">
        <f>LOG(D6)</f>
        <v>0.77815125038364363</v>
      </c>
      <c r="L6" s="112">
        <f>LOG(E6)</f>
        <v>1.1760912590556813</v>
      </c>
      <c r="M6" s="113">
        <f>LOG(F6)</f>
        <v>1.7403626894942439</v>
      </c>
    </row>
    <row r="7" spans="1:29" ht="15.75" thickBot="1" x14ac:dyDescent="0.3">
      <c r="B7" s="6">
        <v>13</v>
      </c>
      <c r="C7" s="7">
        <v>13</v>
      </c>
      <c r="D7" s="7">
        <v>16</v>
      </c>
      <c r="E7" s="7">
        <v>68</v>
      </c>
      <c r="F7" s="8">
        <v>59</v>
      </c>
      <c r="I7" s="6">
        <f t="shared" ref="I7:M15" si="0">LOG(B7)</f>
        <v>1.1139433523068367</v>
      </c>
      <c r="J7" s="7">
        <f t="shared" si="0"/>
        <v>1.1139433523068367</v>
      </c>
      <c r="K7" s="7">
        <f t="shared" si="0"/>
        <v>1.2041199826559248</v>
      </c>
      <c r="L7" s="7">
        <f t="shared" si="0"/>
        <v>1.8325089127062364</v>
      </c>
      <c r="M7" s="8">
        <f t="shared" si="0"/>
        <v>1.7708520116421442</v>
      </c>
      <c r="Q7" s="12" t="s">
        <v>86</v>
      </c>
      <c r="R7" s="12" t="s">
        <v>78</v>
      </c>
      <c r="S7" s="12" t="s">
        <v>79</v>
      </c>
      <c r="T7" s="12" t="s">
        <v>80</v>
      </c>
      <c r="U7" s="36" t="s">
        <v>81</v>
      </c>
      <c r="W7" t="s">
        <v>52</v>
      </c>
    </row>
    <row r="8" spans="1:29" x14ac:dyDescent="0.25">
      <c r="B8" s="6">
        <v>19</v>
      </c>
      <c r="C8" s="7">
        <v>56</v>
      </c>
      <c r="D8" s="7">
        <v>31</v>
      </c>
      <c r="E8" s="7">
        <v>49</v>
      </c>
      <c r="F8" s="8">
        <v>21</v>
      </c>
      <c r="I8" s="6">
        <f t="shared" si="0"/>
        <v>1.2787536009528289</v>
      </c>
      <c r="J8" s="7">
        <f t="shared" si="0"/>
        <v>1.7481880270062005</v>
      </c>
      <c r="K8" s="7">
        <f t="shared" si="0"/>
        <v>1.4913616938342726</v>
      </c>
      <c r="L8" s="7">
        <f t="shared" si="0"/>
        <v>1.6901960800285136</v>
      </c>
      <c r="M8" s="8">
        <f t="shared" si="0"/>
        <v>1.3222192947339193</v>
      </c>
      <c r="Q8" s="111">
        <f>ABS(B6-B$19)</f>
        <v>19.5</v>
      </c>
      <c r="R8" s="112">
        <f>ABS(C6-C$19)</f>
        <v>23.5</v>
      </c>
      <c r="S8" s="112">
        <f>ABS(D6-D$19)</f>
        <v>12.5</v>
      </c>
      <c r="T8" s="112">
        <f>ABS(E6-E$19)</f>
        <v>18</v>
      </c>
      <c r="U8" s="113">
        <f>ABS(F6-F$19)</f>
        <v>2</v>
      </c>
      <c r="W8" s="109" t="s">
        <v>61</v>
      </c>
      <c r="X8" s="109" t="s">
        <v>19</v>
      </c>
      <c r="Y8" s="109" t="s">
        <v>18</v>
      </c>
      <c r="Z8" s="109" t="s">
        <v>134</v>
      </c>
      <c r="AA8" s="109" t="s">
        <v>62</v>
      </c>
    </row>
    <row r="9" spans="1:29" x14ac:dyDescent="0.25">
      <c r="B9" s="6">
        <v>15</v>
      </c>
      <c r="C9" s="7">
        <v>28</v>
      </c>
      <c r="D9" s="7">
        <v>41</v>
      </c>
      <c r="E9" s="7">
        <v>39</v>
      </c>
      <c r="F9" s="8">
        <v>91</v>
      </c>
      <c r="I9" s="6">
        <f t="shared" si="0"/>
        <v>1.1760912590556813</v>
      </c>
      <c r="J9" s="7">
        <f t="shared" si="0"/>
        <v>1.4471580313422192</v>
      </c>
      <c r="K9" s="7">
        <f t="shared" si="0"/>
        <v>1.6127838567197355</v>
      </c>
      <c r="L9" s="7">
        <f t="shared" si="0"/>
        <v>1.5910646070264991</v>
      </c>
      <c r="M9" s="8">
        <f t="shared" si="0"/>
        <v>1.9590413923210936</v>
      </c>
      <c r="Q9" s="6">
        <f t="shared" ref="Q9:Q17" si="1">ABS(B7-B$19)</f>
        <v>0.5</v>
      </c>
      <c r="R9" s="7">
        <f t="shared" ref="R9:R17" si="2">ABS(C7-C$19)</f>
        <v>26.5</v>
      </c>
      <c r="S9" s="7">
        <f t="shared" ref="S9:S17" si="3">ABS(D7-D$19)</f>
        <v>2.5</v>
      </c>
      <c r="T9" s="7">
        <f t="shared" ref="T9:T15" si="4">ABS(E7-E$19)</f>
        <v>35</v>
      </c>
      <c r="U9" s="8">
        <f t="shared" ref="U9:U16" si="5">ABS(F7-F$19)</f>
        <v>2</v>
      </c>
      <c r="W9" s="17" t="s">
        <v>86</v>
      </c>
      <c r="X9" s="17">
        <v>10</v>
      </c>
      <c r="Y9" s="17">
        <v>52</v>
      </c>
      <c r="Z9" s="17">
        <v>5.2</v>
      </c>
      <c r="AA9" s="17">
        <v>35.56666666666667</v>
      </c>
    </row>
    <row r="10" spans="1:29" x14ac:dyDescent="0.25">
      <c r="B10" s="6">
        <v>12</v>
      </c>
      <c r="C10" s="7">
        <v>11</v>
      </c>
      <c r="D10" s="7">
        <v>13</v>
      </c>
      <c r="E10" s="7">
        <v>23</v>
      </c>
      <c r="F10" s="8">
        <v>27</v>
      </c>
      <c r="I10" s="6">
        <f t="shared" si="0"/>
        <v>1.0791812460476249</v>
      </c>
      <c r="J10" s="7">
        <f t="shared" si="0"/>
        <v>1.0413926851582251</v>
      </c>
      <c r="K10" s="7">
        <f t="shared" si="0"/>
        <v>1.1139433523068367</v>
      </c>
      <c r="L10" s="7">
        <f t="shared" si="0"/>
        <v>1.3617278360175928</v>
      </c>
      <c r="M10" s="8">
        <f t="shared" si="0"/>
        <v>1.4313637641589874</v>
      </c>
      <c r="Q10" s="6">
        <f t="shared" si="1"/>
        <v>6.5</v>
      </c>
      <c r="R10" s="7">
        <f t="shared" si="2"/>
        <v>16.5</v>
      </c>
      <c r="S10" s="7">
        <f t="shared" si="3"/>
        <v>12.5</v>
      </c>
      <c r="T10" s="7">
        <f t="shared" si="4"/>
        <v>16</v>
      </c>
      <c r="U10" s="8">
        <f t="shared" si="5"/>
        <v>36</v>
      </c>
      <c r="W10" s="17" t="s">
        <v>78</v>
      </c>
      <c r="X10" s="17">
        <v>10</v>
      </c>
      <c r="Y10" s="17">
        <v>200</v>
      </c>
      <c r="Z10" s="17">
        <v>20</v>
      </c>
      <c r="AA10" s="17">
        <v>50.055555555555557</v>
      </c>
    </row>
    <row r="11" spans="1:29" x14ac:dyDescent="0.25">
      <c r="B11" s="6">
        <v>9</v>
      </c>
      <c r="C11" s="7">
        <v>9</v>
      </c>
      <c r="D11" s="7">
        <v>14</v>
      </c>
      <c r="E11" s="7">
        <v>21</v>
      </c>
      <c r="F11" s="8">
        <v>64</v>
      </c>
      <c r="I11" s="6">
        <f t="shared" si="0"/>
        <v>0.95424250943932487</v>
      </c>
      <c r="J11" s="7">
        <f t="shared" si="0"/>
        <v>0.95424250943932487</v>
      </c>
      <c r="K11" s="7">
        <f t="shared" si="0"/>
        <v>1.146128035678238</v>
      </c>
      <c r="L11" s="7">
        <f t="shared" si="0"/>
        <v>1.3222192947339193</v>
      </c>
      <c r="M11" s="8">
        <f t="shared" si="0"/>
        <v>1.8061799739838871</v>
      </c>
      <c r="Q11" s="6">
        <f t="shared" si="1"/>
        <v>2.5</v>
      </c>
      <c r="R11" s="7">
        <f t="shared" si="2"/>
        <v>11.5</v>
      </c>
      <c r="S11" s="7">
        <f t="shared" si="3"/>
        <v>22.5</v>
      </c>
      <c r="T11" s="7">
        <f t="shared" si="4"/>
        <v>6</v>
      </c>
      <c r="U11" s="8">
        <f t="shared" si="5"/>
        <v>34</v>
      </c>
      <c r="W11" s="17" t="s">
        <v>79</v>
      </c>
      <c r="X11" s="17">
        <v>10</v>
      </c>
      <c r="Y11" s="17">
        <v>103</v>
      </c>
      <c r="Z11" s="17">
        <v>10.3</v>
      </c>
      <c r="AA11" s="17">
        <v>58.399999999999991</v>
      </c>
    </row>
    <row r="12" spans="1:29" x14ac:dyDescent="0.25">
      <c r="B12" s="6">
        <v>5</v>
      </c>
      <c r="C12" s="7">
        <v>23</v>
      </c>
      <c r="D12" s="7">
        <v>21</v>
      </c>
      <c r="E12" s="7">
        <v>32</v>
      </c>
      <c r="F12" s="8">
        <v>54</v>
      </c>
      <c r="I12" s="6">
        <f t="shared" si="0"/>
        <v>0.69897000433601886</v>
      </c>
      <c r="J12" s="7">
        <f t="shared" si="0"/>
        <v>1.3617278360175928</v>
      </c>
      <c r="K12" s="7">
        <f t="shared" si="0"/>
        <v>1.3222192947339193</v>
      </c>
      <c r="L12" s="7">
        <f t="shared" si="0"/>
        <v>1.505149978319906</v>
      </c>
      <c r="M12" s="8">
        <f t="shared" si="0"/>
        <v>1.7323937598229686</v>
      </c>
      <c r="Q12" s="6">
        <f t="shared" si="1"/>
        <v>0.5</v>
      </c>
      <c r="R12" s="7">
        <f t="shared" si="2"/>
        <v>28.5</v>
      </c>
      <c r="S12" s="7">
        <f t="shared" si="3"/>
        <v>5.5</v>
      </c>
      <c r="T12" s="7">
        <f t="shared" si="4"/>
        <v>10</v>
      </c>
      <c r="U12" s="8">
        <f t="shared" si="5"/>
        <v>30</v>
      </c>
      <c r="W12" s="17" t="s">
        <v>80</v>
      </c>
      <c r="X12" s="17">
        <v>8</v>
      </c>
      <c r="Y12" s="17">
        <v>99</v>
      </c>
      <c r="Z12" s="17">
        <v>12.375</v>
      </c>
      <c r="AA12" s="17">
        <v>123.125</v>
      </c>
    </row>
    <row r="13" spans="1:29" ht="15.75" thickBot="1" x14ac:dyDescent="0.3">
      <c r="B13" s="6">
        <v>22</v>
      </c>
      <c r="C13" s="7">
        <v>51</v>
      </c>
      <c r="D13" s="7">
        <v>29</v>
      </c>
      <c r="E13" s="7">
        <v>34</v>
      </c>
      <c r="F13" s="8">
        <v>57</v>
      </c>
      <c r="I13" s="6">
        <f t="shared" si="0"/>
        <v>1.3424226808222062</v>
      </c>
      <c r="J13" s="7">
        <f t="shared" si="0"/>
        <v>1.7075701760979363</v>
      </c>
      <c r="K13" s="7">
        <f t="shared" si="0"/>
        <v>1.4623979978989561</v>
      </c>
      <c r="L13" s="7">
        <f t="shared" si="0"/>
        <v>1.5314789170422551</v>
      </c>
      <c r="M13" s="8">
        <f t="shared" si="0"/>
        <v>1.7558748556724915</v>
      </c>
      <c r="Q13" s="6">
        <f t="shared" si="1"/>
        <v>3.5</v>
      </c>
      <c r="R13" s="7">
        <f t="shared" si="2"/>
        <v>30.5</v>
      </c>
      <c r="S13" s="7">
        <f t="shared" si="3"/>
        <v>4.5</v>
      </c>
      <c r="T13" s="7">
        <f t="shared" si="4"/>
        <v>12</v>
      </c>
      <c r="U13" s="8">
        <f t="shared" si="5"/>
        <v>7</v>
      </c>
      <c r="W13" s="18" t="s">
        <v>81</v>
      </c>
      <c r="X13" s="18">
        <v>9</v>
      </c>
      <c r="Y13" s="18">
        <v>130</v>
      </c>
      <c r="Z13" s="18">
        <v>14.444444444444445</v>
      </c>
      <c r="AA13" s="18">
        <v>224.52777777777777</v>
      </c>
    </row>
    <row r="14" spans="1:29" x14ac:dyDescent="0.25">
      <c r="B14" s="6">
        <v>11</v>
      </c>
      <c r="C14" s="7">
        <v>53</v>
      </c>
      <c r="D14" s="7">
        <v>12</v>
      </c>
      <c r="E14" s="7"/>
      <c r="F14" s="8">
        <v>73</v>
      </c>
      <c r="I14" s="6">
        <f t="shared" si="0"/>
        <v>1.0413926851582251</v>
      </c>
      <c r="J14" s="7">
        <f t="shared" si="0"/>
        <v>1.7242758696007889</v>
      </c>
      <c r="K14" s="7">
        <f t="shared" si="0"/>
        <v>1.0791812460476249</v>
      </c>
      <c r="L14" s="28"/>
      <c r="M14" s="114">
        <f t="shared" si="0"/>
        <v>1.8633228601204559</v>
      </c>
      <c r="Q14" s="6">
        <f t="shared" si="1"/>
        <v>7.5</v>
      </c>
      <c r="R14" s="7">
        <f t="shared" si="2"/>
        <v>16.5</v>
      </c>
      <c r="S14" s="7">
        <f t="shared" si="3"/>
        <v>2.5</v>
      </c>
      <c r="T14" s="7">
        <f t="shared" si="4"/>
        <v>1</v>
      </c>
      <c r="U14" s="8">
        <f t="shared" si="5"/>
        <v>3</v>
      </c>
    </row>
    <row r="15" spans="1:29" ht="15.75" thickBot="1" x14ac:dyDescent="0.3">
      <c r="B15" s="50">
        <v>12</v>
      </c>
      <c r="C15" s="10">
        <v>61</v>
      </c>
      <c r="D15" s="10">
        <v>42</v>
      </c>
      <c r="E15" s="10"/>
      <c r="F15" s="11"/>
      <c r="I15" s="50">
        <f t="shared" si="0"/>
        <v>1.0791812460476249</v>
      </c>
      <c r="J15" s="10">
        <f t="shared" si="0"/>
        <v>1.7853298350107671</v>
      </c>
      <c r="K15" s="10">
        <f>LOG(D15)</f>
        <v>1.6232492903979006</v>
      </c>
      <c r="L15" s="10"/>
      <c r="M15" s="11"/>
      <c r="Q15" s="6">
        <f t="shared" si="1"/>
        <v>9.5</v>
      </c>
      <c r="R15" s="7">
        <f t="shared" si="2"/>
        <v>11.5</v>
      </c>
      <c r="S15" s="7">
        <f t="shared" si="3"/>
        <v>10.5</v>
      </c>
      <c r="T15" s="7">
        <f t="shared" si="4"/>
        <v>1</v>
      </c>
      <c r="U15" s="8">
        <f t="shared" si="5"/>
        <v>0</v>
      </c>
      <c r="W15" t="s">
        <v>101</v>
      </c>
    </row>
    <row r="16" spans="1:29" x14ac:dyDescent="0.25">
      <c r="A16" t="s">
        <v>4</v>
      </c>
      <c r="B16">
        <f>AVERAGE(B6:B15)</f>
        <v>15</v>
      </c>
      <c r="C16">
        <f>AVERAGE(C6:C15)</f>
        <v>36.799999999999997</v>
      </c>
      <c r="D16">
        <f>AVERAGE(D6:D15)</f>
        <v>22.5</v>
      </c>
      <c r="E16">
        <f>AVERAGE(E6:E15)</f>
        <v>35.125</v>
      </c>
      <c r="F16">
        <f>AVERAGE(F6:F15)</f>
        <v>55.666666666666664</v>
      </c>
      <c r="H16" t="s">
        <v>4</v>
      </c>
      <c r="I16">
        <f>AVERAGE(I6:I15)</f>
        <v>1.126932856248628</v>
      </c>
      <c r="J16">
        <f>AVERAGE(J6:J15)</f>
        <v>1.4683168871433474</v>
      </c>
      <c r="K16">
        <f>AVERAGE(K6:K15)</f>
        <v>1.2833536000657051</v>
      </c>
      <c r="L16">
        <f>AVERAGE(L6:L15)</f>
        <v>1.5013046106163257</v>
      </c>
      <c r="M16">
        <f>AVERAGE(M6:M15)</f>
        <v>1.7090678446611325</v>
      </c>
      <c r="Q16" s="6">
        <f t="shared" si="1"/>
        <v>1.5</v>
      </c>
      <c r="R16" s="7">
        <f t="shared" si="2"/>
        <v>13.5</v>
      </c>
      <c r="S16" s="7">
        <f t="shared" si="3"/>
        <v>6.5</v>
      </c>
      <c r="T16" s="7"/>
      <c r="U16" s="8">
        <f t="shared" si="5"/>
        <v>16</v>
      </c>
      <c r="W16" s="109" t="s">
        <v>135</v>
      </c>
      <c r="X16" s="109" t="s">
        <v>88</v>
      </c>
      <c r="Y16" s="109" t="s">
        <v>51</v>
      </c>
      <c r="Z16" s="109" t="s">
        <v>92</v>
      </c>
      <c r="AA16" s="109" t="s">
        <v>82</v>
      </c>
      <c r="AB16" s="109" t="s">
        <v>74</v>
      </c>
      <c r="AC16" s="109" t="s">
        <v>136</v>
      </c>
    </row>
    <row r="17" spans="1:29" x14ac:dyDescent="0.25">
      <c r="A17" t="s">
        <v>6</v>
      </c>
      <c r="B17">
        <f>STDEV(B6:B15)</f>
        <v>7.6594168620507048</v>
      </c>
      <c r="C17">
        <f>STDEV(C6:C15)</f>
        <v>22.054478003344357</v>
      </c>
      <c r="D17">
        <f>STDEV(D6:D15)</f>
        <v>12.589678312014172</v>
      </c>
      <c r="E17">
        <f>STDEV(E6:E15)</f>
        <v>17.116721147963556</v>
      </c>
      <c r="F17">
        <f>STDEV(F6:F15)</f>
        <v>21.383404780343096</v>
      </c>
      <c r="H17" t="s">
        <v>6</v>
      </c>
      <c r="I17">
        <f>STDEV(I6:I15)</f>
        <v>0.22110092771964845</v>
      </c>
      <c r="J17">
        <f>STDEV(J6:J15)</f>
        <v>0.33251317956717924</v>
      </c>
      <c r="K17">
        <f>STDEV(K6:K15)</f>
        <v>0.26907508203739272</v>
      </c>
      <c r="L17">
        <f>STDEV(L6:L15)</f>
        <v>0.21100960029668439</v>
      </c>
      <c r="M17">
        <f>STDEV(M6:M15)</f>
        <v>0.20310562279716773</v>
      </c>
      <c r="Q17" s="50">
        <f t="shared" si="1"/>
        <v>0.5</v>
      </c>
      <c r="R17" s="10">
        <f t="shared" si="2"/>
        <v>21.5</v>
      </c>
      <c r="S17" s="10">
        <f t="shared" si="3"/>
        <v>23.5</v>
      </c>
      <c r="T17" s="10"/>
      <c r="U17" s="11"/>
      <c r="W17" s="17" t="s">
        <v>131</v>
      </c>
      <c r="X17" s="17">
        <v>1177.6921394799056</v>
      </c>
      <c r="Y17" s="17">
        <v>4</v>
      </c>
      <c r="Z17" s="17">
        <v>294.42303486997639</v>
      </c>
      <c r="AA17" s="17">
        <v>3.1271719776263396</v>
      </c>
      <c r="AB17" s="17">
        <v>2.4395522172030337E-2</v>
      </c>
      <c r="AC17" s="17">
        <v>2.5942633713457632</v>
      </c>
    </row>
    <row r="18" spans="1:29" x14ac:dyDescent="0.25">
      <c r="A18" t="s">
        <v>5</v>
      </c>
      <c r="B18">
        <f>VAR(B6:B15)</f>
        <v>58.666666666666664</v>
      </c>
      <c r="C18">
        <f>VAR(C6:C15)</f>
        <v>486.40000000000003</v>
      </c>
      <c r="D18">
        <f>VAR(D6:D15)</f>
        <v>158.5</v>
      </c>
      <c r="E18">
        <f>VAR(E6:E15)</f>
        <v>292.98214285714283</v>
      </c>
      <c r="F18">
        <f>VAR(F6:F15)</f>
        <v>457.25</v>
      </c>
      <c r="H18" t="s">
        <v>5</v>
      </c>
      <c r="I18">
        <f>VAR(I6:I15)</f>
        <v>4.8885620238489205E-2</v>
      </c>
      <c r="J18">
        <f>VAR(J6:J15)</f>
        <v>0.11056501458587517</v>
      </c>
      <c r="K18">
        <f>VAR(K6:K15)</f>
        <v>7.2401399773429631E-2</v>
      </c>
      <c r="L18">
        <f>VAR(L6:L15)</f>
        <v>4.4525051417366512E-2</v>
      </c>
      <c r="M18">
        <f>VAR(M6:M15)</f>
        <v>4.1251894011825385E-2</v>
      </c>
      <c r="W18" s="17" t="s">
        <v>132</v>
      </c>
      <c r="X18" s="17">
        <v>3954.2972222222224</v>
      </c>
      <c r="Y18" s="17">
        <v>42</v>
      </c>
      <c r="Z18" s="17">
        <v>94.149933862433869</v>
      </c>
      <c r="AA18" s="17"/>
      <c r="AB18" s="17"/>
      <c r="AC18" s="17"/>
    </row>
    <row r="19" spans="1:29" x14ac:dyDescent="0.25">
      <c r="A19" s="28" t="s">
        <v>229</v>
      </c>
      <c r="B19">
        <f>MEDIAN(B6:B15)</f>
        <v>12.5</v>
      </c>
      <c r="C19">
        <f>MEDIAN(C6:C15)</f>
        <v>39.5</v>
      </c>
      <c r="D19">
        <f>MEDIAN(D6:D15)</f>
        <v>18.5</v>
      </c>
      <c r="E19">
        <f>MEDIAN(E6:E15)</f>
        <v>33</v>
      </c>
      <c r="F19">
        <f>MEDIAN(F6:F15)</f>
        <v>57</v>
      </c>
      <c r="H19" s="28" t="s">
        <v>229</v>
      </c>
      <c r="I19">
        <f>MEDIAN(I6:I15)</f>
        <v>1.0965622991772308</v>
      </c>
      <c r="J19">
        <f>MEDIAN(J6:J15)</f>
        <v>1.5773641037200776</v>
      </c>
      <c r="K19">
        <f>MEDIAN(K6:K15)</f>
        <v>1.263169638694922</v>
      </c>
      <c r="L19">
        <f>MEDIAN(L6:L15)</f>
        <v>1.5183144476810806</v>
      </c>
      <c r="M19">
        <f>MEDIAN(M6:M15)</f>
        <v>1.7558748556724915</v>
      </c>
      <c r="W19" s="17"/>
      <c r="X19" s="17"/>
      <c r="Y19" s="17"/>
      <c r="Z19" s="17"/>
      <c r="AA19" s="17"/>
      <c r="AB19" s="17"/>
      <c r="AC19" s="17"/>
    </row>
    <row r="20" spans="1:29" ht="15.75" thickBot="1" x14ac:dyDescent="0.3">
      <c r="A20" s="28"/>
      <c r="B20" s="28"/>
      <c r="C20" s="28"/>
      <c r="D20" s="28"/>
      <c r="E20" s="28"/>
      <c r="F20" s="28"/>
      <c r="W20" s="18" t="s">
        <v>1</v>
      </c>
      <c r="X20" s="18">
        <v>5131.989361702128</v>
      </c>
      <c r="Y20" s="18">
        <v>46</v>
      </c>
      <c r="Z20" s="18"/>
      <c r="AA20" s="18"/>
      <c r="AB20" s="18"/>
      <c r="AC20" s="18"/>
    </row>
    <row r="21" spans="1:29" x14ac:dyDescent="0.25">
      <c r="A21" s="28" t="s">
        <v>75</v>
      </c>
      <c r="B21">
        <f>CORREL(B16:F16,B17:F17)</f>
        <v>0.88125862698759883</v>
      </c>
      <c r="H21" s="28" t="s">
        <v>75</v>
      </c>
      <c r="I21">
        <f>CORREL(I16:M16,I17:M17)</f>
        <v>-0.14386550617179239</v>
      </c>
    </row>
    <row r="22" spans="1:29" x14ac:dyDescent="0.25">
      <c r="H22" s="28"/>
      <c r="W22" s="17"/>
      <c r="X22" s="17"/>
      <c r="Y22" s="17"/>
      <c r="Z22" s="17"/>
      <c r="AA22" s="17"/>
      <c r="AB22" s="17"/>
      <c r="AC22" s="17"/>
    </row>
    <row r="24" spans="1:29" x14ac:dyDescent="0.25">
      <c r="B24" s="12" t="s">
        <v>86</v>
      </c>
      <c r="C24" s="12" t="s">
        <v>78</v>
      </c>
      <c r="D24" s="12" t="s">
        <v>79</v>
      </c>
      <c r="E24" s="12" t="s">
        <v>80</v>
      </c>
      <c r="F24" s="36" t="s">
        <v>81</v>
      </c>
      <c r="Q24" t="s">
        <v>232</v>
      </c>
    </row>
    <row r="25" spans="1:29" x14ac:dyDescent="0.25">
      <c r="A25" t="s">
        <v>43</v>
      </c>
      <c r="B25">
        <f>MIN(B6:B15)</f>
        <v>5</v>
      </c>
      <c r="C25">
        <f>MIN(C6:C15)</f>
        <v>9</v>
      </c>
      <c r="D25">
        <f>MIN(D6:D15)</f>
        <v>6</v>
      </c>
      <c r="E25">
        <f>MIN(E6:E15)</f>
        <v>15</v>
      </c>
      <c r="F25">
        <f>MIN(F6:F15)</f>
        <v>21</v>
      </c>
    </row>
    <row r="26" spans="1:29" x14ac:dyDescent="0.25">
      <c r="A26" t="s">
        <v>44</v>
      </c>
      <c r="B26">
        <f>QUARTILE(B6:B15,1)-B25</f>
        <v>6.25</v>
      </c>
      <c r="C26">
        <f>QUARTILE(C6:C15,1)-C25</f>
        <v>6.5</v>
      </c>
      <c r="D26">
        <f>QUARTILE(D6:D15,1)-D25</f>
        <v>7.25</v>
      </c>
      <c r="E26">
        <f>QUARTILE(E6:E15,1)-E25</f>
        <v>7.5</v>
      </c>
      <c r="F26">
        <f>QUARTILE(F6:F15,1)-F25</f>
        <v>33</v>
      </c>
      <c r="Q26" t="s">
        <v>230</v>
      </c>
      <c r="W26" t="s">
        <v>133</v>
      </c>
    </row>
    <row r="27" spans="1:29" x14ac:dyDescent="0.25">
      <c r="A27" t="s">
        <v>45</v>
      </c>
      <c r="B27">
        <f>MEDIAN(B6:B15)-QUARTILE(B6:B15,1)</f>
        <v>1.25</v>
      </c>
      <c r="C27">
        <f>MEDIAN(C6:C15)-QUARTILE(C6:C15,1)</f>
        <v>24</v>
      </c>
      <c r="D27">
        <f>MEDIAN(D6:D15)-QUARTILE(D6:D15,1)</f>
        <v>5.25</v>
      </c>
      <c r="E27">
        <f>MEDIAN(E6:E15)-QUARTILE(E6:E15,1)</f>
        <v>10.5</v>
      </c>
      <c r="F27">
        <f>MEDIAN(F6:F15)-QUARTILE(F6:F15,1)</f>
        <v>3</v>
      </c>
    </row>
    <row r="28" spans="1:29" ht="15.75" thickBot="1" x14ac:dyDescent="0.3">
      <c r="A28" t="s">
        <v>46</v>
      </c>
      <c r="B28">
        <f>QUARTILE(B6:B15,3)-MEDIAN(B6:B15)</f>
        <v>5.5</v>
      </c>
      <c r="C28">
        <f>QUARTILE(C6:C15,3)-MEDIAN(C6:C15)</f>
        <v>15.75</v>
      </c>
      <c r="D28">
        <f>QUARTILE(D6:D15,3)-MEDIAN(D6:D15)</f>
        <v>12</v>
      </c>
      <c r="E28">
        <f>QUARTILE(E6:E15,3)-MEDIAN(E6:E15)</f>
        <v>8.5</v>
      </c>
      <c r="F28">
        <f>QUARTILE(F6:F15,3)-MEDIAN(F6:F15)</f>
        <v>7</v>
      </c>
      <c r="Q28" s="12" t="s">
        <v>86</v>
      </c>
      <c r="R28" s="12" t="s">
        <v>78</v>
      </c>
      <c r="S28" s="12" t="s">
        <v>79</v>
      </c>
      <c r="T28" s="12" t="s">
        <v>80</v>
      </c>
      <c r="U28" s="36" t="s">
        <v>81</v>
      </c>
      <c r="W28" t="s">
        <v>52</v>
      </c>
    </row>
    <row r="29" spans="1:29" x14ac:dyDescent="0.25">
      <c r="A29" t="s">
        <v>47</v>
      </c>
      <c r="B29">
        <f>MAX(B6:B15)-QUARTILE(B6:B15,3)</f>
        <v>14</v>
      </c>
      <c r="C29">
        <f>MAX(C6:C15)-QUARTILE(C6:C15,3)</f>
        <v>7.75</v>
      </c>
      <c r="D29">
        <f>MAX(D6:D15)-QUARTILE(D6:D15,3)</f>
        <v>11.5</v>
      </c>
      <c r="E29">
        <f>MAX(E6:E15)-QUARTILE(E6:E15,3)</f>
        <v>26.5</v>
      </c>
      <c r="F29">
        <f>MAX(F6:F15)-QUARTILE(F6:F15,3)</f>
        <v>27</v>
      </c>
      <c r="Q29" s="111">
        <f>ABS(I6-I$19)</f>
        <v>0.40858767914267524</v>
      </c>
      <c r="R29" s="112">
        <f>ABS(J6-J$19)</f>
        <v>0.22197644573350406</v>
      </c>
      <c r="S29" s="112">
        <f>ABS(K6-K$19)</f>
        <v>0.48501838831127841</v>
      </c>
      <c r="T29" s="112">
        <f>ABS(L6-L$19)</f>
        <v>0.34222318862539924</v>
      </c>
      <c r="U29" s="113">
        <f>ABS(M6-M$19)</f>
        <v>1.5512166178247577E-2</v>
      </c>
      <c r="W29" s="109" t="s">
        <v>61</v>
      </c>
      <c r="X29" s="109" t="s">
        <v>19</v>
      </c>
      <c r="Y29" s="109" t="s">
        <v>18</v>
      </c>
      <c r="Z29" s="109" t="s">
        <v>134</v>
      </c>
      <c r="AA29" s="109" t="s">
        <v>62</v>
      </c>
    </row>
    <row r="30" spans="1:29" x14ac:dyDescent="0.25">
      <c r="Q30" s="6">
        <f t="shared" ref="Q30:Q36" si="6">ABS(I7-I$19)</f>
        <v>1.7381053129605917E-2</v>
      </c>
      <c r="R30" s="7">
        <f t="shared" ref="R30:R36" si="7">ABS(J7-J$19)</f>
        <v>0.46342075141324091</v>
      </c>
      <c r="S30" s="7">
        <f t="shared" ref="S30:S36" si="8">ABS(K7-K$19)</f>
        <v>5.9049656038997256E-2</v>
      </c>
      <c r="T30" s="7">
        <f t="shared" ref="T30:T36" si="9">ABS(L7-L$19)</f>
        <v>0.3141944650251558</v>
      </c>
      <c r="U30" s="8">
        <f t="shared" ref="U30:U37" si="10">ABS(M7-M$19)</f>
        <v>1.4977155969652767E-2</v>
      </c>
      <c r="W30" s="17" t="s">
        <v>86</v>
      </c>
      <c r="X30" s="17">
        <v>10</v>
      </c>
      <c r="Y30" s="17">
        <v>1.5633931804286405</v>
      </c>
      <c r="Z30" s="17">
        <v>0.15633931804286405</v>
      </c>
      <c r="AA30" s="17">
        <v>2.2752718428177721E-2</v>
      </c>
    </row>
    <row r="31" spans="1:29" x14ac:dyDescent="0.25">
      <c r="Q31" s="6">
        <f t="shared" si="6"/>
        <v>0.18219130177559806</v>
      </c>
      <c r="R31" s="7">
        <f t="shared" si="7"/>
        <v>0.17082392328612284</v>
      </c>
      <c r="S31" s="7">
        <f t="shared" si="8"/>
        <v>0.22819205513935059</v>
      </c>
      <c r="T31" s="7">
        <f t="shared" si="9"/>
        <v>0.17188163234743303</v>
      </c>
      <c r="U31" s="8">
        <f t="shared" si="10"/>
        <v>0.43365556093857216</v>
      </c>
      <c r="W31" s="17" t="s">
        <v>78</v>
      </c>
      <c r="X31" s="17">
        <v>10</v>
      </c>
      <c r="Y31" s="17">
        <v>2.8462400429050754</v>
      </c>
      <c r="Z31" s="17">
        <v>0.28462400429050755</v>
      </c>
      <c r="AA31" s="17">
        <v>3.3765538613396928E-2</v>
      </c>
    </row>
    <row r="32" spans="1:29" x14ac:dyDescent="0.25">
      <c r="Q32" s="6">
        <f t="shared" si="6"/>
        <v>7.9528959878450545E-2</v>
      </c>
      <c r="R32" s="7">
        <f t="shared" si="7"/>
        <v>0.13020607237785842</v>
      </c>
      <c r="S32" s="7">
        <f t="shared" si="8"/>
        <v>0.34961421802481341</v>
      </c>
      <c r="T32" s="7">
        <f t="shared" si="9"/>
        <v>7.2750159345418508E-2</v>
      </c>
      <c r="U32" s="8">
        <f t="shared" si="10"/>
        <v>0.20316653664860218</v>
      </c>
      <c r="W32" s="17" t="s">
        <v>79</v>
      </c>
      <c r="X32" s="17">
        <v>10</v>
      </c>
      <c r="Y32" s="17">
        <v>2.1904882665125163</v>
      </c>
      <c r="Z32" s="17">
        <v>0.21904882665125164</v>
      </c>
      <c r="AA32" s="17">
        <v>1.9540292928237682E-2</v>
      </c>
    </row>
    <row r="33" spans="1:29" x14ac:dyDescent="0.25">
      <c r="Q33" s="6">
        <f t="shared" si="6"/>
        <v>1.7381053129605917E-2</v>
      </c>
      <c r="R33" s="7">
        <f t="shared" si="7"/>
        <v>0.53597141856185249</v>
      </c>
      <c r="S33" s="7">
        <f t="shared" si="8"/>
        <v>0.14922628638808533</v>
      </c>
      <c r="T33" s="7">
        <f t="shared" si="9"/>
        <v>0.15658661166348775</v>
      </c>
      <c r="U33" s="8">
        <f t="shared" si="10"/>
        <v>0.3245110915135041</v>
      </c>
      <c r="W33" s="17" t="s">
        <v>80</v>
      </c>
      <c r="X33" s="17">
        <v>8</v>
      </c>
      <c r="Y33" s="17">
        <v>1.2800601486764047</v>
      </c>
      <c r="Z33" s="17">
        <v>0.16000751858455059</v>
      </c>
      <c r="AA33" s="17">
        <v>1.559582690694915E-2</v>
      </c>
    </row>
    <row r="34" spans="1:29" ht="15.75" thickBot="1" x14ac:dyDescent="0.3">
      <c r="Q34" s="6">
        <f t="shared" si="6"/>
        <v>0.14231978973790593</v>
      </c>
      <c r="R34" s="7">
        <f t="shared" si="7"/>
        <v>0.62312159428075276</v>
      </c>
      <c r="S34" s="7">
        <f t="shared" si="8"/>
        <v>0.11704160301668409</v>
      </c>
      <c r="T34" s="7">
        <f t="shared" si="9"/>
        <v>0.19609515294716129</v>
      </c>
      <c r="U34" s="8">
        <f t="shared" si="10"/>
        <v>5.0305118311395614E-2</v>
      </c>
      <c r="W34" s="18" t="s">
        <v>81</v>
      </c>
      <c r="X34" s="18">
        <v>9</v>
      </c>
      <c r="Y34" s="18">
        <v>1.1730567298574617</v>
      </c>
      <c r="Z34" s="18">
        <v>0.13033963665082907</v>
      </c>
      <c r="AA34" s="18">
        <v>2.4604678834067337E-2</v>
      </c>
    </row>
    <row r="35" spans="1:29" x14ac:dyDescent="0.25">
      <c r="Q35" s="6">
        <f t="shared" si="6"/>
        <v>0.39759229484121195</v>
      </c>
      <c r="R35" s="7">
        <f t="shared" si="7"/>
        <v>0.21563626770248479</v>
      </c>
      <c r="S35" s="7">
        <f t="shared" si="8"/>
        <v>5.9049656038997256E-2</v>
      </c>
      <c r="T35" s="7">
        <f t="shared" si="9"/>
        <v>1.3164469361174547E-2</v>
      </c>
      <c r="U35" s="8">
        <f t="shared" si="10"/>
        <v>2.3481095849522848E-2</v>
      </c>
    </row>
    <row r="36" spans="1:29" ht="15.75" thickBot="1" x14ac:dyDescent="0.3">
      <c r="Q36" s="6">
        <f t="shared" si="6"/>
        <v>0.24586038164497537</v>
      </c>
      <c r="R36" s="7">
        <f t="shared" si="7"/>
        <v>0.13020607237785864</v>
      </c>
      <c r="S36" s="7">
        <f t="shared" si="8"/>
        <v>0.19922835920403403</v>
      </c>
      <c r="T36" s="7">
        <f t="shared" si="9"/>
        <v>1.3164469361174547E-2</v>
      </c>
      <c r="U36" s="8">
        <f t="shared" si="10"/>
        <v>0</v>
      </c>
      <c r="W36" t="s">
        <v>101</v>
      </c>
    </row>
    <row r="37" spans="1:29" x14ac:dyDescent="0.25">
      <c r="Q37" s="6">
        <f t="shared" ref="Q37:S38" si="11">ABS(I14-I$19)</f>
        <v>5.5169614019005664E-2</v>
      </c>
      <c r="R37" s="7">
        <f t="shared" si="11"/>
        <v>0.14691176588071131</v>
      </c>
      <c r="S37" s="7">
        <f t="shared" si="11"/>
        <v>0.18398839264729716</v>
      </c>
      <c r="T37" s="7"/>
      <c r="U37" s="8">
        <f t="shared" si="10"/>
        <v>0.10744800444796443</v>
      </c>
      <c r="W37" s="109" t="s">
        <v>135</v>
      </c>
      <c r="X37" s="109" t="s">
        <v>88</v>
      </c>
      <c r="Y37" s="109" t="s">
        <v>51</v>
      </c>
      <c r="Z37" s="109" t="s">
        <v>92</v>
      </c>
      <c r="AA37" s="109" t="s">
        <v>82</v>
      </c>
      <c r="AB37" s="109" t="s">
        <v>74</v>
      </c>
      <c r="AC37" s="109" t="s">
        <v>136</v>
      </c>
    </row>
    <row r="38" spans="1:29" x14ac:dyDescent="0.25">
      <c r="Q38" s="50">
        <f t="shared" si="11"/>
        <v>1.7381053129605917E-2</v>
      </c>
      <c r="R38" s="10">
        <f t="shared" si="11"/>
        <v>0.20796573129068952</v>
      </c>
      <c r="S38" s="10">
        <f t="shared" si="11"/>
        <v>0.36007965170297851</v>
      </c>
      <c r="T38" s="10"/>
      <c r="U38" s="11"/>
      <c r="W38" s="17" t="s">
        <v>131</v>
      </c>
      <c r="X38" s="17">
        <v>0.14821325994609247</v>
      </c>
      <c r="Y38" s="17">
        <v>4</v>
      </c>
      <c r="Z38" s="17">
        <v>3.7053314986523117E-2</v>
      </c>
      <c r="AA38" s="17">
        <v>1.5711095158778194</v>
      </c>
      <c r="AB38" s="17">
        <v>0.19969665090150207</v>
      </c>
      <c r="AC38" s="17">
        <v>2.5942633713457632</v>
      </c>
    </row>
    <row r="39" spans="1:29" x14ac:dyDescent="0.25">
      <c r="W39" s="17" t="s">
        <v>132</v>
      </c>
      <c r="X39" s="17">
        <v>0.99053516874949354</v>
      </c>
      <c r="Y39" s="17">
        <v>42</v>
      </c>
      <c r="Z39" s="17">
        <v>2.3584170684511751E-2</v>
      </c>
      <c r="AA39" s="17"/>
      <c r="AB39" s="17"/>
      <c r="AC39" s="17"/>
    </row>
    <row r="40" spans="1:29" x14ac:dyDescent="0.25">
      <c r="B40" s="12" t="s">
        <v>86</v>
      </c>
      <c r="C40" s="12" t="s">
        <v>78</v>
      </c>
      <c r="D40" s="12" t="s">
        <v>79</v>
      </c>
      <c r="E40" s="12" t="s">
        <v>80</v>
      </c>
      <c r="F40" s="36" t="s">
        <v>81</v>
      </c>
      <c r="W40" s="17"/>
      <c r="X40" s="17"/>
      <c r="Y40" s="17"/>
      <c r="Z40" s="17"/>
      <c r="AA40" s="17"/>
      <c r="AB40" s="17"/>
      <c r="AC40" s="17"/>
    </row>
    <row r="41" spans="1:29" ht="15.75" thickBot="1" x14ac:dyDescent="0.3">
      <c r="A41" t="s">
        <v>43</v>
      </c>
      <c r="B41">
        <f>MIN(I6:I15)</f>
        <v>0.69897000433601886</v>
      </c>
      <c r="C41">
        <f>MIN(J6:J15)</f>
        <v>0.95424250943932487</v>
      </c>
      <c r="D41">
        <f>MIN(K6:K15)</f>
        <v>0.77815125038364363</v>
      </c>
      <c r="E41">
        <f>MIN(L6:L15)</f>
        <v>1.1760912590556813</v>
      </c>
      <c r="F41">
        <f>MIN(M6:M15)</f>
        <v>1.3222192947339193</v>
      </c>
      <c r="W41" s="18" t="s">
        <v>1</v>
      </c>
      <c r="X41" s="18">
        <v>1.138748428695586</v>
      </c>
      <c r="Y41" s="18">
        <v>46</v>
      </c>
      <c r="Z41" s="18"/>
      <c r="AA41" s="18"/>
      <c r="AB41" s="18"/>
      <c r="AC41" s="18"/>
    </row>
    <row r="42" spans="1:29" x14ac:dyDescent="0.25">
      <c r="A42" t="s">
        <v>44</v>
      </c>
      <c r="B42">
        <f>QUARTILE(I6:I15,1)-B41</f>
        <v>0.35186982104455622</v>
      </c>
      <c r="C42">
        <f>QUARTILE(J6:J15,1)-C41</f>
        <v>0.22164696379520088</v>
      </c>
      <c r="D42">
        <f>QUARTILE(K6:K15,1)-D41</f>
        <v>0.3438382727660434</v>
      </c>
      <c r="E42">
        <f>QUARTILE(L6:L15,1)-E41</f>
        <v>0.17575944164099311</v>
      </c>
      <c r="F42">
        <f>QUARTILE(M6:M15,1)-F41</f>
        <v>0.41017446508904931</v>
      </c>
    </row>
    <row r="43" spans="1:29" x14ac:dyDescent="0.25">
      <c r="A43" t="s">
        <v>45</v>
      </c>
      <c r="B43">
        <f>MEDIAN(I6:I15)-QUARTILE(I6:I15,1)</f>
        <v>4.5722473796655727E-2</v>
      </c>
      <c r="C43">
        <f>MEDIAN(J6:J15)-QUARTILE(J6:J15,1)</f>
        <v>0.40147463048555188</v>
      </c>
      <c r="D43">
        <f>MEDIAN(K6:K15)-QUARTILE(K6:K15,1)</f>
        <v>0.14118011554523502</v>
      </c>
      <c r="E43">
        <f>MEDIAN(L6:L15)-QUARTILE(L6:L15,1)</f>
        <v>0.16646374698440614</v>
      </c>
      <c r="F43">
        <f>MEDIAN(M6:M15)-QUARTILE(M6:M15,1)</f>
        <v>2.3481095849522848E-2</v>
      </c>
    </row>
    <row r="44" spans="1:29" x14ac:dyDescent="0.25">
      <c r="A44" t="s">
        <v>46</v>
      </c>
      <c r="B44">
        <f>QUARTILE(I6:I15,3)-MEDIAN(I6:I15)</f>
        <v>0.15652571630131118</v>
      </c>
      <c r="C44">
        <f>QUARTILE(J6:J15,3)-MEDIAN(J6:J15)</f>
        <v>0.16484588393476995</v>
      </c>
      <c r="D44">
        <f>QUARTILE(K6:K15,3)-MEDIAN(K6:K15)</f>
        <v>0.22095113115552145</v>
      </c>
      <c r="E44">
        <f>QUARTILE(L6:L15,3)-MEDIAN(L6:L15)</f>
        <v>9.7533027595922084E-2</v>
      </c>
      <c r="F44">
        <f>QUARTILE(M6:M15,3)-MEDIAN(M6:M15)</f>
        <v>5.0305118311395614E-2</v>
      </c>
      <c r="Q44" t="s">
        <v>228</v>
      </c>
      <c r="W44" t="s">
        <v>133</v>
      </c>
    </row>
    <row r="45" spans="1:29" x14ac:dyDescent="0.25">
      <c r="A45" t="s">
        <v>47</v>
      </c>
      <c r="B45">
        <f>MAX(I6:I15)-QUARTILE(I6:I15,3)</f>
        <v>0.25206196284136406</v>
      </c>
      <c r="C45">
        <f>MAX(J6:J15)-QUARTILE(J6:J15,3)</f>
        <v>5.7130561798734103E-2</v>
      </c>
      <c r="D45">
        <f>MAX(K6:K15)-QUARTILE(K6:K15,3)</f>
        <v>0.13912852054745706</v>
      </c>
      <c r="E45">
        <f>MAX(L6:L15)-QUARTILE(L6:L15,3)</f>
        <v>0.21666143742923372</v>
      </c>
      <c r="F45">
        <f>MAX(M6:M15)-QUARTILE(M6:M15,3)</f>
        <v>0.15286141833720657</v>
      </c>
    </row>
    <row r="46" spans="1:29" ht="15.75" thickBot="1" x14ac:dyDescent="0.3">
      <c r="Q46" s="12" t="s">
        <v>86</v>
      </c>
      <c r="R46" s="12" t="s">
        <v>78</v>
      </c>
      <c r="S46" s="12" t="s">
        <v>79</v>
      </c>
      <c r="T46" s="12" t="s">
        <v>80</v>
      </c>
      <c r="U46" s="36" t="s">
        <v>81</v>
      </c>
      <c r="W46" t="s">
        <v>52</v>
      </c>
    </row>
    <row r="47" spans="1:29" x14ac:dyDescent="0.25">
      <c r="Q47" s="111">
        <v>1.505149978319906</v>
      </c>
      <c r="R47" s="112">
        <v>1.7993405494535817</v>
      </c>
      <c r="S47" s="112">
        <v>0.77815125038364363</v>
      </c>
      <c r="T47" s="112">
        <v>1.1760912590556813</v>
      </c>
      <c r="U47" s="113">
        <v>1.7403626894942439</v>
      </c>
      <c r="W47" s="109" t="s">
        <v>61</v>
      </c>
      <c r="X47" s="109" t="s">
        <v>19</v>
      </c>
      <c r="Y47" s="109" t="s">
        <v>18</v>
      </c>
      <c r="Z47" s="109" t="s">
        <v>134</v>
      </c>
      <c r="AA47" s="109" t="s">
        <v>62</v>
      </c>
    </row>
    <row r="48" spans="1:29" x14ac:dyDescent="0.25">
      <c r="Q48" s="6">
        <v>1.1139433523068367</v>
      </c>
      <c r="R48" s="7">
        <v>1.1139433523068367</v>
      </c>
      <c r="S48" s="7">
        <v>1.2041199826559248</v>
      </c>
      <c r="T48" s="7">
        <v>1.8325089127062364</v>
      </c>
      <c r="U48" s="8">
        <v>1.7708520116421442</v>
      </c>
      <c r="W48" s="17" t="s">
        <v>86</v>
      </c>
      <c r="X48" s="17">
        <v>10</v>
      </c>
      <c r="Y48" s="17">
        <v>1.5633931804286405</v>
      </c>
      <c r="Z48" s="17">
        <v>0.15633931804286405</v>
      </c>
      <c r="AA48" s="17">
        <v>2.2752718428177721E-2</v>
      </c>
    </row>
    <row r="49" spans="16:29" x14ac:dyDescent="0.25">
      <c r="Q49" s="6">
        <v>1.2787536009528289</v>
      </c>
      <c r="R49" s="7">
        <v>1.7481880270062005</v>
      </c>
      <c r="S49" s="7">
        <v>1.4913616938342726</v>
      </c>
      <c r="T49" s="7">
        <v>1.6901960800285136</v>
      </c>
      <c r="U49" s="8">
        <v>1.3222192947339193</v>
      </c>
      <c r="W49" s="17" t="s">
        <v>78</v>
      </c>
      <c r="X49" s="17">
        <v>10</v>
      </c>
      <c r="Y49" s="17">
        <v>2.8462400429050754</v>
      </c>
      <c r="Z49" s="17">
        <v>0.28462400429050755</v>
      </c>
      <c r="AA49" s="17">
        <v>3.3765538613396928E-2</v>
      </c>
    </row>
    <row r="50" spans="16:29" x14ac:dyDescent="0.25">
      <c r="Q50" s="6">
        <v>1.1760912590556813</v>
      </c>
      <c r="R50" s="7">
        <v>1.4471580313422192</v>
      </c>
      <c r="S50" s="7">
        <v>1.6127838567197355</v>
      </c>
      <c r="T50" s="7">
        <v>1.5910646070264991</v>
      </c>
      <c r="U50" s="8">
        <v>1.9590413923210936</v>
      </c>
      <c r="W50" s="17" t="s">
        <v>79</v>
      </c>
      <c r="X50" s="17">
        <v>10</v>
      </c>
      <c r="Y50" s="17">
        <v>2.1904882665125163</v>
      </c>
      <c r="Z50" s="17">
        <v>0.21904882665125164</v>
      </c>
      <c r="AA50" s="17">
        <v>1.9540292928237682E-2</v>
      </c>
    </row>
    <row r="51" spans="16:29" x14ac:dyDescent="0.25">
      <c r="Q51" s="6">
        <v>1.0791812460476249</v>
      </c>
      <c r="R51" s="7">
        <v>1.0413926851582251</v>
      </c>
      <c r="S51" s="7">
        <v>1.1139433523068367</v>
      </c>
      <c r="T51" s="7">
        <v>1.3617278360175928</v>
      </c>
      <c r="U51" s="8">
        <v>1.4313637641589874</v>
      </c>
      <c r="W51" s="17" t="s">
        <v>80</v>
      </c>
      <c r="X51" s="17">
        <v>8</v>
      </c>
      <c r="Y51" s="17">
        <v>1.2800601486764047</v>
      </c>
      <c r="Z51" s="17">
        <v>0.16000751858455059</v>
      </c>
      <c r="AA51" s="17">
        <v>1.559582690694915E-2</v>
      </c>
    </row>
    <row r="52" spans="16:29" ht="15.75" thickBot="1" x14ac:dyDescent="0.3">
      <c r="Q52" s="6">
        <v>0.95424250943932487</v>
      </c>
      <c r="R52" s="7">
        <v>0.95424250943932487</v>
      </c>
      <c r="S52" s="7">
        <v>1.146128035678238</v>
      </c>
      <c r="T52" s="7">
        <v>1.3222192947339193</v>
      </c>
      <c r="U52" s="8">
        <v>1.8061799739838871</v>
      </c>
      <c r="W52" s="18" t="s">
        <v>81</v>
      </c>
      <c r="X52" s="18">
        <v>9</v>
      </c>
      <c r="Y52" s="18">
        <v>1.1730567298574617</v>
      </c>
      <c r="Z52" s="18">
        <v>0.13033963665082907</v>
      </c>
      <c r="AA52" s="18">
        <v>2.4604678834067337E-2</v>
      </c>
    </row>
    <row r="53" spans="16:29" x14ac:dyDescent="0.25">
      <c r="Q53" s="6">
        <v>0.69897000433601886</v>
      </c>
      <c r="R53" s="7">
        <v>1.3617278360175928</v>
      </c>
      <c r="S53" s="7">
        <v>1.3222192947339193</v>
      </c>
      <c r="T53" s="7">
        <v>1.505149978319906</v>
      </c>
      <c r="U53" s="8">
        <v>1.7323937598229686</v>
      </c>
    </row>
    <row r="54" spans="16:29" ht="15.75" thickBot="1" x14ac:dyDescent="0.3">
      <c r="Q54" s="6">
        <v>1.3424226808222062</v>
      </c>
      <c r="R54" s="7">
        <v>1.7075701760979363</v>
      </c>
      <c r="S54" s="7">
        <v>1.4623979978989561</v>
      </c>
      <c r="T54" s="7">
        <v>1.5314789170422551</v>
      </c>
      <c r="U54" s="8">
        <v>1.7558748556724915</v>
      </c>
      <c r="W54" t="s">
        <v>101</v>
      </c>
    </row>
    <row r="55" spans="16:29" x14ac:dyDescent="0.25">
      <c r="Q55" s="6">
        <v>1.0413926851582251</v>
      </c>
      <c r="R55" s="7">
        <v>1.7242758696007889</v>
      </c>
      <c r="S55" s="7">
        <v>1.0791812460476249</v>
      </c>
      <c r="T55" s="28"/>
      <c r="U55" s="114">
        <v>1.8633228601204559</v>
      </c>
      <c r="W55" s="109" t="s">
        <v>135</v>
      </c>
      <c r="X55" s="109" t="s">
        <v>88</v>
      </c>
      <c r="Y55" s="109" t="s">
        <v>51</v>
      </c>
      <c r="Z55" s="109" t="s">
        <v>92</v>
      </c>
      <c r="AA55" s="109" t="s">
        <v>82</v>
      </c>
      <c r="AB55" s="109" t="s">
        <v>74</v>
      </c>
      <c r="AC55" s="109" t="s">
        <v>136</v>
      </c>
    </row>
    <row r="56" spans="16:29" x14ac:dyDescent="0.25">
      <c r="Q56" s="50">
        <v>1.0791812460476249</v>
      </c>
      <c r="R56" s="10">
        <v>1.7853298350107671</v>
      </c>
      <c r="S56" s="10">
        <v>1.6232492903979006</v>
      </c>
      <c r="T56" s="10"/>
      <c r="U56" s="11"/>
      <c r="W56" s="17" t="s">
        <v>131</v>
      </c>
      <c r="X56" s="17">
        <v>0.14821325994609247</v>
      </c>
      <c r="Y56" s="17">
        <v>4</v>
      </c>
      <c r="Z56" s="17">
        <v>3.7053314986523117E-2</v>
      </c>
      <c r="AA56" s="17">
        <v>1.5711095158778194</v>
      </c>
      <c r="AB56" s="17">
        <v>0.19969665090150207</v>
      </c>
      <c r="AC56" s="17">
        <v>2.5942633713457632</v>
      </c>
    </row>
    <row r="57" spans="16:29" x14ac:dyDescent="0.25">
      <c r="P57" t="s">
        <v>4</v>
      </c>
      <c r="Q57">
        <v>1.126932856248628</v>
      </c>
      <c r="R57">
        <v>1.4683168871433474</v>
      </c>
      <c r="S57">
        <v>1.2833536000657051</v>
      </c>
      <c r="T57">
        <v>1.5013046106163257</v>
      </c>
      <c r="U57">
        <v>1.7090678446611325</v>
      </c>
      <c r="W57" s="17" t="s">
        <v>132</v>
      </c>
      <c r="X57" s="17">
        <v>0.99053516874949354</v>
      </c>
      <c r="Y57" s="17">
        <v>42</v>
      </c>
      <c r="Z57" s="17">
        <v>2.3584170684511751E-2</v>
      </c>
      <c r="AA57" s="17"/>
      <c r="AB57" s="17"/>
      <c r="AC57" s="17"/>
    </row>
    <row r="58" spans="16:29" x14ac:dyDescent="0.25">
      <c r="P58" t="s">
        <v>6</v>
      </c>
      <c r="Q58">
        <v>0.22110092771964845</v>
      </c>
      <c r="R58">
        <v>0.33251317956717924</v>
      </c>
      <c r="S58">
        <v>0.26907508203739272</v>
      </c>
      <c r="T58">
        <v>0.21100960029668439</v>
      </c>
      <c r="U58">
        <v>0.20310562279716773</v>
      </c>
      <c r="W58" s="17"/>
      <c r="X58" s="17"/>
      <c r="Y58" s="17"/>
      <c r="Z58" s="17"/>
      <c r="AA58" s="17"/>
      <c r="AB58" s="17"/>
      <c r="AC58" s="17"/>
    </row>
    <row r="59" spans="16:29" ht="15.75" thickBot="1" x14ac:dyDescent="0.3">
      <c r="P59" t="s">
        <v>5</v>
      </c>
      <c r="Q59">
        <v>4.8885620238489205E-2</v>
      </c>
      <c r="R59">
        <v>0.11056501458587517</v>
      </c>
      <c r="S59">
        <v>7.2401399773429631E-2</v>
      </c>
      <c r="T59">
        <v>4.4525051417366512E-2</v>
      </c>
      <c r="U59">
        <v>4.1251894011825385E-2</v>
      </c>
      <c r="W59" s="18" t="s">
        <v>1</v>
      </c>
      <c r="X59" s="18">
        <v>1.138748428695586</v>
      </c>
      <c r="Y59" s="18">
        <v>46</v>
      </c>
      <c r="Z59" s="18"/>
      <c r="AA59" s="18"/>
      <c r="AB59" s="18"/>
      <c r="AC59" s="18"/>
    </row>
    <row r="60" spans="16:29" x14ac:dyDescent="0.25">
      <c r="P60" s="28" t="s">
        <v>229</v>
      </c>
      <c r="Q60">
        <v>1.0965622991772308</v>
      </c>
      <c r="R60">
        <v>1.5773641037200776</v>
      </c>
      <c r="S60">
        <v>1.263169638694922</v>
      </c>
      <c r="T60">
        <v>1.5183144476810806</v>
      </c>
      <c r="U60">
        <v>1.7558748556724915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J28"/>
  <sheetViews>
    <sheetView zoomScaleNormal="100" workbookViewId="0"/>
  </sheetViews>
  <sheetFormatPr defaultRowHeight="15" x14ac:dyDescent="0.25"/>
  <cols>
    <col min="2" max="10" width="11.140625" customWidth="1"/>
  </cols>
  <sheetData>
    <row r="1" spans="1:7" x14ac:dyDescent="0.25">
      <c r="A1" s="1" t="s">
        <v>170</v>
      </c>
    </row>
    <row r="3" spans="1:7" x14ac:dyDescent="0.25">
      <c r="B3" s="60" t="s">
        <v>33</v>
      </c>
      <c r="C3" s="60" t="s">
        <v>34</v>
      </c>
      <c r="D3" s="60" t="s">
        <v>40</v>
      </c>
      <c r="E3" s="60" t="s">
        <v>41</v>
      </c>
    </row>
    <row r="4" spans="1:7" x14ac:dyDescent="0.25">
      <c r="B4" s="60">
        <v>51</v>
      </c>
      <c r="C4" s="60">
        <v>82</v>
      </c>
      <c r="D4" s="60">
        <v>79</v>
      </c>
      <c r="E4" s="60">
        <v>185</v>
      </c>
    </row>
    <row r="5" spans="1:7" x14ac:dyDescent="0.25">
      <c r="B5" s="37">
        <v>87</v>
      </c>
      <c r="C5" s="37">
        <v>91</v>
      </c>
      <c r="D5" s="37">
        <v>84</v>
      </c>
      <c r="E5" s="37">
        <v>80</v>
      </c>
    </row>
    <row r="6" spans="1:7" x14ac:dyDescent="0.25">
      <c r="B6" s="37">
        <v>50</v>
      </c>
      <c r="C6" s="37">
        <v>92</v>
      </c>
      <c r="D6" s="37">
        <v>74</v>
      </c>
      <c r="E6" s="37">
        <v>65</v>
      </c>
    </row>
    <row r="7" spans="1:7" x14ac:dyDescent="0.25">
      <c r="B7" s="37">
        <v>48</v>
      </c>
      <c r="C7" s="37">
        <v>80</v>
      </c>
      <c r="D7" s="37">
        <v>98</v>
      </c>
      <c r="E7" s="37">
        <v>71</v>
      </c>
    </row>
    <row r="8" spans="1:7" x14ac:dyDescent="0.25">
      <c r="B8" s="37">
        <v>79</v>
      </c>
      <c r="C8" s="37">
        <v>52</v>
      </c>
      <c r="D8" s="37">
        <v>63</v>
      </c>
      <c r="E8" s="37">
        <v>67</v>
      </c>
    </row>
    <row r="9" spans="1:7" x14ac:dyDescent="0.25">
      <c r="B9" s="37">
        <v>61</v>
      </c>
      <c r="C9" s="37">
        <v>79</v>
      </c>
      <c r="D9" s="37">
        <v>83</v>
      </c>
      <c r="E9" s="37">
        <v>51</v>
      </c>
    </row>
    <row r="10" spans="1:7" x14ac:dyDescent="0.25">
      <c r="B10" s="37">
        <v>53</v>
      </c>
      <c r="C10" s="37">
        <v>73</v>
      </c>
      <c r="D10" s="37">
        <v>85</v>
      </c>
      <c r="E10" s="37">
        <v>63</v>
      </c>
    </row>
    <row r="11" spans="1:7" x14ac:dyDescent="0.25">
      <c r="B11" s="64">
        <v>54</v>
      </c>
      <c r="C11" s="64">
        <v>74</v>
      </c>
      <c r="D11" s="64">
        <v>58</v>
      </c>
      <c r="E11" s="64">
        <v>93</v>
      </c>
      <c r="F11" t="s">
        <v>164</v>
      </c>
    </row>
    <row r="12" spans="1:7" ht="18" x14ac:dyDescent="0.35">
      <c r="A12" s="70" t="s">
        <v>139</v>
      </c>
      <c r="B12" s="52">
        <f>AVERAGE(B4:B11)</f>
        <v>60.375</v>
      </c>
      <c r="C12" s="52">
        <f>AVERAGE(C4:C11)</f>
        <v>77.875</v>
      </c>
      <c r="D12" s="52">
        <f>AVERAGE(D4:D11)</f>
        <v>78</v>
      </c>
      <c r="E12" s="52">
        <f>AVERAGE(E4:E11)</f>
        <v>84.375</v>
      </c>
      <c r="F12" s="77"/>
      <c r="G12" s="52"/>
    </row>
    <row r="13" spans="1:7" ht="18" x14ac:dyDescent="0.35">
      <c r="A13" s="70" t="s">
        <v>171</v>
      </c>
      <c r="B13" s="52">
        <f>COUNT(B4:B11)-1</f>
        <v>7</v>
      </c>
      <c r="C13" s="52">
        <f>COUNT(C4:C11)-1</f>
        <v>7</v>
      </c>
      <c r="D13" s="52">
        <f>COUNT(D4:D11)-1</f>
        <v>7</v>
      </c>
      <c r="E13" s="52">
        <f>COUNT(E4:E11)-1</f>
        <v>7</v>
      </c>
      <c r="F13" s="37">
        <f>SUM(B13:E13)</f>
        <v>28</v>
      </c>
      <c r="G13" s="52"/>
    </row>
    <row r="14" spans="1:7" ht="18.75" x14ac:dyDescent="0.35">
      <c r="A14" s="70" t="s">
        <v>158</v>
      </c>
      <c r="B14" s="64">
        <f>VAR(B4:B11)</f>
        <v>214.26785714285714</v>
      </c>
      <c r="C14" s="64">
        <f>VAR(C4:C11)</f>
        <v>157.55357142857142</v>
      </c>
      <c r="D14" s="64">
        <f>VAR(D4:D11)</f>
        <v>164.57142857142858</v>
      </c>
      <c r="E14" s="64">
        <f>VAR(E4:E11)</f>
        <v>1806.5535714285713</v>
      </c>
      <c r="F14" s="78">
        <f>SUMPRODUCT(B13:E13,B14:E14)</f>
        <v>16400.625</v>
      </c>
    </row>
    <row r="15" spans="1:7" ht="18" x14ac:dyDescent="0.35">
      <c r="A15" s="70"/>
      <c r="E15" s="12" t="s">
        <v>150</v>
      </c>
      <c r="F15">
        <f>F14/F13</f>
        <v>585.73660714285711</v>
      </c>
    </row>
    <row r="16" spans="1:7" ht="18" x14ac:dyDescent="0.35">
      <c r="A16" s="70"/>
      <c r="E16" s="69" t="s">
        <v>173</v>
      </c>
      <c r="F16" s="51">
        <f>SQRT(F15)</f>
        <v>24.201995933039431</v>
      </c>
    </row>
    <row r="18" spans="2:10" x14ac:dyDescent="0.25">
      <c r="B18" t="s">
        <v>172</v>
      </c>
      <c r="G18" t="s">
        <v>170</v>
      </c>
      <c r="I18" s="36" t="s">
        <v>42</v>
      </c>
      <c r="J18">
        <v>0.02</v>
      </c>
    </row>
    <row r="20" spans="2:10" x14ac:dyDescent="0.25">
      <c r="B20" s="60" t="s">
        <v>33</v>
      </c>
      <c r="C20" s="60" t="s">
        <v>34</v>
      </c>
      <c r="D20" s="60" t="s">
        <v>40</v>
      </c>
      <c r="E20" s="60" t="s">
        <v>41</v>
      </c>
      <c r="G20" s="60" t="s">
        <v>33</v>
      </c>
      <c r="H20" s="60" t="s">
        <v>34</v>
      </c>
      <c r="I20" s="60" t="s">
        <v>40</v>
      </c>
      <c r="J20" s="60" t="s">
        <v>41</v>
      </c>
    </row>
    <row r="21" spans="2:10" x14ac:dyDescent="0.25">
      <c r="B21" s="73">
        <f>(B4-B$12)/$F$16</f>
        <v>-0.3873647456985847</v>
      </c>
      <c r="C21" s="73">
        <f t="shared" ref="B21:E28" si="0">(C4-C$12)/$F$16</f>
        <v>0.17044048810737727</v>
      </c>
      <c r="D21" s="73">
        <f t="shared" si="0"/>
        <v>4.1318906207849032E-2</v>
      </c>
      <c r="E21" s="73">
        <f t="shared" si="0"/>
        <v>4.1577149371648092</v>
      </c>
      <c r="G21" s="74" t="str">
        <f>IF(NORMSDIST(ABS(B21))&gt;1-$J$18/2,"outlier","ok")</f>
        <v>ok</v>
      </c>
      <c r="H21" s="74" t="str">
        <f>IF(NORMSDIST(ABS(C21))&gt;1-$J$18/2,"outlier","ok")</f>
        <v>ok</v>
      </c>
      <c r="I21" s="74" t="str">
        <f>IF(NORMSDIST(ABS(D21))&gt;1-$J$18/2,"outlier","ok")</f>
        <v>ok</v>
      </c>
      <c r="J21" s="74" t="str">
        <f>IF(NORMSDIST(ABS(E21))&gt;1-$J$18/2,"outlier","ok")</f>
        <v>outlier</v>
      </c>
    </row>
    <row r="22" spans="2:10" x14ac:dyDescent="0.25">
      <c r="B22" s="23">
        <f t="shared" si="0"/>
        <v>1.1001158777839806</v>
      </c>
      <c r="C22" s="23">
        <f t="shared" si="0"/>
        <v>0.54231064397801854</v>
      </c>
      <c r="D22" s="23">
        <f t="shared" si="0"/>
        <v>0.24791343724709419</v>
      </c>
      <c r="E22" s="23">
        <f t="shared" si="0"/>
        <v>-0.18077021465933951</v>
      </c>
      <c r="G22" s="37" t="str">
        <f t="shared" ref="G22:G28" si="1">IF(NORMSDIST(ABS(B22))&gt;1-$J$18/2,"outlier","ok")</f>
        <v>ok</v>
      </c>
      <c r="H22" s="37" t="str">
        <f t="shared" ref="H22:H28" si="2">IF(NORMSDIST(ABS(C22))&gt;1-$J$18/2,"outlier","ok")</f>
        <v>ok</v>
      </c>
      <c r="I22" s="37" t="str">
        <f t="shared" ref="I22:I28" si="3">IF(NORMSDIST(ABS(D22))&gt;1-$J$18/2,"outlier","ok")</f>
        <v>ok</v>
      </c>
      <c r="J22" s="37" t="str">
        <f t="shared" ref="J22:J28" si="4">IF(NORMSDIST(ABS(E22))&gt;1-$J$18/2,"outlier","ok")</f>
        <v>ok</v>
      </c>
    </row>
    <row r="23" spans="2:10" x14ac:dyDescent="0.25">
      <c r="B23" s="23">
        <f t="shared" si="0"/>
        <v>-0.4286836519064337</v>
      </c>
      <c r="C23" s="23">
        <f t="shared" si="0"/>
        <v>0.5836295501858676</v>
      </c>
      <c r="D23" s="23">
        <f t="shared" si="0"/>
        <v>-0.16527562483139613</v>
      </c>
      <c r="E23" s="23">
        <f t="shared" si="0"/>
        <v>-0.80055380777707508</v>
      </c>
      <c r="G23" s="37" t="str">
        <f t="shared" si="1"/>
        <v>ok</v>
      </c>
      <c r="H23" s="37" t="str">
        <f t="shared" si="2"/>
        <v>ok</v>
      </c>
      <c r="I23" s="37" t="str">
        <f t="shared" si="3"/>
        <v>ok</v>
      </c>
      <c r="J23" s="37" t="str">
        <f t="shared" si="4"/>
        <v>ok</v>
      </c>
    </row>
    <row r="24" spans="2:10" x14ac:dyDescent="0.25">
      <c r="B24" s="23">
        <f t="shared" si="0"/>
        <v>-0.51132146432213177</v>
      </c>
      <c r="C24" s="23">
        <f t="shared" si="0"/>
        <v>8.7802675691679197E-2</v>
      </c>
      <c r="D24" s="23">
        <f t="shared" si="0"/>
        <v>0.82637812415698064</v>
      </c>
      <c r="E24" s="23">
        <f t="shared" si="0"/>
        <v>-0.55264037052998083</v>
      </c>
      <c r="G24" s="37" t="str">
        <f t="shared" si="1"/>
        <v>ok</v>
      </c>
      <c r="H24" s="37" t="str">
        <f t="shared" si="2"/>
        <v>ok</v>
      </c>
      <c r="I24" s="37" t="str">
        <f t="shared" si="3"/>
        <v>ok</v>
      </c>
      <c r="J24" s="37" t="str">
        <f t="shared" si="4"/>
        <v>ok</v>
      </c>
    </row>
    <row r="25" spans="2:10" x14ac:dyDescent="0.25">
      <c r="B25" s="23">
        <f t="shared" si="0"/>
        <v>0.7695646281211882</v>
      </c>
      <c r="C25" s="23">
        <f t="shared" si="0"/>
        <v>-1.0691266981280938</v>
      </c>
      <c r="D25" s="23">
        <f t="shared" si="0"/>
        <v>-0.61978359311773545</v>
      </c>
      <c r="E25" s="23">
        <f t="shared" si="0"/>
        <v>-0.71791599536137696</v>
      </c>
      <c r="G25" s="37" t="str">
        <f t="shared" si="1"/>
        <v>ok</v>
      </c>
      <c r="H25" s="37" t="str">
        <f t="shared" si="2"/>
        <v>ok</v>
      </c>
      <c r="I25" s="37" t="str">
        <f t="shared" si="3"/>
        <v>ok</v>
      </c>
      <c r="J25" s="37" t="str">
        <f t="shared" si="4"/>
        <v>ok</v>
      </c>
    </row>
    <row r="26" spans="2:10" x14ac:dyDescent="0.25">
      <c r="B26" s="23">
        <f t="shared" si="0"/>
        <v>2.5824316379905645E-2</v>
      </c>
      <c r="C26" s="23">
        <f t="shared" si="0"/>
        <v>4.6483769483830165E-2</v>
      </c>
      <c r="D26" s="23">
        <f t="shared" si="0"/>
        <v>0.20659453103924516</v>
      </c>
      <c r="E26" s="23">
        <f t="shared" si="0"/>
        <v>-1.3790184946869615</v>
      </c>
      <c r="G26" s="37" t="str">
        <f t="shared" si="1"/>
        <v>ok</v>
      </c>
      <c r="H26" s="37" t="str">
        <f t="shared" si="2"/>
        <v>ok</v>
      </c>
      <c r="I26" s="37" t="str">
        <f t="shared" si="3"/>
        <v>ok</v>
      </c>
      <c r="J26" s="37" t="str">
        <f t="shared" si="4"/>
        <v>ok</v>
      </c>
    </row>
    <row r="27" spans="2:10" x14ac:dyDescent="0.25">
      <c r="B27" s="23">
        <f t="shared" si="0"/>
        <v>-0.30472693328288664</v>
      </c>
      <c r="C27" s="23">
        <f t="shared" si="0"/>
        <v>-0.20142966776326404</v>
      </c>
      <c r="D27" s="23">
        <f t="shared" si="0"/>
        <v>0.28923234345494325</v>
      </c>
      <c r="E27" s="23">
        <f t="shared" si="0"/>
        <v>-0.88319162019277309</v>
      </c>
      <c r="G27" s="37" t="str">
        <f t="shared" si="1"/>
        <v>ok</v>
      </c>
      <c r="H27" s="37" t="str">
        <f t="shared" si="2"/>
        <v>ok</v>
      </c>
      <c r="I27" s="37" t="str">
        <f t="shared" si="3"/>
        <v>ok</v>
      </c>
      <c r="J27" s="37" t="str">
        <f t="shared" si="4"/>
        <v>ok</v>
      </c>
    </row>
    <row r="28" spans="2:10" x14ac:dyDescent="0.25">
      <c r="B28" s="69">
        <f t="shared" si="0"/>
        <v>-0.26340802707503758</v>
      </c>
      <c r="C28" s="69">
        <f t="shared" si="0"/>
        <v>-0.16011076155541501</v>
      </c>
      <c r="D28" s="69">
        <f t="shared" si="0"/>
        <v>-0.82637812415698064</v>
      </c>
      <c r="E28" s="69">
        <f t="shared" si="0"/>
        <v>0.35637556604269793</v>
      </c>
      <c r="G28" s="64" t="str">
        <f t="shared" si="1"/>
        <v>ok</v>
      </c>
      <c r="H28" s="64" t="str">
        <f t="shared" si="2"/>
        <v>ok</v>
      </c>
      <c r="I28" s="64" t="str">
        <f t="shared" si="3"/>
        <v>ok</v>
      </c>
      <c r="J28" s="64" t="str">
        <f t="shared" si="4"/>
        <v>ok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64"/>
  <sheetViews>
    <sheetView workbookViewId="0"/>
  </sheetViews>
  <sheetFormatPr defaultRowHeight="15" x14ac:dyDescent="0.25"/>
  <cols>
    <col min="1" max="1" width="6.140625" customWidth="1"/>
    <col min="2" max="4" width="7" customWidth="1"/>
    <col min="11" max="11" width="12.140625" customWidth="1"/>
    <col min="17" max="17" width="15.85546875" customWidth="1"/>
  </cols>
  <sheetData>
    <row r="1" spans="1:25" x14ac:dyDescent="0.25">
      <c r="A1" s="1" t="s">
        <v>391</v>
      </c>
    </row>
    <row r="2" spans="1:25" x14ac:dyDescent="0.25">
      <c r="F2" t="s">
        <v>468</v>
      </c>
      <c r="K2" t="s">
        <v>392</v>
      </c>
      <c r="Q2" t="s">
        <v>126</v>
      </c>
    </row>
    <row r="3" spans="1:25" x14ac:dyDescent="0.25">
      <c r="B3" s="502" t="s">
        <v>59</v>
      </c>
      <c r="C3" s="502" t="s">
        <v>60</v>
      </c>
      <c r="D3" s="502" t="s">
        <v>65</v>
      </c>
      <c r="L3" s="503" t="s">
        <v>59</v>
      </c>
      <c r="M3" s="503" t="s">
        <v>60</v>
      </c>
      <c r="N3" s="503" t="s">
        <v>65</v>
      </c>
    </row>
    <row r="4" spans="1:25" ht="15.75" thickBot="1" x14ac:dyDescent="0.3">
      <c r="B4" s="12">
        <v>81</v>
      </c>
      <c r="C4" s="12">
        <v>48</v>
      </c>
      <c r="D4" s="12">
        <v>18</v>
      </c>
      <c r="F4" s="504"/>
      <c r="G4" s="504" t="str">
        <f>B3</f>
        <v>New</v>
      </c>
      <c r="H4" s="504" t="str">
        <f t="shared" ref="H4:I4" si="0">C3</f>
        <v>Old</v>
      </c>
      <c r="I4" s="504" t="str">
        <f t="shared" si="0"/>
        <v>Control</v>
      </c>
      <c r="L4" s="487" t="e">
        <f t="shared" ref="L4:L13" ca="1" si="1">IF(ISNUMBER(B4), RANK_AVG(B4,$B$4:$D$13,1),"")</f>
        <v>#NAME?</v>
      </c>
      <c r="M4" s="252" t="e">
        <f t="shared" ref="M4:M13" ca="1" si="2">IF(ISNUMBER(C4), RANK_AVG(C4,$B$4:$D$13,1),"")</f>
        <v>#NAME?</v>
      </c>
      <c r="N4" s="488" t="e">
        <f t="shared" ref="N4:N13" ca="1" si="3">IF(ISNUMBER(D4), RANK_AVG(D4,$B$4:$D$13,1),"")</f>
        <v>#NAME?</v>
      </c>
      <c r="Q4" t="s">
        <v>127</v>
      </c>
      <c r="V4" t="s">
        <v>31</v>
      </c>
      <c r="W4">
        <v>0.05</v>
      </c>
    </row>
    <row r="5" spans="1:25" ht="15.75" thickTop="1" x14ac:dyDescent="0.25">
      <c r="B5" s="12">
        <v>32</v>
      </c>
      <c r="C5" s="12">
        <v>31</v>
      </c>
      <c r="D5" s="12">
        <v>49</v>
      </c>
      <c r="F5" t="s">
        <v>821</v>
      </c>
      <c r="G5" t="e">
        <f ca="1">SHAPIRO(B4:B13)</f>
        <v>#NAME?</v>
      </c>
      <c r="H5" t="e">
        <f ca="1">SHAPIRO(C4:C13)</f>
        <v>#NAME?</v>
      </c>
      <c r="I5" t="e">
        <f ca="1">SHAPIRO(D4:D13)</f>
        <v>#NAME?</v>
      </c>
      <c r="L5" s="180" t="e">
        <f t="shared" ca="1" si="1"/>
        <v>#NAME?</v>
      </c>
      <c r="M5" t="e">
        <f t="shared" ca="1" si="2"/>
        <v>#NAME?</v>
      </c>
      <c r="N5" s="181" t="e">
        <f t="shared" ca="1" si="3"/>
        <v>#NAME?</v>
      </c>
      <c r="Q5" s="251" t="s">
        <v>759</v>
      </c>
      <c r="R5" s="251" t="s">
        <v>19</v>
      </c>
      <c r="S5" s="251" t="s">
        <v>18</v>
      </c>
      <c r="T5" s="251" t="s">
        <v>7</v>
      </c>
      <c r="U5" s="251" t="s">
        <v>62</v>
      </c>
      <c r="V5" s="251" t="s">
        <v>88</v>
      </c>
      <c r="W5" s="251" t="s">
        <v>50</v>
      </c>
      <c r="X5" s="251" t="s">
        <v>110</v>
      </c>
      <c r="Y5" s="251" t="s">
        <v>111</v>
      </c>
    </row>
    <row r="6" spans="1:25" x14ac:dyDescent="0.25">
      <c r="B6" s="12">
        <v>42</v>
      </c>
      <c r="C6" s="12">
        <v>25</v>
      </c>
      <c r="D6" s="12">
        <v>33</v>
      </c>
      <c r="F6" t="s">
        <v>56</v>
      </c>
      <c r="G6" t="e">
        <f ca="1">SWTEST(B4:B13)</f>
        <v>#NAME?</v>
      </c>
      <c r="H6" t="e">
        <f ca="1">SWTEST(C4:C13)</f>
        <v>#NAME?</v>
      </c>
      <c r="I6" t="e">
        <f ca="1">SWTEST(D4:D13)</f>
        <v>#NAME?</v>
      </c>
      <c r="L6" s="180" t="e">
        <f t="shared" ca="1" si="1"/>
        <v>#NAME?</v>
      </c>
      <c r="M6" t="e">
        <f t="shared" ca="1" si="2"/>
        <v>#NAME?</v>
      </c>
      <c r="N6" s="181" t="e">
        <f t="shared" ca="1" si="3"/>
        <v>#NAME?</v>
      </c>
      <c r="Q6" t="str">
        <f>B3</f>
        <v>New</v>
      </c>
      <c r="R6">
        <f>COUNT(B4:B13)</f>
        <v>10</v>
      </c>
      <c r="S6">
        <f>SUM(B4:B13)</f>
        <v>473</v>
      </c>
      <c r="T6">
        <f>AVERAGE(B4:B13)</f>
        <v>47.3</v>
      </c>
      <c r="U6">
        <f>_xlfn.VAR.S(B4:B13)</f>
        <v>206.67777777777761</v>
      </c>
      <c r="V6">
        <f>DEVSQ(B4:B13)</f>
        <v>1860.1000000000001</v>
      </c>
      <c r="W6">
        <f>SQRT(T13/R6)</f>
        <v>3.9883162696389394</v>
      </c>
      <c r="X6">
        <f>T6-W6*_xlfn.T.INV.2T(W4,S13)</f>
        <v>39.068519787774534</v>
      </c>
      <c r="Y6">
        <f>T6+W6*_xlfn.T.INV.2T(W4,S13)</f>
        <v>55.53148021222546</v>
      </c>
    </row>
    <row r="7" spans="1:25" x14ac:dyDescent="0.25">
      <c r="B7" s="12">
        <v>62</v>
      </c>
      <c r="C7" s="12">
        <v>22</v>
      </c>
      <c r="D7" s="12">
        <v>19</v>
      </c>
      <c r="F7" t="s">
        <v>70</v>
      </c>
      <c r="G7">
        <v>0.05</v>
      </c>
      <c r="H7">
        <v>0.05</v>
      </c>
      <c r="I7">
        <v>0.05</v>
      </c>
      <c r="L7" s="180" t="e">
        <f t="shared" ca="1" si="1"/>
        <v>#NAME?</v>
      </c>
      <c r="M7" t="e">
        <f t="shared" ca="1" si="2"/>
        <v>#NAME?</v>
      </c>
      <c r="N7" s="181" t="e">
        <f t="shared" ca="1" si="3"/>
        <v>#NAME?</v>
      </c>
      <c r="Q7" t="str">
        <f>C3</f>
        <v>Old</v>
      </c>
      <c r="R7">
        <f>COUNT(C4:C13)</f>
        <v>9</v>
      </c>
      <c r="S7">
        <f>SUM(C4:C13)</f>
        <v>273</v>
      </c>
      <c r="T7">
        <f>AVERAGE(C4:C13)</f>
        <v>30.333333333333332</v>
      </c>
      <c r="U7">
        <f>_xlfn.VAR.S(C4:C13)</f>
        <v>92.75</v>
      </c>
      <c r="V7">
        <f>DEVSQ(C4:C13)</f>
        <v>741.99999999999989</v>
      </c>
      <c r="W7">
        <f>SQRT(T13/R7)</f>
        <v>4.204054480388435</v>
      </c>
      <c r="X7">
        <f>T7-W7*_xlfn.T.INV.2T(W4,S13)</f>
        <v>21.656591338253783</v>
      </c>
      <c r="Y7">
        <f>T7+W7*_xlfn.T.INV.2T(W4,S13)</f>
        <v>39.010075328412881</v>
      </c>
    </row>
    <row r="8" spans="1:25" x14ac:dyDescent="0.25">
      <c r="B8" s="12">
        <v>37</v>
      </c>
      <c r="C8" s="12">
        <v>30</v>
      </c>
      <c r="D8" s="12">
        <v>24</v>
      </c>
      <c r="F8" s="393" t="s">
        <v>469</v>
      </c>
      <c r="G8" s="505" t="e">
        <f ca="1">IF(G6&lt;G7,"no","yes")</f>
        <v>#NAME?</v>
      </c>
      <c r="H8" s="505" t="e">
        <f t="shared" ref="H8:I8" ca="1" si="4">IF(H6&lt;H7,"no","yes")</f>
        <v>#NAME?</v>
      </c>
      <c r="I8" s="505" t="e">
        <f t="shared" ca="1" si="4"/>
        <v>#NAME?</v>
      </c>
      <c r="L8" s="180" t="e">
        <f t="shared" ca="1" si="1"/>
        <v>#NAME?</v>
      </c>
      <c r="M8" t="e">
        <f t="shared" ca="1" si="2"/>
        <v>#NAME?</v>
      </c>
      <c r="N8" s="181" t="e">
        <f t="shared" ca="1" si="3"/>
        <v>#NAME?</v>
      </c>
      <c r="Q8" t="str">
        <f>D3</f>
        <v>Control</v>
      </c>
      <c r="R8">
        <f>COUNT(D4:D13)</f>
        <v>8</v>
      </c>
      <c r="S8">
        <f>SUM(D4:D13)</f>
        <v>230</v>
      </c>
      <c r="T8">
        <f>AVERAGE(D4:D13)</f>
        <v>28.75</v>
      </c>
      <c r="U8">
        <f>_xlfn.VAR.S(D4:D13)</f>
        <v>173.64285714285714</v>
      </c>
      <c r="V8">
        <f>DEVSQ(D4:D13)</f>
        <v>1215.5</v>
      </c>
      <c r="W8">
        <f>SQRT(T13/R8)</f>
        <v>4.4590731473405247</v>
      </c>
      <c r="X8">
        <f>T8-W8*_xlfn.T.INV.2T(W4,S13)</f>
        <v>19.54692534500974</v>
      </c>
      <c r="Y8">
        <f>T8+W8*_xlfn.T.INV.2T(W4,S13)</f>
        <v>37.95307465499026</v>
      </c>
    </row>
    <row r="9" spans="1:25" x14ac:dyDescent="0.25">
      <c r="B9" s="12">
        <v>44</v>
      </c>
      <c r="C9" s="12">
        <v>30</v>
      </c>
      <c r="D9" s="12">
        <v>17</v>
      </c>
      <c r="L9" s="180" t="e">
        <f t="shared" ca="1" si="1"/>
        <v>#NAME?</v>
      </c>
      <c r="M9" t="e">
        <f t="shared" ca="1" si="2"/>
        <v>#NAME?</v>
      </c>
      <c r="N9" s="181" t="e">
        <f t="shared" ca="1" si="3"/>
        <v>#NAME?</v>
      </c>
      <c r="Q9" s="252"/>
      <c r="R9" s="252"/>
      <c r="S9" s="252"/>
      <c r="T9" s="252"/>
      <c r="U9" s="252"/>
      <c r="V9" s="252"/>
      <c r="W9" s="252"/>
      <c r="X9" s="252"/>
      <c r="Y9" s="252"/>
    </row>
    <row r="10" spans="1:25" ht="15.75" thickBot="1" x14ac:dyDescent="0.3">
      <c r="B10" s="12">
        <v>38</v>
      </c>
      <c r="C10" s="12">
        <v>32</v>
      </c>
      <c r="D10" s="12">
        <v>48</v>
      </c>
      <c r="F10" t="s">
        <v>822</v>
      </c>
      <c r="L10" s="180" t="e">
        <f t="shared" ca="1" si="1"/>
        <v>#NAME?</v>
      </c>
      <c r="M10" t="e">
        <f t="shared" ca="1" si="2"/>
        <v>#NAME?</v>
      </c>
      <c r="N10" s="181" t="e">
        <f t="shared" ca="1" si="3"/>
        <v>#NAME?</v>
      </c>
      <c r="Q10" t="s">
        <v>101</v>
      </c>
    </row>
    <row r="11" spans="1:25" ht="15.75" thickTop="1" x14ac:dyDescent="0.25">
      <c r="B11" s="12">
        <v>47</v>
      </c>
      <c r="C11" s="12">
        <v>15</v>
      </c>
      <c r="D11" s="12">
        <v>22</v>
      </c>
      <c r="L11" s="180" t="e">
        <f t="shared" ca="1" si="1"/>
        <v>#NAME?</v>
      </c>
      <c r="M11" t="e">
        <f t="shared" ca="1" si="2"/>
        <v>#NAME?</v>
      </c>
      <c r="N11" s="181" t="e">
        <f t="shared" ca="1" si="3"/>
        <v>#NAME?</v>
      </c>
      <c r="Q11" s="251" t="s">
        <v>128</v>
      </c>
      <c r="R11" s="251" t="s">
        <v>88</v>
      </c>
      <c r="S11" s="251" t="s">
        <v>51</v>
      </c>
      <c r="T11" s="251" t="s">
        <v>92</v>
      </c>
      <c r="U11" s="251" t="s">
        <v>82</v>
      </c>
      <c r="V11" s="251" t="s">
        <v>129</v>
      </c>
      <c r="W11" s="251" t="s">
        <v>878</v>
      </c>
      <c r="X11" s="251" t="s">
        <v>383</v>
      </c>
      <c r="Y11" s="251" t="s">
        <v>384</v>
      </c>
    </row>
    <row r="12" spans="1:25" x14ac:dyDescent="0.25">
      <c r="B12" s="12">
        <v>49</v>
      </c>
      <c r="C12" s="12">
        <v>40</v>
      </c>
      <c r="D12" s="12"/>
      <c r="F12" s="252" t="s">
        <v>823</v>
      </c>
      <c r="G12" s="252" t="e">
        <f ca="1">DAGOSTINO(B4:B13)</f>
        <v>#NAME?</v>
      </c>
      <c r="H12" s="252" t="e">
        <f ca="1">DAGOSTINO(C4:C13)</f>
        <v>#NAME?</v>
      </c>
      <c r="I12" s="252" t="e">
        <f ca="1">DAGOSTINO(D4:D13)</f>
        <v>#NAME?</v>
      </c>
      <c r="L12" s="180" t="e">
        <f t="shared" ca="1" si="1"/>
        <v>#NAME?</v>
      </c>
      <c r="M12" t="e">
        <f t="shared" ca="1" si="2"/>
        <v>#NAME?</v>
      </c>
      <c r="N12" s="181" t="str">
        <f t="shared" si="3"/>
        <v/>
      </c>
      <c r="Q12" t="s">
        <v>131</v>
      </c>
      <c r="R12">
        <f>R14-R13</f>
        <v>1985.8074074074079</v>
      </c>
      <c r="S12">
        <f>COUNTA(Q6:Q8)-1</f>
        <v>2</v>
      </c>
      <c r="T12">
        <f>R12/S12</f>
        <v>992.90370370370397</v>
      </c>
      <c r="U12">
        <f>T12/T13</f>
        <v>6.2420601657818775</v>
      </c>
      <c r="V12">
        <f>_xlfn.F.DIST.RT(U12,S12,S13)</f>
        <v>6.5658105468237027E-3</v>
      </c>
      <c r="W12">
        <f>R12/R14</f>
        <v>0.34217956245373093</v>
      </c>
      <c r="X12">
        <f>SQRT(DEVSQ(T6:T8)/(T13*S12))</f>
        <v>0.81534760984293975</v>
      </c>
      <c r="Y12">
        <f>(R14-S14*T13)/(R14+T13)</f>
        <v>0.27969498120342789</v>
      </c>
    </row>
    <row r="13" spans="1:25" x14ac:dyDescent="0.25">
      <c r="B13" s="505">
        <v>41</v>
      </c>
      <c r="C13" s="505"/>
      <c r="D13" s="505"/>
      <c r="F13" t="s">
        <v>56</v>
      </c>
      <c r="G13" t="e">
        <f ca="1">DPTEST(B4:B13)</f>
        <v>#NAME?</v>
      </c>
      <c r="H13" t="e">
        <f ca="1">DPTEST(C4:C13)</f>
        <v>#NAME?</v>
      </c>
      <c r="I13" t="e">
        <f ca="1">DPTEST(D4:D13)</f>
        <v>#NAME?</v>
      </c>
      <c r="L13" s="479" t="e">
        <f t="shared" ca="1" si="1"/>
        <v>#NAME?</v>
      </c>
      <c r="M13" s="393" t="str">
        <f t="shared" si="2"/>
        <v/>
      </c>
      <c r="N13" s="506" t="str">
        <f t="shared" si="3"/>
        <v/>
      </c>
      <c r="Q13" t="s">
        <v>132</v>
      </c>
      <c r="R13">
        <f>SUM(V6:V8)</f>
        <v>3817.6</v>
      </c>
      <c r="S13">
        <f>S14-S12</f>
        <v>24</v>
      </c>
      <c r="T13">
        <f>R13/S13</f>
        <v>159.06666666666666</v>
      </c>
    </row>
    <row r="14" spans="1:25" x14ac:dyDescent="0.25">
      <c r="A14" t="s">
        <v>4</v>
      </c>
      <c r="B14">
        <f>AVERAGE(B4:B13)</f>
        <v>47.3</v>
      </c>
      <c r="C14">
        <f>AVERAGE(C4:C13)</f>
        <v>30.333333333333332</v>
      </c>
      <c r="D14">
        <f>AVERAGE(D4:D13)</f>
        <v>28.75</v>
      </c>
      <c r="F14" t="s">
        <v>70</v>
      </c>
      <c r="G14">
        <v>0.05</v>
      </c>
      <c r="H14">
        <v>0.05</v>
      </c>
      <c r="I14">
        <v>0.05</v>
      </c>
      <c r="K14" t="s">
        <v>393</v>
      </c>
      <c r="L14" s="487" t="e">
        <f ca="1">SUM(L4:L13)</f>
        <v>#NAME?</v>
      </c>
      <c r="M14" s="252" t="e">
        <f ca="1">SUM(M4:M13)</f>
        <v>#NAME?</v>
      </c>
      <c r="N14" s="488" t="e">
        <f ca="1">SUM(N4:N13)</f>
        <v>#NAME?</v>
      </c>
      <c r="Q14" s="393" t="s">
        <v>1</v>
      </c>
      <c r="R14" s="393">
        <f>DEVSQ(B4:D13)</f>
        <v>5803.4074074074078</v>
      </c>
      <c r="S14" s="393">
        <f>COUNT(B4:D13)-1</f>
        <v>26</v>
      </c>
      <c r="T14" s="393">
        <f>R14/S14</f>
        <v>223.20797720797722</v>
      </c>
      <c r="U14" s="393"/>
      <c r="V14" s="393"/>
      <c r="W14" s="393"/>
      <c r="X14" s="393"/>
      <c r="Y14" s="393"/>
    </row>
    <row r="15" spans="1:25" x14ac:dyDescent="0.25">
      <c r="A15" t="s">
        <v>5</v>
      </c>
      <c r="B15">
        <f>VAR(B4:B13)</f>
        <v>206.67777777777761</v>
      </c>
      <c r="C15">
        <f>VAR(C4:C13)</f>
        <v>92.75</v>
      </c>
      <c r="D15">
        <f>VAR(D4:D13)</f>
        <v>173.64285714285714</v>
      </c>
      <c r="F15" s="393" t="s">
        <v>469</v>
      </c>
      <c r="G15" s="505" t="e">
        <f ca="1">IF(G13&lt;G14,"no","yes")</f>
        <v>#NAME?</v>
      </c>
      <c r="H15" s="505" t="e">
        <f t="shared" ref="H15:I15" ca="1" si="5">IF(H13&lt;H14,"no","yes")</f>
        <v>#NAME?</v>
      </c>
      <c r="I15" s="505" t="e">
        <f t="shared" ca="1" si="5"/>
        <v>#NAME?</v>
      </c>
      <c r="K15" t="s">
        <v>394</v>
      </c>
      <c r="L15" s="180">
        <f ca="1">COUNT(L4:L13)</f>
        <v>0</v>
      </c>
      <c r="M15">
        <f ca="1">COUNT(M4:M13)</f>
        <v>0</v>
      </c>
      <c r="N15" s="181">
        <f ca="1">COUNT(N4:N13)</f>
        <v>0</v>
      </c>
      <c r="O15" s="444">
        <f ca="1">SUM(L15:N15)</f>
        <v>0</v>
      </c>
    </row>
    <row r="16" spans="1:25" ht="17.25" x14ac:dyDescent="0.25">
      <c r="K16" s="27" t="s">
        <v>395</v>
      </c>
      <c r="L16" s="479" t="e">
        <f ca="1">L14^2/L15</f>
        <v>#NAME?</v>
      </c>
      <c r="M16" s="393" t="e">
        <f ca="1">M14^2/M15</f>
        <v>#NAME?</v>
      </c>
      <c r="N16" s="506" t="e">
        <f ca="1">N14^2/N15</f>
        <v>#NAME?</v>
      </c>
      <c r="O16" s="175" t="e">
        <f ca="1">SUM(L16:N16)</f>
        <v>#NAME?</v>
      </c>
      <c r="Q16" t="s">
        <v>133</v>
      </c>
    </row>
    <row r="17" spans="1:23" x14ac:dyDescent="0.25">
      <c r="K17" s="27" t="s">
        <v>396</v>
      </c>
      <c r="O17" s="179" t="e">
        <f ca="1">12*O16/(O15*(O15+1))-3*(O15+1)</f>
        <v>#NAME?</v>
      </c>
    </row>
    <row r="18" spans="1:23" ht="15.75" thickBot="1" x14ac:dyDescent="0.3">
      <c r="K18" s="27" t="s">
        <v>51</v>
      </c>
      <c r="O18" s="179">
        <f>COUNTA(L3:N3)-1</f>
        <v>2</v>
      </c>
      <c r="Q18" t="s">
        <v>52</v>
      </c>
    </row>
    <row r="19" spans="1:23" x14ac:dyDescent="0.25">
      <c r="K19" s="27" t="s">
        <v>68</v>
      </c>
      <c r="O19" s="179" t="e">
        <f ca="1">CHIDIST(O17,O18)</f>
        <v>#NAME?</v>
      </c>
      <c r="Q19" s="102" t="s">
        <v>61</v>
      </c>
      <c r="R19" s="102" t="s">
        <v>19</v>
      </c>
      <c r="S19" s="102" t="s">
        <v>18</v>
      </c>
      <c r="T19" s="102" t="s">
        <v>134</v>
      </c>
      <c r="U19" s="102" t="s">
        <v>62</v>
      </c>
    </row>
    <row r="20" spans="1:23" x14ac:dyDescent="0.25">
      <c r="K20" s="27" t="s">
        <v>42</v>
      </c>
      <c r="O20" s="179">
        <v>0.05</v>
      </c>
      <c r="Q20" t="s">
        <v>59</v>
      </c>
      <c r="R20">
        <v>10</v>
      </c>
      <c r="S20">
        <v>473</v>
      </c>
      <c r="T20">
        <v>47.3</v>
      </c>
      <c r="U20">
        <v>206.67777777777761</v>
      </c>
    </row>
    <row r="21" spans="1:23" x14ac:dyDescent="0.25">
      <c r="K21" s="27" t="s">
        <v>188</v>
      </c>
      <c r="O21" s="173" t="e">
        <f ca="1">IF(O19&lt;O20,"yes","no")</f>
        <v>#NAME?</v>
      </c>
      <c r="Q21" t="s">
        <v>60</v>
      </c>
      <c r="R21">
        <v>9</v>
      </c>
      <c r="S21">
        <v>273</v>
      </c>
      <c r="T21">
        <v>30.333333333333332</v>
      </c>
      <c r="U21">
        <v>92.75</v>
      </c>
    </row>
    <row r="22" spans="1:23" ht="15.75" thickBot="1" x14ac:dyDescent="0.3">
      <c r="Q22" s="20" t="s">
        <v>65</v>
      </c>
      <c r="R22" s="20">
        <v>8</v>
      </c>
      <c r="S22" s="20">
        <v>230</v>
      </c>
      <c r="T22" s="20">
        <v>28.75</v>
      </c>
      <c r="U22" s="20">
        <v>173.64285714285714</v>
      </c>
    </row>
    <row r="23" spans="1:23" x14ac:dyDescent="0.25">
      <c r="F23" t="s">
        <v>824</v>
      </c>
      <c r="G23" s="375">
        <v>2.2000000000000002</v>
      </c>
    </row>
    <row r="24" spans="1:23" x14ac:dyDescent="0.25">
      <c r="K24" t="s">
        <v>474</v>
      </c>
    </row>
    <row r="25" spans="1:23" ht="15.75" thickBot="1" x14ac:dyDescent="0.3">
      <c r="A25" s="1" t="s">
        <v>721</v>
      </c>
      <c r="G25" s="103" t="str">
        <f>B3</f>
        <v>New</v>
      </c>
      <c r="H25" s="103" t="str">
        <f t="shared" ref="H25:I25" si="6">C3</f>
        <v>Old</v>
      </c>
      <c r="I25" s="103" t="str">
        <f t="shared" si="6"/>
        <v>Control</v>
      </c>
      <c r="Q25" t="s">
        <v>101</v>
      </c>
    </row>
    <row r="26" spans="1:23" x14ac:dyDescent="0.25">
      <c r="F26" t="s">
        <v>43</v>
      </c>
      <c r="G26" s="380">
        <f>G33-$G40</f>
        <v>32</v>
      </c>
      <c r="H26" s="381">
        <f t="shared" ref="H26:I26" si="7">H33-$G40</f>
        <v>15</v>
      </c>
      <c r="I26" s="382">
        <f t="shared" si="7"/>
        <v>17</v>
      </c>
      <c r="L26" t="str">
        <f>B3</f>
        <v>New</v>
      </c>
      <c r="M26" t="str">
        <f t="shared" ref="M26:N26" si="8">C3</f>
        <v>Old</v>
      </c>
      <c r="N26" t="str">
        <f t="shared" si="8"/>
        <v>Control</v>
      </c>
      <c r="Q26" s="102" t="s">
        <v>135</v>
      </c>
      <c r="R26" s="102" t="s">
        <v>88</v>
      </c>
      <c r="S26" s="102" t="s">
        <v>51</v>
      </c>
      <c r="T26" s="102" t="s">
        <v>92</v>
      </c>
      <c r="U26" s="102" t="s">
        <v>82</v>
      </c>
      <c r="V26" s="102" t="s">
        <v>74</v>
      </c>
      <c r="W26" s="102" t="s">
        <v>136</v>
      </c>
    </row>
    <row r="27" spans="1:23" x14ac:dyDescent="0.25">
      <c r="B27" s="12" t="s">
        <v>28</v>
      </c>
      <c r="C27" s="12" t="s">
        <v>339</v>
      </c>
      <c r="D27" s="12" t="s">
        <v>397</v>
      </c>
      <c r="F27" t="s">
        <v>44</v>
      </c>
      <c r="G27" s="178">
        <f>MAX(G34-G33,0)</f>
        <v>6.75</v>
      </c>
      <c r="H27">
        <f t="shared" ref="H27:I27" si="9">MAX(H34-H33,0)</f>
        <v>10</v>
      </c>
      <c r="I27" s="40">
        <f t="shared" si="9"/>
        <v>1.75</v>
      </c>
      <c r="K27" t="s">
        <v>229</v>
      </c>
      <c r="L27" s="380">
        <f>MEDIAN(B4:B13)</f>
        <v>43</v>
      </c>
      <c r="M27" s="381">
        <f t="shared" ref="M27:N27" si="10">MEDIAN(C4:C13)</f>
        <v>30</v>
      </c>
      <c r="N27" s="382">
        <f t="shared" si="10"/>
        <v>23</v>
      </c>
      <c r="Q27" t="s">
        <v>131</v>
      </c>
      <c r="R27">
        <v>1985.8074074074079</v>
      </c>
      <c r="S27">
        <v>2</v>
      </c>
      <c r="T27">
        <v>992.90370370370397</v>
      </c>
      <c r="U27">
        <v>6.2420601657818775</v>
      </c>
      <c r="V27">
        <v>6.5658105468237027E-3</v>
      </c>
      <c r="W27">
        <v>3.4028261053501945</v>
      </c>
    </row>
    <row r="28" spans="1:23" x14ac:dyDescent="0.25">
      <c r="A28" t="s">
        <v>59</v>
      </c>
      <c r="B28" s="487" t="e">
        <f t="shared" ref="B28:C30" ca="1" si="11">M6</f>
        <v>#NAME?</v>
      </c>
      <c r="C28" s="252" t="e">
        <f t="shared" ca="1" si="11"/>
        <v>#NAME?</v>
      </c>
      <c r="D28" s="488" t="e">
        <f ca="1">C28/B28</f>
        <v>#NAME?</v>
      </c>
      <c r="F28" t="s">
        <v>45</v>
      </c>
      <c r="G28" s="178">
        <f t="shared" ref="G28:I30" si="12">MAX(G35-G34,0)</f>
        <v>4.25</v>
      </c>
      <c r="H28">
        <f t="shared" si="12"/>
        <v>5</v>
      </c>
      <c r="I28" s="40">
        <f t="shared" si="12"/>
        <v>4.25</v>
      </c>
      <c r="K28" t="s">
        <v>378</v>
      </c>
      <c r="L28" s="178" t="e">
        <f ca="1">RANK_SUM(B4:D13, 1,1)</f>
        <v>#NAME?</v>
      </c>
      <c r="M28" t="e">
        <f ca="1">RANK_SUM(B4:D13, 2,1)</f>
        <v>#NAME?</v>
      </c>
      <c r="N28" s="40" t="e">
        <f ca="1">RANK_SUM(B4:D13, 3,1)</f>
        <v>#NAME?</v>
      </c>
      <c r="Q28" t="s">
        <v>132</v>
      </c>
      <c r="R28">
        <v>3817.6</v>
      </c>
      <c r="S28">
        <v>24</v>
      </c>
      <c r="T28">
        <v>159.06666666666666</v>
      </c>
    </row>
    <row r="29" spans="1:23" x14ac:dyDescent="0.25">
      <c r="A29" t="s">
        <v>60</v>
      </c>
      <c r="B29" s="180" t="e">
        <f t="shared" ca="1" si="11"/>
        <v>#NAME?</v>
      </c>
      <c r="C29" t="e">
        <f t="shared" ca="1" si="11"/>
        <v>#NAME?</v>
      </c>
      <c r="D29" s="181" t="e">
        <f ca="1">C29/B29</f>
        <v>#NAME?</v>
      </c>
      <c r="F29" t="s">
        <v>46</v>
      </c>
      <c r="G29" s="178">
        <f t="shared" si="12"/>
        <v>5.5</v>
      </c>
      <c r="H29">
        <f t="shared" si="12"/>
        <v>2</v>
      </c>
      <c r="I29" s="40">
        <f t="shared" si="12"/>
        <v>13.75</v>
      </c>
      <c r="K29" t="s">
        <v>87</v>
      </c>
      <c r="L29" s="178">
        <f>COUNT(B4:B13)</f>
        <v>10</v>
      </c>
      <c r="M29">
        <f t="shared" ref="M29:N29" si="13">COUNT(C4:C13)</f>
        <v>9</v>
      </c>
      <c r="N29" s="40">
        <f t="shared" si="13"/>
        <v>8</v>
      </c>
      <c r="O29" s="344">
        <f>SUM(L29:N29)</f>
        <v>27</v>
      </c>
    </row>
    <row r="30" spans="1:23" ht="15.75" thickBot="1" x14ac:dyDescent="0.3">
      <c r="A30" t="s">
        <v>65</v>
      </c>
      <c r="B30" s="479" t="e">
        <f t="shared" ca="1" si="11"/>
        <v>#NAME?</v>
      </c>
      <c r="C30" s="393" t="e">
        <f t="shared" ca="1" si="11"/>
        <v>#NAME?</v>
      </c>
      <c r="D30" s="506" t="e">
        <f ca="1">C30/B30</f>
        <v>#NAME?</v>
      </c>
      <c r="F30" t="s">
        <v>47</v>
      </c>
      <c r="G30" s="178">
        <f t="shared" si="12"/>
        <v>13.5</v>
      </c>
      <c r="H30">
        <f t="shared" si="12"/>
        <v>8</v>
      </c>
      <c r="I30" s="40">
        <f t="shared" si="12"/>
        <v>12.25</v>
      </c>
      <c r="K30" t="s">
        <v>623</v>
      </c>
      <c r="L30" s="460" t="e">
        <f ca="1">L28^2/L29</f>
        <v>#NAME?</v>
      </c>
      <c r="M30" s="461" t="e">
        <f t="shared" ref="M30:N30" ca="1" si="14">M28^2/M29</f>
        <v>#NAME?</v>
      </c>
      <c r="N30" s="462" t="e">
        <f t="shared" ca="1" si="14"/>
        <v>#NAME?</v>
      </c>
      <c r="O30" s="206" t="e">
        <f ca="1">SUM(L30:N30)</f>
        <v>#NAME?</v>
      </c>
      <c r="Q30" s="20" t="s">
        <v>1</v>
      </c>
      <c r="R30" s="20">
        <v>5803.4074074074078</v>
      </c>
      <c r="S30" s="20">
        <v>26</v>
      </c>
      <c r="T30" s="20"/>
      <c r="U30" s="20"/>
      <c r="V30" s="20"/>
      <c r="W30" s="20"/>
    </row>
    <row r="31" spans="1:23" x14ac:dyDescent="0.25">
      <c r="F31" t="s">
        <v>7</v>
      </c>
      <c r="G31" s="460">
        <f>G38-$G40</f>
        <v>47.3</v>
      </c>
      <c r="H31" s="461">
        <f t="shared" ref="H31:I31" si="15">H38-$G40</f>
        <v>30.333333333333332</v>
      </c>
      <c r="I31" s="462">
        <f t="shared" si="15"/>
        <v>28.75</v>
      </c>
      <c r="K31" t="s">
        <v>575</v>
      </c>
      <c r="O31" s="206" t="e">
        <f ca="1">12*O30/(O29*(O29+1))-3*(O29+1)</f>
        <v>#NAME?</v>
      </c>
    </row>
    <row r="32" spans="1:23" x14ac:dyDescent="0.25">
      <c r="A32" t="s">
        <v>28</v>
      </c>
      <c r="B32" s="444" t="e">
        <f ca="1">SUM(B28:B30)</f>
        <v>#NAME?</v>
      </c>
      <c r="K32" t="s">
        <v>626</v>
      </c>
      <c r="O32" s="206" t="e">
        <f ca="1">O31/(1-TiesCorrection(B4:D13)/(27*(27^2-1)))</f>
        <v>#NAME?</v>
      </c>
      <c r="Q32" t="s">
        <v>126</v>
      </c>
    </row>
    <row r="33" spans="1:25" x14ac:dyDescent="0.25">
      <c r="A33" t="s">
        <v>48</v>
      </c>
      <c r="B33" s="179">
        <f>COUNTA(B3:D3)</f>
        <v>3</v>
      </c>
      <c r="F33" t="s">
        <v>43</v>
      </c>
      <c r="G33" s="380">
        <f t="array" ref="G33">MIN(IF(ISBLANK(B4:B13),"",IF(B4:B13&gt;=G34-$G23*(G36-G34),B4:B13,"")))</f>
        <v>32</v>
      </c>
      <c r="H33" s="381">
        <f t="array" ref="H33">MIN(IF(ISBLANK(C4:C13),"",IF(C4:C13&gt;=H34-$G23*(H36-H34),C4:C13,"")))</f>
        <v>15</v>
      </c>
      <c r="I33" s="382">
        <f t="array" ref="I33">MIN(IF(ISBLANK(D4:D13),"",IF(D4:D13&gt;=I34-$G23*(I36-I34),D4:D13,"")))</f>
        <v>17</v>
      </c>
      <c r="K33" t="s">
        <v>51</v>
      </c>
      <c r="O33" s="206">
        <f>COUNTA(L26:N26)-1</f>
        <v>2</v>
      </c>
    </row>
    <row r="34" spans="1:25" ht="15.75" thickBot="1" x14ac:dyDescent="0.3">
      <c r="A34" t="s">
        <v>42</v>
      </c>
      <c r="B34" s="179">
        <v>0.05</v>
      </c>
      <c r="F34" t="s">
        <v>825</v>
      </c>
      <c r="G34" s="178">
        <f>_xlfn.QUARTILE.INC(B4:B13,1)</f>
        <v>38.75</v>
      </c>
      <c r="H34">
        <f t="shared" ref="H34:I34" si="16">_xlfn.QUARTILE.INC(C4:C13,1)</f>
        <v>25</v>
      </c>
      <c r="I34" s="40">
        <f t="shared" si="16"/>
        <v>18.75</v>
      </c>
      <c r="K34" t="s">
        <v>56</v>
      </c>
      <c r="O34" s="206" t="e">
        <f ca="1">_xlfn.CHISQ.DIST.RT(O32,O33)</f>
        <v>#NAME?</v>
      </c>
      <c r="Q34" t="s">
        <v>127</v>
      </c>
      <c r="V34" t="s">
        <v>31</v>
      </c>
      <c r="W34">
        <v>0.05</v>
      </c>
    </row>
    <row r="35" spans="1:25" ht="18.75" thickTop="1" x14ac:dyDescent="0.35">
      <c r="A35" t="s">
        <v>398</v>
      </c>
      <c r="B35" s="175">
        <f>CHIINV(B34,B33-1)</f>
        <v>5.9914645471079817</v>
      </c>
      <c r="F35" t="s">
        <v>9</v>
      </c>
      <c r="G35" s="178">
        <f>MEDIAN(B4:B13)</f>
        <v>43</v>
      </c>
      <c r="H35">
        <f t="shared" ref="H35:I35" si="17">MEDIAN(C4:C13)</f>
        <v>30</v>
      </c>
      <c r="I35" s="40">
        <f t="shared" si="17"/>
        <v>23</v>
      </c>
      <c r="K35" t="s">
        <v>70</v>
      </c>
      <c r="O35" s="206">
        <v>0.05</v>
      </c>
      <c r="Q35" s="251" t="s">
        <v>759</v>
      </c>
      <c r="R35" s="251" t="s">
        <v>19</v>
      </c>
      <c r="S35" s="251" t="s">
        <v>18</v>
      </c>
      <c r="T35" s="251" t="s">
        <v>7</v>
      </c>
      <c r="U35" s="251" t="s">
        <v>62</v>
      </c>
      <c r="V35" s="251" t="s">
        <v>88</v>
      </c>
      <c r="W35" s="251" t="s">
        <v>50</v>
      </c>
      <c r="X35" s="251" t="s">
        <v>110</v>
      </c>
      <c r="Y35" s="251" t="s">
        <v>111</v>
      </c>
    </row>
    <row r="36" spans="1:25" x14ac:dyDescent="0.25">
      <c r="F36" t="s">
        <v>826</v>
      </c>
      <c r="G36" s="178">
        <f>_xlfn.QUARTILE.INC(B4:B13,3)</f>
        <v>48.5</v>
      </c>
      <c r="H36">
        <f t="shared" ref="H36:I36" si="18">_xlfn.QUARTILE.INC(C4:C13,3)</f>
        <v>32</v>
      </c>
      <c r="I36" s="40">
        <f t="shared" si="18"/>
        <v>36.75</v>
      </c>
      <c r="K36" t="s">
        <v>188</v>
      </c>
      <c r="O36" s="507" t="e">
        <f ca="1">IF(O34&lt;O35,"yes","no")</f>
        <v>#NAME?</v>
      </c>
      <c r="Q36" t="str">
        <f>L3</f>
        <v>New</v>
      </c>
      <c r="R36">
        <f ca="1">COUNT(L4:L13)</f>
        <v>0</v>
      </c>
      <c r="S36" t="e">
        <f ca="1">SUM(L4:L13)</f>
        <v>#NAME?</v>
      </c>
      <c r="T36" t="e">
        <f ca="1">AVERAGE(L4:L13)</f>
        <v>#NAME?</v>
      </c>
      <c r="U36" t="e">
        <f ca="1">_xlfn.VAR.S(L4:L13)</f>
        <v>#NAME?</v>
      </c>
      <c r="V36" t="e">
        <f ca="1">DEVSQ(L4:L13)</f>
        <v>#NAME?</v>
      </c>
      <c r="W36" t="e">
        <f ca="1">SQRT(T43/R36)</f>
        <v>#NAME?</v>
      </c>
      <c r="X36" t="e">
        <f ca="1">T36-W36*_xlfn.T.INV.2T(W34,S43)</f>
        <v>#NAME?</v>
      </c>
      <c r="Y36" t="e">
        <f ca="1">T36+W36*_xlfn.T.INV.2T(W34,S43)</f>
        <v>#NAME?</v>
      </c>
    </row>
    <row r="37" spans="1:25" x14ac:dyDescent="0.25">
      <c r="B37" s="12" t="s">
        <v>399</v>
      </c>
      <c r="C37" s="12" t="s">
        <v>381</v>
      </c>
      <c r="D37" s="12" t="s">
        <v>188</v>
      </c>
      <c r="F37" t="s">
        <v>827</v>
      </c>
      <c r="G37" s="178">
        <f t="array" ref="G37">MAX(IF(ISBLANK(B4:B13),"",IF(B4:B13&lt;=G36+$G23*(G36-G34),B4:B13,"")))</f>
        <v>62</v>
      </c>
      <c r="H37">
        <f t="array" ref="H37">MAX(IF(ISBLANK(C4:C13),"",IF(C4:C13&lt;=H36+$G23*(H36-H34),C4:C13,"")))</f>
        <v>40</v>
      </c>
      <c r="I37" s="40">
        <f t="array" ref="I37">MAX(IF(ISBLANK(D4:D13),"",IF(D4:D13&lt;=I36+$G23*(I36-I34),D4:D13,"")))</f>
        <v>49</v>
      </c>
      <c r="Q37" t="str">
        <f>M3</f>
        <v>Old</v>
      </c>
      <c r="R37">
        <f ca="1">COUNT(M4:M13)</f>
        <v>0</v>
      </c>
      <c r="S37" t="e">
        <f ca="1">SUM(M4:M13)</f>
        <v>#NAME?</v>
      </c>
      <c r="T37" t="e">
        <f ca="1">AVERAGE(M4:M13)</f>
        <v>#NAME?</v>
      </c>
      <c r="U37" t="e">
        <f ca="1">_xlfn.VAR.S(M4:M13)</f>
        <v>#NAME?</v>
      </c>
      <c r="V37" t="e">
        <f ca="1">DEVSQ(M4:M13)</f>
        <v>#NAME?</v>
      </c>
      <c r="W37" t="e">
        <f ca="1">SQRT(T43/R37)</f>
        <v>#NAME?</v>
      </c>
      <c r="X37" t="e">
        <f ca="1">T37-W37*_xlfn.T.INV.2T(W34,S43)</f>
        <v>#NAME?</v>
      </c>
      <c r="Y37" t="e">
        <f ca="1">T37+W37*_xlfn.T.INV.2T(W34,S43)</f>
        <v>#NAME?</v>
      </c>
    </row>
    <row r="38" spans="1:25" x14ac:dyDescent="0.25">
      <c r="A38" t="s">
        <v>400</v>
      </c>
      <c r="B38" s="487" t="e">
        <f ca="1">ABS(D28-D29)</f>
        <v>#NAME?</v>
      </c>
      <c r="C38" s="252" t="e">
        <f ca="1">SQRT(B35*B32*(B32+1)/12*(1/B28+1/B29))</f>
        <v>#NAME?</v>
      </c>
      <c r="D38" s="508" t="e">
        <f ca="1">IF(B38&gt;C38,"yes","no")</f>
        <v>#NAME?</v>
      </c>
      <c r="F38" t="s">
        <v>7</v>
      </c>
      <c r="G38" s="460">
        <f>AVERAGE(B4:B13)</f>
        <v>47.3</v>
      </c>
      <c r="H38" s="461">
        <f t="shared" ref="H38:I38" si="19">AVERAGE(C4:C13)</f>
        <v>30.333333333333332</v>
      </c>
      <c r="I38" s="462">
        <f t="shared" si="19"/>
        <v>28.75</v>
      </c>
      <c r="Q38" t="str">
        <f>N3</f>
        <v>Control</v>
      </c>
      <c r="R38">
        <f ca="1">COUNT(N4:N13)</f>
        <v>0</v>
      </c>
      <c r="S38" t="e">
        <f ca="1">SUM(N4:N13)</f>
        <v>#NAME?</v>
      </c>
      <c r="T38" t="e">
        <f ca="1">AVERAGE(N4:N13)</f>
        <v>#NAME?</v>
      </c>
      <c r="U38" t="e">
        <f ca="1">_xlfn.VAR.S(N4:N13)</f>
        <v>#NAME?</v>
      </c>
      <c r="V38" t="e">
        <f ca="1">DEVSQ(N4:N13)</f>
        <v>#NAME?</v>
      </c>
      <c r="W38" t="e">
        <f ca="1">SQRT(T43/R38)</f>
        <v>#NAME?</v>
      </c>
      <c r="X38" t="e">
        <f ca="1">T38-W38*_xlfn.T.INV.2T(W34,S43)</f>
        <v>#NAME?</v>
      </c>
      <c r="Y38" t="e">
        <f ca="1">T38+W38*_xlfn.T.INV.2T(W34,S43)</f>
        <v>#NAME?</v>
      </c>
    </row>
    <row r="39" spans="1:25" x14ac:dyDescent="0.25">
      <c r="A39" t="s">
        <v>401</v>
      </c>
      <c r="B39" s="180" t="e">
        <f ca="1">ABS(D28-D30)</f>
        <v>#NAME?</v>
      </c>
      <c r="C39" t="e">
        <f ca="1">SQRT(B35*B32*(B32+1)/12*(1/B28+1/B30))</f>
        <v>#NAME?</v>
      </c>
      <c r="D39" s="190" t="e">
        <f ca="1">IF(B39&gt;C39,"yes","no")</f>
        <v>#NAME?</v>
      </c>
      <c r="Q39" s="252"/>
      <c r="R39" s="252"/>
      <c r="S39" s="252"/>
      <c r="T39" s="252"/>
      <c r="U39" s="252"/>
      <c r="V39" s="252"/>
      <c r="W39" s="252"/>
      <c r="X39" s="252"/>
      <c r="Y39" s="252"/>
    </row>
    <row r="40" spans="1:25" ht="15.75" thickBot="1" x14ac:dyDescent="0.3">
      <c r="A40" t="s">
        <v>402</v>
      </c>
      <c r="B40" s="479" t="e">
        <f ca="1">ABS(D29-D30)</f>
        <v>#NAME?</v>
      </c>
      <c r="C40" s="393" t="e">
        <f ca="1">SQRT(B35*B32*(B32+1)/12*(1/B29+1/B30))</f>
        <v>#NAME?</v>
      </c>
      <c r="D40" s="509" t="e">
        <f ca="1">IF(B40&gt;C40,"yes","no")</f>
        <v>#NAME?</v>
      </c>
      <c r="F40" t="s">
        <v>828</v>
      </c>
      <c r="G40" s="375">
        <f>IF(MIN(G33:I33)&gt;=0,0,MIN(G33:I33))</f>
        <v>0</v>
      </c>
      <c r="Q40" t="s">
        <v>101</v>
      </c>
    </row>
    <row r="41" spans="1:25" ht="15.75" thickTop="1" x14ac:dyDescent="0.25">
      <c r="Q41" s="251" t="s">
        <v>128</v>
      </c>
      <c r="R41" s="251" t="s">
        <v>88</v>
      </c>
      <c r="S41" s="251" t="s">
        <v>51</v>
      </c>
      <c r="T41" s="251" t="s">
        <v>92</v>
      </c>
      <c r="U41" s="251" t="s">
        <v>82</v>
      </c>
      <c r="V41" s="251" t="s">
        <v>129</v>
      </c>
      <c r="W41" s="251" t="s">
        <v>136</v>
      </c>
      <c r="X41" s="251" t="s">
        <v>383</v>
      </c>
      <c r="Y41" s="251" t="s">
        <v>384</v>
      </c>
    </row>
    <row r="42" spans="1:25" x14ac:dyDescent="0.25">
      <c r="F42" t="s">
        <v>170</v>
      </c>
      <c r="G42">
        <f>B4</f>
        <v>81</v>
      </c>
      <c r="H42">
        <f>C4</f>
        <v>48</v>
      </c>
      <c r="I42" t="s">
        <v>829</v>
      </c>
      <c r="Q42" t="s">
        <v>131</v>
      </c>
      <c r="R42" t="e">
        <f ca="1">R44-R43</f>
        <v>#NAME?</v>
      </c>
      <c r="S42">
        <f>COUNTA(Q36:Q38)-1</f>
        <v>2</v>
      </c>
      <c r="T42" t="e">
        <f ca="1">R42/S42</f>
        <v>#NAME?</v>
      </c>
      <c r="U42" t="e">
        <f ca="1">T42/T43</f>
        <v>#NAME?</v>
      </c>
      <c r="V42" t="e">
        <f ca="1">_xlfn.F.DIST.RT(U42,S42,S43)</f>
        <v>#NAME?</v>
      </c>
      <c r="W42" t="e">
        <f ca="1">_xlfn.F.INV.RT(W34,S42,S43)</f>
        <v>#NUM!</v>
      </c>
      <c r="X42" t="e">
        <f ca="1">SQRT(DEVSQ(T36:T38)/(T43*S42))</f>
        <v>#NAME?</v>
      </c>
      <c r="Y42" t="e">
        <f ca="1">(R44-S44*T43)/(R44+T43)</f>
        <v>#NAME?</v>
      </c>
    </row>
    <row r="43" spans="1:25" x14ac:dyDescent="0.25">
      <c r="Q43" t="s">
        <v>132</v>
      </c>
      <c r="R43" t="e">
        <f ca="1">SUM(V36:V38)</f>
        <v>#NAME?</v>
      </c>
      <c r="S43">
        <f ca="1">S44-S42</f>
        <v>-3</v>
      </c>
      <c r="T43" t="e">
        <f ca="1">R43/S43</f>
        <v>#NAME?</v>
      </c>
    </row>
    <row r="44" spans="1:25" x14ac:dyDescent="0.25">
      <c r="Q44" s="393" t="s">
        <v>1</v>
      </c>
      <c r="R44" s="393" t="e">
        <f ca="1">DEVSQ(L4:N13)</f>
        <v>#NAME?</v>
      </c>
      <c r="S44" s="393">
        <f ca="1">COUNT(L4:N13)-1</f>
        <v>-1</v>
      </c>
      <c r="T44" s="393" t="e">
        <f ca="1">R44/S44</f>
        <v>#NAME?</v>
      </c>
      <c r="U44" s="393"/>
      <c r="V44" s="393"/>
      <c r="W44" s="393"/>
      <c r="X44" s="393"/>
      <c r="Y44" s="393"/>
    </row>
    <row r="46" spans="1:25" x14ac:dyDescent="0.25">
      <c r="F46" s="503" t="s">
        <v>833</v>
      </c>
      <c r="G46" s="503" t="s">
        <v>56</v>
      </c>
      <c r="L46" s="503" t="s">
        <v>59</v>
      </c>
      <c r="M46" s="503" t="s">
        <v>60</v>
      </c>
      <c r="N46" s="503" t="s">
        <v>65</v>
      </c>
      <c r="Q46" t="s">
        <v>133</v>
      </c>
    </row>
    <row r="47" spans="1:25" x14ac:dyDescent="0.25">
      <c r="E47" t="s">
        <v>575</v>
      </c>
      <c r="F47" s="361" t="e" cm="1">
        <f t="array" aca="1" ref="F47" ca="1">KRUSKAL(B4:D13,FALSE)</f>
        <v>#NAME?</v>
      </c>
      <c r="G47" s="362" t="e" cm="1">
        <f t="array" aca="1" ref="G47" ca="1">KTEST(B4:D13,FALSE)</f>
        <v>#NAME?</v>
      </c>
      <c r="L47" s="361">
        <v>27</v>
      </c>
      <c r="M47" s="358">
        <v>22.5</v>
      </c>
      <c r="N47" s="362">
        <v>3</v>
      </c>
    </row>
    <row r="48" spans="1:25" ht="15.75" thickBot="1" x14ac:dyDescent="0.3">
      <c r="E48" t="s">
        <v>626</v>
      </c>
      <c r="F48" s="479" t="e" cm="1">
        <f t="array" aca="1" ref="F48" ca="1">KRUSKAL(B4:D13)</f>
        <v>#NAME?</v>
      </c>
      <c r="G48" s="480" t="e" cm="1">
        <f t="array" aca="1" ref="G48" ca="1">KTEST(B4:D13)</f>
        <v>#NAME?</v>
      </c>
      <c r="L48" s="180">
        <v>12.5</v>
      </c>
      <c r="M48">
        <v>11</v>
      </c>
      <c r="N48" s="181">
        <v>24.5</v>
      </c>
      <c r="Q48" t="s">
        <v>52</v>
      </c>
    </row>
    <row r="49" spans="5:23" x14ac:dyDescent="0.25">
      <c r="L49" s="180">
        <v>19</v>
      </c>
      <c r="M49">
        <v>8</v>
      </c>
      <c r="N49" s="181">
        <v>14</v>
      </c>
      <c r="Q49" s="102" t="s">
        <v>61</v>
      </c>
      <c r="R49" s="102" t="s">
        <v>19</v>
      </c>
      <c r="S49" s="102" t="s">
        <v>18</v>
      </c>
      <c r="T49" s="102" t="s">
        <v>134</v>
      </c>
      <c r="U49" s="102" t="s">
        <v>62</v>
      </c>
    </row>
    <row r="50" spans="5:23" x14ac:dyDescent="0.25">
      <c r="E50" t="e">
        <f t="array" aca="1" ref="E50:F53" ca="1">KW_TEST(B4:D13,TRUE)</f>
        <v>#NAME?</v>
      </c>
      <c r="F50" s="367" t="e">
        <f ca="1"/>
        <v>#NAME?</v>
      </c>
      <c r="L50" s="180">
        <v>26</v>
      </c>
      <c r="M50">
        <v>5.5</v>
      </c>
      <c r="N50" s="181">
        <v>4</v>
      </c>
      <c r="Q50" t="s">
        <v>59</v>
      </c>
      <c r="R50">
        <v>10</v>
      </c>
      <c r="S50">
        <v>199</v>
      </c>
      <c r="T50">
        <v>19.899999999999999</v>
      </c>
      <c r="U50">
        <v>23.155555555555566</v>
      </c>
    </row>
    <row r="51" spans="5:23" x14ac:dyDescent="0.25">
      <c r="E51" t="e">
        <f ca="1"/>
        <v>#NAME?</v>
      </c>
      <c r="F51" s="179" t="e">
        <f ca="1"/>
        <v>#NAME?</v>
      </c>
      <c r="L51" s="180">
        <v>15</v>
      </c>
      <c r="M51">
        <v>9.5</v>
      </c>
      <c r="N51" s="181">
        <v>7</v>
      </c>
      <c r="Q51" t="s">
        <v>60</v>
      </c>
      <c r="R51">
        <v>9</v>
      </c>
      <c r="S51">
        <v>96.5</v>
      </c>
      <c r="T51">
        <v>10.722222222222221</v>
      </c>
      <c r="U51">
        <v>39.194444444444457</v>
      </c>
    </row>
    <row r="52" spans="5:23" ht="15.75" thickBot="1" x14ac:dyDescent="0.3">
      <c r="E52" t="e">
        <f ca="1"/>
        <v>#NAME?</v>
      </c>
      <c r="F52" s="179" t="e">
        <f ca="1"/>
        <v>#NAME?</v>
      </c>
      <c r="L52" s="180">
        <v>20</v>
      </c>
      <c r="M52">
        <v>9.5</v>
      </c>
      <c r="N52" s="181">
        <v>2</v>
      </c>
      <c r="Q52" s="20" t="s">
        <v>65</v>
      </c>
      <c r="R52" s="20">
        <v>8</v>
      </c>
      <c r="S52" s="20">
        <v>82.5</v>
      </c>
      <c r="T52" s="20">
        <v>10.3125</v>
      </c>
      <c r="U52" s="20">
        <v>79.995535714285708</v>
      </c>
    </row>
    <row r="53" spans="5:23" x14ac:dyDescent="0.25">
      <c r="E53" t="e">
        <f ca="1"/>
        <v>#NAME?</v>
      </c>
      <c r="F53" s="175" t="e">
        <f ca="1"/>
        <v>#NAME?</v>
      </c>
      <c r="L53" s="180">
        <v>16</v>
      </c>
      <c r="M53">
        <v>12.5</v>
      </c>
      <c r="N53" s="181">
        <v>22.5</v>
      </c>
    </row>
    <row r="54" spans="5:23" x14ac:dyDescent="0.25">
      <c r="L54" s="180">
        <v>21</v>
      </c>
      <c r="M54">
        <v>1</v>
      </c>
      <c r="N54" s="181">
        <v>5.5</v>
      </c>
    </row>
    <row r="55" spans="5:23" ht="15.75" thickBot="1" x14ac:dyDescent="0.3">
      <c r="L55" s="180">
        <v>24.5</v>
      </c>
      <c r="M55">
        <v>17</v>
      </c>
      <c r="N55" s="181"/>
      <c r="Q55" t="s">
        <v>101</v>
      </c>
    </row>
    <row r="56" spans="5:23" x14ac:dyDescent="0.25">
      <c r="L56" s="479">
        <v>18</v>
      </c>
      <c r="M56" s="393"/>
      <c r="N56" s="506"/>
      <c r="Q56" s="102" t="s">
        <v>135</v>
      </c>
      <c r="R56" s="102" t="s">
        <v>88</v>
      </c>
      <c r="S56" s="102" t="s">
        <v>51</v>
      </c>
      <c r="T56" s="102" t="s">
        <v>92</v>
      </c>
      <c r="U56" s="102" t="s">
        <v>82</v>
      </c>
      <c r="V56" s="102" t="s">
        <v>74</v>
      </c>
      <c r="W56" s="102" t="s">
        <v>136</v>
      </c>
    </row>
    <row r="57" spans="5:23" x14ac:dyDescent="0.25">
      <c r="Q57" t="s">
        <v>131</v>
      </c>
      <c r="R57">
        <v>553.57569444444448</v>
      </c>
      <c r="S57">
        <v>2</v>
      </c>
      <c r="T57">
        <v>276.78784722222224</v>
      </c>
      <c r="U57">
        <v>6.1399011919990816</v>
      </c>
      <c r="V57">
        <v>7.0235381707217676E-3</v>
      </c>
      <c r="W57">
        <v>3.4028261053501945</v>
      </c>
    </row>
    <row r="58" spans="5:23" x14ac:dyDescent="0.25">
      <c r="Q58" t="s">
        <v>132</v>
      </c>
      <c r="R58">
        <v>1081.9243055555555</v>
      </c>
      <c r="S58">
        <v>24</v>
      </c>
      <c r="T58">
        <v>45.080179398148147</v>
      </c>
    </row>
    <row r="60" spans="5:23" ht="15.75" thickBot="1" x14ac:dyDescent="0.3">
      <c r="Q60" s="20" t="s">
        <v>1</v>
      </c>
      <c r="R60" s="20">
        <v>1635.5</v>
      </c>
      <c r="S60" s="20">
        <v>26</v>
      </c>
      <c r="T60" s="20"/>
      <c r="U60" s="20"/>
      <c r="V60" s="20"/>
      <c r="W60" s="20"/>
    </row>
    <row r="62" spans="5:23" x14ac:dyDescent="0.25">
      <c r="Q62" t="s">
        <v>527</v>
      </c>
      <c r="R62">
        <f>R57</f>
        <v>553.57569444444448</v>
      </c>
    </row>
    <row r="63" spans="5:23" x14ac:dyDescent="0.25">
      <c r="Q63" t="s">
        <v>830</v>
      </c>
      <c r="R63">
        <f>(S60+1)*(S60+2)/12</f>
        <v>63</v>
      </c>
    </row>
    <row r="64" spans="5:23" x14ac:dyDescent="0.25">
      <c r="Q64" t="s">
        <v>396</v>
      </c>
      <c r="R64">
        <f>R62/R63</f>
        <v>8.7869157848324519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C39"/>
  <sheetViews>
    <sheetView topLeftCell="AC12" workbookViewId="0">
      <selection activeCell="AO28" sqref="AO28"/>
    </sheetView>
  </sheetViews>
  <sheetFormatPr defaultRowHeight="15" x14ac:dyDescent="0.25"/>
  <cols>
    <col min="1" max="1" width="6.140625" customWidth="1"/>
    <col min="2" max="4" width="7" customWidth="1"/>
  </cols>
  <sheetData>
    <row r="1" spans="1:55" x14ac:dyDescent="0.25">
      <c r="A1" s="1" t="s">
        <v>831</v>
      </c>
    </row>
    <row r="3" spans="1:55" ht="15.75" thickBot="1" x14ac:dyDescent="0.3">
      <c r="B3" s="501" t="s">
        <v>59</v>
      </c>
      <c r="C3" s="501" t="s">
        <v>60</v>
      </c>
      <c r="D3" s="501" t="s">
        <v>65</v>
      </c>
      <c r="F3" t="s">
        <v>625</v>
      </c>
      <c r="I3" t="s">
        <v>70</v>
      </c>
      <c r="J3">
        <v>0.05</v>
      </c>
      <c r="N3" t="s">
        <v>627</v>
      </c>
      <c r="Q3" t="s">
        <v>70</v>
      </c>
      <c r="R3">
        <v>0.05</v>
      </c>
      <c r="S3">
        <f>R3/(COUNT(P5:P7)*(COUNT(P5:P7)-1)/2)</f>
        <v>1.6666666666666666E-2</v>
      </c>
      <c r="V3" t="s">
        <v>721</v>
      </c>
      <c r="Y3" t="s">
        <v>70</v>
      </c>
      <c r="Z3">
        <v>0.05</v>
      </c>
      <c r="AA3">
        <f>Z3/(COUNT(X5:X7)*(COUNT(X5:X7)-1)/2)</f>
        <v>1.6666666666666666E-2</v>
      </c>
      <c r="AD3" t="s">
        <v>788</v>
      </c>
      <c r="AG3" t="s">
        <v>70</v>
      </c>
      <c r="AH3">
        <v>0.05</v>
      </c>
      <c r="AI3">
        <f>AH3/(COUNT(AF5:AF7)*(COUNT(AF5:AF7)-1)/2)</f>
        <v>1.6666666666666666E-2</v>
      </c>
      <c r="AL3" t="s">
        <v>784</v>
      </c>
      <c r="AQ3" t="s">
        <v>832</v>
      </c>
      <c r="AX3" t="s">
        <v>641</v>
      </c>
    </row>
    <row r="4" spans="1:55" ht="16.5" thickTop="1" thickBot="1" x14ac:dyDescent="0.3">
      <c r="B4" s="12">
        <v>81</v>
      </c>
      <c r="C4" s="12">
        <v>48</v>
      </c>
      <c r="D4" s="12">
        <v>18</v>
      </c>
      <c r="F4" s="251" t="s">
        <v>757</v>
      </c>
      <c r="G4" s="251" t="s">
        <v>624</v>
      </c>
      <c r="H4" s="251" t="s">
        <v>666</v>
      </c>
      <c r="I4" s="251" t="s">
        <v>796</v>
      </c>
      <c r="J4" s="251" t="s">
        <v>195</v>
      </c>
      <c r="N4" s="251" t="s">
        <v>757</v>
      </c>
      <c r="O4" s="251" t="s">
        <v>722</v>
      </c>
      <c r="P4" s="251" t="s">
        <v>666</v>
      </c>
      <c r="Q4" s="251" t="s">
        <v>642</v>
      </c>
      <c r="R4" s="251" t="s">
        <v>744</v>
      </c>
      <c r="V4" s="251" t="s">
        <v>757</v>
      </c>
      <c r="W4" s="251" t="s">
        <v>722</v>
      </c>
      <c r="X4" s="251" t="s">
        <v>666</v>
      </c>
      <c r="Y4" s="251" t="s">
        <v>642</v>
      </c>
      <c r="Z4" s="251" t="s">
        <v>644</v>
      </c>
      <c r="AD4" s="251" t="s">
        <v>757</v>
      </c>
      <c r="AE4" s="251" t="s">
        <v>722</v>
      </c>
      <c r="AF4" s="251" t="s">
        <v>666</v>
      </c>
      <c r="AG4" s="251" t="s">
        <v>642</v>
      </c>
      <c r="AH4" s="251" t="s">
        <v>57</v>
      </c>
      <c r="AI4" s="251" t="s">
        <v>51</v>
      </c>
      <c r="AX4" s="251" t="s">
        <v>757</v>
      </c>
      <c r="AY4" s="251" t="s">
        <v>758</v>
      </c>
      <c r="AZ4" s="251" t="s">
        <v>642</v>
      </c>
      <c r="BA4" s="251" t="s">
        <v>666</v>
      </c>
    </row>
    <row r="5" spans="1:55" ht="15.75" thickTop="1" x14ac:dyDescent="0.25">
      <c r="B5" s="12">
        <v>32</v>
      </c>
      <c r="C5" s="12">
        <v>31</v>
      </c>
      <c r="D5" s="12">
        <v>49</v>
      </c>
      <c r="F5" t="str">
        <f>B3</f>
        <v>New</v>
      </c>
      <c r="G5" t="e">
        <f ca="1">RANK_SUM(B4:D13,1,1)</f>
        <v>#NAME?</v>
      </c>
      <c r="H5">
        <f>COUNT(B4:B13)</f>
        <v>10</v>
      </c>
      <c r="I5" t="e">
        <f ca="1">G5/H5</f>
        <v>#NAME?</v>
      </c>
      <c r="N5" t="str">
        <f>B3</f>
        <v>New</v>
      </c>
      <c r="O5" t="e">
        <f ca="1">RANK_SUM(B4:D13,1,1)</f>
        <v>#NAME?</v>
      </c>
      <c r="P5">
        <f>COUNT(B4:B13)</f>
        <v>10</v>
      </c>
      <c r="Q5" t="e">
        <f ca="1">O5/P5</f>
        <v>#NAME?</v>
      </c>
      <c r="V5" t="str">
        <f>B3</f>
        <v>New</v>
      </c>
      <c r="W5" t="e">
        <f ca="1">RANK_SUM(B4:D13,1,1)</f>
        <v>#NAME?</v>
      </c>
      <c r="X5">
        <f>COUNT(B4:B13)</f>
        <v>10</v>
      </c>
      <c r="Y5" t="e">
        <f ca="1">W5/X5</f>
        <v>#NAME?</v>
      </c>
      <c r="AD5" t="str">
        <f>B3</f>
        <v>New</v>
      </c>
      <c r="AE5" t="e">
        <f ca="1">RANK_SUM(B4:D13,1,1)</f>
        <v>#NAME?</v>
      </c>
      <c r="AF5">
        <f>COUNT(B4:B13)</f>
        <v>10</v>
      </c>
      <c r="AG5" t="e">
        <f ca="1">AE5/AF5</f>
        <v>#NAME?</v>
      </c>
      <c r="AL5" s="251" t="s">
        <v>731</v>
      </c>
      <c r="AM5" s="251" t="s">
        <v>732</v>
      </c>
      <c r="AN5" s="251" t="s">
        <v>56</v>
      </c>
      <c r="AO5" s="251" t="s">
        <v>4</v>
      </c>
      <c r="AQ5" t="s">
        <v>31</v>
      </c>
      <c r="AR5" s="344">
        <v>0.05</v>
      </c>
      <c r="AX5" t="str">
        <f>B3</f>
        <v>New</v>
      </c>
      <c r="AY5" s="213">
        <v>0.5</v>
      </c>
      <c r="AZ5" t="e">
        <f ca="1">RANK_SUM(B4:D13,1,1)/BA5</f>
        <v>#NAME?</v>
      </c>
      <c r="BA5">
        <f>COUNT(B4:B13)</f>
        <v>10</v>
      </c>
    </row>
    <row r="6" spans="1:55" x14ac:dyDescent="0.25">
      <c r="B6" s="12">
        <v>42</v>
      </c>
      <c r="C6" s="12">
        <v>25</v>
      </c>
      <c r="D6" s="12">
        <v>33</v>
      </c>
      <c r="F6" t="str">
        <f>C3</f>
        <v>Old</v>
      </c>
      <c r="G6" t="e">
        <f ca="1">RANK_SUM(B4:D13,2,1)</f>
        <v>#NAME?</v>
      </c>
      <c r="H6">
        <f>COUNT(C4:C13)</f>
        <v>9</v>
      </c>
      <c r="I6" t="e">
        <f ca="1">G6/H6</f>
        <v>#NAME?</v>
      </c>
      <c r="N6" t="str">
        <f>C3</f>
        <v>Old</v>
      </c>
      <c r="O6" t="e">
        <f ca="1">RANK_SUM(B4:D13,2,1)</f>
        <v>#NAME?</v>
      </c>
      <c r="P6">
        <f>COUNT(C4:C13)</f>
        <v>9</v>
      </c>
      <c r="Q6" t="e">
        <f ca="1">O6/P6</f>
        <v>#NAME?</v>
      </c>
      <c r="V6" t="str">
        <f>C3</f>
        <v>Old</v>
      </c>
      <c r="W6" t="e">
        <f ca="1">RANK_SUM(B4:D13,2,1)</f>
        <v>#NAME?</v>
      </c>
      <c r="X6">
        <f>COUNT(C4:C13)</f>
        <v>9</v>
      </c>
      <c r="Y6" t="e">
        <f ca="1">W6/X6</f>
        <v>#NAME?</v>
      </c>
      <c r="AD6" t="str">
        <f>C3</f>
        <v>Old</v>
      </c>
      <c r="AE6" t="e">
        <f ca="1">RANK_SUM(B4:D13,2,1)</f>
        <v>#NAME?</v>
      </c>
      <c r="AF6">
        <f>COUNT(C4:C13)</f>
        <v>9</v>
      </c>
      <c r="AG6" t="e">
        <f ca="1">AE6/AF6</f>
        <v>#NAME?</v>
      </c>
      <c r="AL6" t="str">
        <f>B3</f>
        <v>New</v>
      </c>
      <c r="AM6" t="str">
        <f>C3</f>
        <v>Old</v>
      </c>
      <c r="AN6" t="e">
        <f ca="1">MWTEST(B4:B13,C4:C13)</f>
        <v>#NAME?</v>
      </c>
      <c r="AO6">
        <f>ABS(AVERAGE(B4:B13)-AVERAGE(C4:C13))</f>
        <v>16.966666666666665</v>
      </c>
      <c r="AQ6" t="s">
        <v>776</v>
      </c>
      <c r="AR6" s="467">
        <f ca="1">COUNT(AS9:AS11)</f>
        <v>0</v>
      </c>
      <c r="AX6" t="str">
        <f>C3</f>
        <v>Old</v>
      </c>
      <c r="AY6" s="213">
        <v>0.5</v>
      </c>
      <c r="AZ6" t="e">
        <f ca="1">RANK_SUM(B4:D13,2,1)/BA6</f>
        <v>#NAME?</v>
      </c>
      <c r="BA6">
        <f>COUNT(C4:C13)</f>
        <v>9</v>
      </c>
    </row>
    <row r="7" spans="1:55" ht="15.75" thickBot="1" x14ac:dyDescent="0.3">
      <c r="B7" s="12">
        <v>62</v>
      </c>
      <c r="C7" s="12">
        <v>22</v>
      </c>
      <c r="D7" s="12">
        <v>19</v>
      </c>
      <c r="F7" t="str">
        <f>D3</f>
        <v>Control</v>
      </c>
      <c r="G7" t="e">
        <f ca="1">RANK_SUM(B4:D13,3,1)</f>
        <v>#NAME?</v>
      </c>
      <c r="H7">
        <f>COUNT(D4:D13)</f>
        <v>8</v>
      </c>
      <c r="I7" t="e">
        <f ca="1">G7/H7</f>
        <v>#NAME?</v>
      </c>
      <c r="N7" t="str">
        <f>D3</f>
        <v>Control</v>
      </c>
      <c r="O7" t="e">
        <f ca="1">RANK_SUM(B4:D13,3,1)</f>
        <v>#NAME?</v>
      </c>
      <c r="P7">
        <f>COUNT(D4:D13)</f>
        <v>8</v>
      </c>
      <c r="Q7" t="e">
        <f ca="1">O7/P7</f>
        <v>#NAME?</v>
      </c>
      <c r="V7" t="str">
        <f>D3</f>
        <v>Control</v>
      </c>
      <c r="W7" t="e">
        <f ca="1">RANK_SUM(B4:D13,3,1)</f>
        <v>#NAME?</v>
      </c>
      <c r="X7">
        <f>COUNT(D4:D13)</f>
        <v>8</v>
      </c>
      <c r="Y7" t="e">
        <f ca="1">W7/X7</f>
        <v>#NAME?</v>
      </c>
      <c r="AD7" t="str">
        <f>D3</f>
        <v>Control</v>
      </c>
      <c r="AE7" t="e">
        <f ca="1">RANK_SUM(B4:D13,3,1)</f>
        <v>#NAME?</v>
      </c>
      <c r="AF7">
        <f>COUNT(D4:D13)</f>
        <v>8</v>
      </c>
      <c r="AG7" t="e">
        <f ca="1">AE7/AF7</f>
        <v>#NAME?</v>
      </c>
      <c r="AL7" t="str">
        <f>B3</f>
        <v>New</v>
      </c>
      <c r="AM7" t="str">
        <f>D3</f>
        <v>Control</v>
      </c>
      <c r="AN7" t="e">
        <f ca="1">MWTEST(B4:B13,D4:D13)</f>
        <v>#NAME?</v>
      </c>
      <c r="AO7">
        <f>ABS(AVERAGE(B4:B13)-AVERAGE(D4:D13))</f>
        <v>18.549999999999997</v>
      </c>
      <c r="AX7" t="str">
        <f>D3</f>
        <v>Control</v>
      </c>
      <c r="AY7" s="213">
        <v>-1</v>
      </c>
      <c r="AZ7" t="e">
        <f ca="1">RANK_SUM(B4:D13,3,1)/BA7</f>
        <v>#NAME?</v>
      </c>
      <c r="BA7">
        <f>COUNT(D4:D13)</f>
        <v>8</v>
      </c>
    </row>
    <row r="8" spans="1:55" ht="15.75" thickTop="1" x14ac:dyDescent="0.25">
      <c r="B8" s="12">
        <v>37</v>
      </c>
      <c r="C8" s="12">
        <v>30</v>
      </c>
      <c r="D8" s="12">
        <v>24</v>
      </c>
      <c r="F8" s="358"/>
      <c r="G8" s="358"/>
      <c r="H8" s="358">
        <f>SUM(H5:H7)</f>
        <v>27</v>
      </c>
      <c r="I8" s="358"/>
      <c r="J8" s="358" t="e">
        <f ca="1">QCRIT(COUNT(H5:H7),480,J3,2)</f>
        <v>#NAME?</v>
      </c>
      <c r="N8" s="358"/>
      <c r="O8" s="358"/>
      <c r="P8" s="358">
        <f>SUM(P5:P7)</f>
        <v>27</v>
      </c>
      <c r="Q8" s="358"/>
      <c r="R8" s="358">
        <f>_xlfn.NORM.S.INV(1-R3/2)</f>
        <v>1.9599639845400536</v>
      </c>
      <c r="V8" s="358"/>
      <c r="W8" s="358"/>
      <c r="X8" s="358">
        <f>SUM(X5:X7)</f>
        <v>27</v>
      </c>
      <c r="Y8" s="358"/>
      <c r="Z8" s="358" t="e">
        <f ca="1">CHISQ_INV_RT(Z3,COUNT(X$5:X$7)-1)</f>
        <v>#NAME?</v>
      </c>
      <c r="AD8" s="358"/>
      <c r="AE8" s="358"/>
      <c r="AF8" s="358">
        <f>SUM(AF5:AF7)</f>
        <v>27</v>
      </c>
      <c r="AG8" s="358"/>
      <c r="AH8" s="358">
        <f>_xlfn.T.INV.2T(AH3,AI8)</f>
        <v>2.0638985616280254</v>
      </c>
      <c r="AI8" s="358">
        <f>AF8-COUNT(AF5:AF7)</f>
        <v>24</v>
      </c>
      <c r="AL8" s="469" t="str">
        <f>C3</f>
        <v>Old</v>
      </c>
      <c r="AM8" s="469" t="str">
        <f>D3</f>
        <v>Control</v>
      </c>
      <c r="AN8" s="469" t="e">
        <f ca="1">MWTEST(C4:C13,D4:D13)</f>
        <v>#NAME?</v>
      </c>
      <c r="AO8" s="469">
        <f>ABS(AVERAGE(C4:C13)-AVERAGE(D4:D13))</f>
        <v>1.5833333333333321</v>
      </c>
      <c r="AQ8" s="251" t="s">
        <v>731</v>
      </c>
      <c r="AR8" s="251" t="s">
        <v>732</v>
      </c>
      <c r="AS8" s="251" t="s">
        <v>56</v>
      </c>
      <c r="AT8" s="251" t="s">
        <v>777</v>
      </c>
      <c r="AU8" s="251" t="s">
        <v>70</v>
      </c>
      <c r="AV8" s="251" t="s">
        <v>188</v>
      </c>
      <c r="AX8" s="358"/>
      <c r="AY8" s="358">
        <f>SUM(AY5:AY7)</f>
        <v>0</v>
      </c>
      <c r="AZ8" s="358" t="e">
        <f ca="1">SUMPRODUCT(AY5:AY7,AZ5:AZ7)</f>
        <v>#NAME?</v>
      </c>
      <c r="BA8" s="358">
        <f>SUM(BA5:BA7)</f>
        <v>27</v>
      </c>
    </row>
    <row r="9" spans="1:55" ht="15.75" thickBot="1" x14ac:dyDescent="0.3">
      <c r="B9" s="12">
        <v>44</v>
      </c>
      <c r="C9" s="12">
        <v>30</v>
      </c>
      <c r="D9" s="12">
        <v>17</v>
      </c>
      <c r="F9" t="s">
        <v>478</v>
      </c>
      <c r="N9" t="s">
        <v>628</v>
      </c>
      <c r="V9" t="s">
        <v>643</v>
      </c>
      <c r="AD9" t="s">
        <v>55</v>
      </c>
      <c r="AQ9" t="e">
        <f t="array" aca="1" ref="AQ9:AS11" ca="1">QSORTRows(AL13:AN15,3)</f>
        <v>#NAME?</v>
      </c>
      <c r="AR9" t="e">
        <f ca="1"/>
        <v>#NAME?</v>
      </c>
      <c r="AS9" t="e">
        <f ca="1"/>
        <v>#NAME?</v>
      </c>
      <c r="AT9">
        <f ca="1">AR6</f>
        <v>0</v>
      </c>
      <c r="AU9" t="e">
        <f ca="1">AR$5/AT9</f>
        <v>#DIV/0!</v>
      </c>
      <c r="AV9" s="503" t="e">
        <f ca="1">IF(AV10="yes","yes",IF(AS9&lt;AU9,"yes","no"))</f>
        <v>#NAME?</v>
      </c>
      <c r="AX9" t="s">
        <v>643</v>
      </c>
      <c r="BB9" s="503" t="s">
        <v>31</v>
      </c>
      <c r="BC9" s="503">
        <v>0.05</v>
      </c>
    </row>
    <row r="10" spans="1:55" ht="15.75" thickTop="1" x14ac:dyDescent="0.25">
      <c r="B10" s="12">
        <v>38</v>
      </c>
      <c r="C10" s="12">
        <v>32</v>
      </c>
      <c r="D10" s="12">
        <v>48</v>
      </c>
      <c r="F10" s="251" t="s">
        <v>731</v>
      </c>
      <c r="G10" s="251" t="s">
        <v>732</v>
      </c>
      <c r="H10" s="251" t="s">
        <v>796</v>
      </c>
      <c r="I10" s="251" t="s">
        <v>370</v>
      </c>
      <c r="J10" s="251" t="s">
        <v>477</v>
      </c>
      <c r="K10" s="251" t="s">
        <v>56</v>
      </c>
      <c r="L10" s="251" t="s">
        <v>785</v>
      </c>
      <c r="N10" s="251" t="s">
        <v>731</v>
      </c>
      <c r="O10" s="251" t="s">
        <v>732</v>
      </c>
      <c r="P10" s="251" t="s">
        <v>642</v>
      </c>
      <c r="Q10" s="251" t="s">
        <v>370</v>
      </c>
      <c r="R10" s="251" t="s">
        <v>743</v>
      </c>
      <c r="S10" s="251" t="s">
        <v>785</v>
      </c>
      <c r="T10" s="251" t="s">
        <v>56</v>
      </c>
      <c r="V10" s="251" t="s">
        <v>731</v>
      </c>
      <c r="W10" s="251" t="s">
        <v>732</v>
      </c>
      <c r="X10" s="251" t="s">
        <v>642</v>
      </c>
      <c r="Y10" s="251" t="s">
        <v>370</v>
      </c>
      <c r="Z10" s="251" t="s">
        <v>786</v>
      </c>
      <c r="AA10" s="251" t="s">
        <v>785</v>
      </c>
      <c r="AB10" s="251" t="s">
        <v>56</v>
      </c>
      <c r="AD10" s="251" t="s">
        <v>731</v>
      </c>
      <c r="AE10" s="251" t="s">
        <v>732</v>
      </c>
      <c r="AF10" s="251" t="s">
        <v>642</v>
      </c>
      <c r="AG10" s="251" t="s">
        <v>370</v>
      </c>
      <c r="AH10" s="251" t="s">
        <v>67</v>
      </c>
      <c r="AI10" s="251" t="s">
        <v>785</v>
      </c>
      <c r="AJ10" s="251" t="s">
        <v>56</v>
      </c>
      <c r="AL10" t="s">
        <v>797</v>
      </c>
      <c r="AQ10" t="e">
        <f ca="1"/>
        <v>#NAME?</v>
      </c>
      <c r="AR10" t="e">
        <f ca="1"/>
        <v>#NAME?</v>
      </c>
      <c r="AS10" t="e">
        <f ca="1"/>
        <v>#NAME?</v>
      </c>
      <c r="AT10">
        <f ca="1">AT9-1</f>
        <v>-1</v>
      </c>
      <c r="AU10">
        <f t="shared" ref="AU10:AU11" ca="1" si="0">AR$5/AT10</f>
        <v>-0.05</v>
      </c>
      <c r="AV10" s="503" t="e">
        <f t="shared" ref="AV10:AV11" ca="1" si="1">IF(AV11="yes","yes",IF(AS10&lt;AU10,"yes","no"))</f>
        <v>#NAME?</v>
      </c>
      <c r="AX10" s="251" t="s">
        <v>370</v>
      </c>
      <c r="AY10" s="251" t="s">
        <v>71</v>
      </c>
      <c r="AZ10" s="251" t="s">
        <v>51</v>
      </c>
      <c r="BA10" s="251" t="s">
        <v>56</v>
      </c>
      <c r="BB10" s="251" t="s">
        <v>644</v>
      </c>
      <c r="BC10" s="251" t="s">
        <v>188</v>
      </c>
    </row>
    <row r="11" spans="1:55" ht="15.75" thickBot="1" x14ac:dyDescent="0.3">
      <c r="B11" s="12">
        <v>47</v>
      </c>
      <c r="C11" s="12">
        <v>15</v>
      </c>
      <c r="D11" s="12">
        <v>22</v>
      </c>
      <c r="F11" s="358" t="str">
        <f>F5</f>
        <v>New</v>
      </c>
      <c r="G11" s="358" t="str">
        <f>F6</f>
        <v>Old</v>
      </c>
      <c r="H11" s="358" t="e">
        <f ca="1">ABS(I5-I6)</f>
        <v>#NAME?</v>
      </c>
      <c r="I11" s="358">
        <f>SQRT(H$8*(H$8+1)/12/HARMEAN(H5,H6))</f>
        <v>2.5787593916455256</v>
      </c>
      <c r="J11" s="358" t="e">
        <f ca="1">H11/I11</f>
        <v>#NAME?</v>
      </c>
      <c r="K11" s="358" t="e">
        <f ca="1">QDIST(J11,COUNT(H$5:H$7),480)</f>
        <v>#NAME?</v>
      </c>
      <c r="L11" s="358" t="e">
        <f ca="1">I11*J$8</f>
        <v>#NAME?</v>
      </c>
      <c r="N11" s="358" t="str">
        <f>N5</f>
        <v>New</v>
      </c>
      <c r="O11" s="358" t="str">
        <f>N6</f>
        <v>Old</v>
      </c>
      <c r="P11" s="358" t="e">
        <f ca="1">ABS(Q5-Q6)</f>
        <v>#NAME?</v>
      </c>
      <c r="Q11" s="358" t="e">
        <f ca="1">SQRT((P$8*(P$8+1)-TiesCorrection($B$4:$D$13)/(P$8-1))/12*(1/P5+1/P6))</f>
        <v>#NAME?</v>
      </c>
      <c r="R11" s="358" t="e">
        <f ca="1">P11/Q11</f>
        <v>#NAME?</v>
      </c>
      <c r="S11" s="358" t="e">
        <f ca="1">Q11*R$8</f>
        <v>#NAME?</v>
      </c>
      <c r="T11" s="358" t="e">
        <f ca="1">2*(1-_xlfn.NORM.S.DIST(R11,TRUE))</f>
        <v>#NAME?</v>
      </c>
      <c r="V11" s="358" t="str">
        <f>V5</f>
        <v>New</v>
      </c>
      <c r="W11" s="358" t="str">
        <f>V6</f>
        <v>Old</v>
      </c>
      <c r="X11" s="358" t="e">
        <f ca="1">ABS(Y5-Y6)</f>
        <v>#NAME?</v>
      </c>
      <c r="Y11" s="358" t="e">
        <f ca="1">SQRT((X$8*(X$8+1)-TiesCorrection($B$4:$D$13)/(X$8-1))/12*(1/X5+1/X6))</f>
        <v>#NAME?</v>
      </c>
      <c r="Z11" s="358" t="e">
        <f ca="1">(X11/Y11)^2</f>
        <v>#NAME?</v>
      </c>
      <c r="AA11" s="358" t="e">
        <f ca="1">Y11*SQRT(Z$8)</f>
        <v>#NAME?</v>
      </c>
      <c r="AB11" s="358" t="e">
        <f ca="1">_xlfn.CHISQ.DIST.RT(Z11,COUNT(X$5:X$7)-1)</f>
        <v>#NAME?</v>
      </c>
      <c r="AD11" s="358" t="str">
        <f>AD5</f>
        <v>New</v>
      </c>
      <c r="AE11" s="358" t="str">
        <f>AD6</f>
        <v>Old</v>
      </c>
      <c r="AF11" s="358" t="e">
        <f ca="1">ABS(AG5-AG6)</f>
        <v>#NAME?</v>
      </c>
      <c r="AG11" s="358" t="e">
        <f ca="1">SQRT((SUMSQ(RANKS($B$4:$D$13,1))-AF$8/4*(AF$8+1)^2)/(AF$8-1)*(AF$8-1-KRUSKAL($B$4:$D$13))/(AF$8-COUNT(AF$5:AF$7))*(1/AF5+1/AF6))</f>
        <v>#NAME?</v>
      </c>
      <c r="AH11" s="358" t="e">
        <f ca="1">AF11/AG11</f>
        <v>#NAME?</v>
      </c>
      <c r="AI11" s="358" t="e">
        <f ca="1">AG11*AH$8</f>
        <v>#NAME?</v>
      </c>
      <c r="AJ11" s="358" t="e">
        <f ca="1">_xlfn.T.DIST.2T(AH11,AI$8)</f>
        <v>#NAME?</v>
      </c>
      <c r="AQ11" s="469" t="e">
        <f ca="1"/>
        <v>#NAME?</v>
      </c>
      <c r="AR11" s="469" t="e">
        <f ca="1"/>
        <v>#NAME?</v>
      </c>
      <c r="AS11" s="469" t="e">
        <f ca="1"/>
        <v>#NAME?</v>
      </c>
      <c r="AT11" s="469">
        <f ca="1">AT10-1</f>
        <v>-2</v>
      </c>
      <c r="AU11" s="469">
        <f t="shared" ca="1" si="0"/>
        <v>-2.5000000000000001E-2</v>
      </c>
      <c r="AV11" s="486" t="e">
        <f t="shared" ca="1" si="1"/>
        <v>#NAME?</v>
      </c>
      <c r="AX11" s="368" t="e" cm="1">
        <f t="array" aca="1" ref="AX11" ca="1">SQRT((BA8*(BA8+1)-_xlfn.SINGLE(TiesCorrection(B4:D13))/(BA8-1))/12*SUMPRODUCT(AY5:AY7^2,1/BA5:BA7))</f>
        <v>#NAME?</v>
      </c>
      <c r="AY11" s="368" t="e">
        <f ca="1">(AZ8/AX11)^2</f>
        <v>#NAME?</v>
      </c>
      <c r="AZ11" s="368">
        <f>COUNT(BA5:BA7)-1</f>
        <v>2</v>
      </c>
      <c r="BA11" s="368" t="e">
        <f ca="1">_xlfn.CHISQ.DIST.RT(ABS(AY11),AZ11)</f>
        <v>#NAME?</v>
      </c>
      <c r="BB11" s="368" t="e">
        <f ca="1">CHISQ_INV_RT(BC9,AZ11)</f>
        <v>#NAME?</v>
      </c>
      <c r="BC11" s="501" t="e">
        <f ca="1">IF(BA11&lt;BC9,"yes","no")</f>
        <v>#NAME?</v>
      </c>
    </row>
    <row r="12" spans="1:55" ht="15.75" thickTop="1" x14ac:dyDescent="0.25">
      <c r="B12" s="12">
        <v>49</v>
      </c>
      <c r="C12" s="12">
        <v>40</v>
      </c>
      <c r="D12" s="12"/>
      <c r="F12" t="str">
        <f>F5</f>
        <v>New</v>
      </c>
      <c r="G12" t="str">
        <f>F7</f>
        <v>Control</v>
      </c>
      <c r="H12" t="e">
        <f ca="1">ABS(I5-I7)</f>
        <v>#NAME?</v>
      </c>
      <c r="I12">
        <f>SQRT(H$8*(H$8+1)/12/HARMEAN(H5,H7))</f>
        <v>2.6622359023948272</v>
      </c>
      <c r="J12" t="e">
        <f t="shared" ref="J12:J13" ca="1" si="2">H12/I12</f>
        <v>#NAME?</v>
      </c>
      <c r="K12" t="e">
        <f ca="1">QDIST(J12,COUNT(H$5:H$7),480)</f>
        <v>#NAME?</v>
      </c>
      <c r="L12" t="e">
        <f t="shared" ref="L12:L13" ca="1" si="3">I12*J$8</f>
        <v>#NAME?</v>
      </c>
      <c r="N12" t="str">
        <f>N5</f>
        <v>New</v>
      </c>
      <c r="O12" t="str">
        <f>N7</f>
        <v>Control</v>
      </c>
      <c r="P12" t="e">
        <f ca="1">ABS(Q5-Q7)</f>
        <v>#NAME?</v>
      </c>
      <c r="Q12" t="e">
        <f ca="1">SQRT((P$8*(P$8+1)-TiesCorrection($B$4:$D$13)/(P$8-1))/12*(1/P5+1/P7))</f>
        <v>#NAME?</v>
      </c>
      <c r="R12" t="e">
        <f t="shared" ref="R12:R13" ca="1" si="4">P12/Q12</f>
        <v>#NAME?</v>
      </c>
      <c r="S12" t="e">
        <f t="shared" ref="S12:S13" ca="1" si="5">Q12*R$8</f>
        <v>#NAME?</v>
      </c>
      <c r="T12" t="e">
        <f t="shared" ref="T12:T13" ca="1" si="6">2*(1-_xlfn.NORM.S.DIST(R12,TRUE))</f>
        <v>#NAME?</v>
      </c>
      <c r="V12" t="str">
        <f>V5</f>
        <v>New</v>
      </c>
      <c r="W12" t="str">
        <f>V7</f>
        <v>Control</v>
      </c>
      <c r="X12" t="e">
        <f ca="1">ABS(Y5-Y7)</f>
        <v>#NAME?</v>
      </c>
      <c r="Y12" t="e">
        <f ca="1">SQRT((X$8*(X$8+1)-TiesCorrection($B$4:$D$13)/(X$8-1))/12*(1/X5+1/X7))</f>
        <v>#NAME?</v>
      </c>
      <c r="Z12" t="e">
        <f t="shared" ref="Z12:Z13" ca="1" si="7">(X12/Y12)^2</f>
        <v>#NAME?</v>
      </c>
      <c r="AA12" t="e">
        <f t="shared" ref="AA12:AA13" ca="1" si="8">Y12*SQRT(Z$8)</f>
        <v>#NAME?</v>
      </c>
      <c r="AB12" t="e">
        <f t="shared" ref="AB12:AB13" ca="1" si="9">_xlfn.CHISQ.DIST.RT(Z12,COUNT(X$5:X$7)-1)</f>
        <v>#NAME?</v>
      </c>
      <c r="AD12" t="str">
        <f>AD5</f>
        <v>New</v>
      </c>
      <c r="AE12" t="str">
        <f>AD7</f>
        <v>Control</v>
      </c>
      <c r="AF12" t="e">
        <f ca="1">ABS(AG5-AG7)</f>
        <v>#NAME?</v>
      </c>
      <c r="AG12" t="e">
        <f ca="1">SQRT((SUMSQ(RANKS($B$4:$D$13,1))-AF$8/4*(AF$8+1)^2)/(AF$8-1)*(AF$8-1-KRUSKAL($B$4:$D$13))/(AF$8-COUNT(AF$5:AF$7))*(1/AF5+1/AF7))</f>
        <v>#NAME?</v>
      </c>
      <c r="AH12" t="e">
        <f t="shared" ref="AH12:AH13" ca="1" si="10">AF12/AG12</f>
        <v>#NAME?</v>
      </c>
      <c r="AI12" t="e">
        <f ca="1">AG12*AH$8</f>
        <v>#NAME?</v>
      </c>
      <c r="AJ12" t="e">
        <f ca="1">_xlfn.T.DIST.2T(AH12,AI$8)</f>
        <v>#NAME?</v>
      </c>
      <c r="AL12" s="251" t="s">
        <v>731</v>
      </c>
      <c r="AM12" s="251" t="s">
        <v>732</v>
      </c>
      <c r="AN12" s="251" t="s">
        <v>56</v>
      </c>
      <c r="AO12" s="251" t="s">
        <v>4</v>
      </c>
    </row>
    <row r="13" spans="1:55" x14ac:dyDescent="0.25">
      <c r="B13" s="491">
        <v>41</v>
      </c>
      <c r="C13" s="491"/>
      <c r="D13" s="491"/>
      <c r="F13" s="469" t="str">
        <f>F6</f>
        <v>Old</v>
      </c>
      <c r="G13" s="469" t="str">
        <f>F7</f>
        <v>Control</v>
      </c>
      <c r="H13" s="469" t="e">
        <f ca="1">ABS(I6-I7)</f>
        <v>#NAME?</v>
      </c>
      <c r="I13" s="469">
        <f>SQRT(H$8*(H$8+1)/12/HARMEAN(H6,H7))</f>
        <v>2.7271780286589284</v>
      </c>
      <c r="J13" s="469" t="e">
        <f t="shared" ca="1" si="2"/>
        <v>#NAME?</v>
      </c>
      <c r="K13" s="469" t="e">
        <f ca="1">QDIST(J13,COUNT(H$5:H$7),480)</f>
        <v>#NAME?</v>
      </c>
      <c r="L13" s="469" t="e">
        <f t="shared" ca="1" si="3"/>
        <v>#NAME?</v>
      </c>
      <c r="N13" s="469" t="str">
        <f>N6</f>
        <v>Old</v>
      </c>
      <c r="O13" s="469" t="str">
        <f>N7</f>
        <v>Control</v>
      </c>
      <c r="P13" s="469" t="e">
        <f ca="1">ABS(Q6-Q7)</f>
        <v>#NAME?</v>
      </c>
      <c r="Q13" s="469" t="e">
        <f ca="1">SQRT((P$8*(P$8+1)-TiesCorrection($B$4:$D$13)/(P$8-1))/12*(1/P6+1/P7))</f>
        <v>#NAME?</v>
      </c>
      <c r="R13" s="469" t="e">
        <f t="shared" ca="1" si="4"/>
        <v>#NAME?</v>
      </c>
      <c r="S13" s="469" t="e">
        <f t="shared" ca="1" si="5"/>
        <v>#NAME?</v>
      </c>
      <c r="T13" s="469" t="e">
        <f t="shared" ca="1" si="6"/>
        <v>#NAME?</v>
      </c>
      <c r="V13" s="469" t="str">
        <f>V6</f>
        <v>Old</v>
      </c>
      <c r="W13" s="469" t="str">
        <f>V7</f>
        <v>Control</v>
      </c>
      <c r="X13" s="469" t="e">
        <f ca="1">ABS(Y6-Y7)</f>
        <v>#NAME?</v>
      </c>
      <c r="Y13" s="469" t="e">
        <f ca="1">SQRT((X$8*(X$8+1)-TiesCorrection($B$4:$D$13)/(X$8-1))/12*(1/X6+1/X7))</f>
        <v>#NAME?</v>
      </c>
      <c r="Z13" s="469" t="e">
        <f t="shared" ca="1" si="7"/>
        <v>#NAME?</v>
      </c>
      <c r="AA13" s="469" t="e">
        <f t="shared" ca="1" si="8"/>
        <v>#NAME?</v>
      </c>
      <c r="AB13" s="469" t="e">
        <f t="shared" ca="1" si="9"/>
        <v>#NAME?</v>
      </c>
      <c r="AD13" s="469" t="str">
        <f>AD6</f>
        <v>Old</v>
      </c>
      <c r="AE13" s="469" t="str">
        <f>AD7</f>
        <v>Control</v>
      </c>
      <c r="AF13" s="469" t="e">
        <f ca="1">ABS(AG6-AG7)</f>
        <v>#NAME?</v>
      </c>
      <c r="AG13" s="469" t="e">
        <f ca="1">SQRT((SUMSQ(RANKS($B$4:$D$13,1))-AF$8/4*(AF$8+1)^2)/(AF$8-1)*(AF$8-1-KRUSKAL($B$4:$D$13))/(AF$8-COUNT(AF$5:AF$7))*(1/AF6+1/AF7))</f>
        <v>#NAME?</v>
      </c>
      <c r="AH13" s="469" t="e">
        <f t="shared" ca="1" si="10"/>
        <v>#NAME?</v>
      </c>
      <c r="AI13" s="469" t="e">
        <f ca="1">AG13*AH$8</f>
        <v>#NAME?</v>
      </c>
      <c r="AJ13" s="469" t="e">
        <f ca="1">_xlfn.T.DIST.2T(AH13,AI$8)</f>
        <v>#NAME?</v>
      </c>
      <c r="AL13" t="str">
        <f>B3</f>
        <v>New</v>
      </c>
      <c r="AM13" t="str">
        <f>C3</f>
        <v>Old</v>
      </c>
      <c r="AN13" t="e">
        <f ca="1">MW_EXACT(B4:B13,C4:C13)</f>
        <v>#NAME?</v>
      </c>
      <c r="AO13">
        <f>ABS(AVERAGE(B4:B13)-AVERAGE(C4:C13))</f>
        <v>16.966666666666665</v>
      </c>
    </row>
    <row r="14" spans="1:55" x14ac:dyDescent="0.25">
      <c r="A14" t="s">
        <v>4</v>
      </c>
      <c r="B14">
        <f>AVERAGE(B4:B13)</f>
        <v>47.3</v>
      </c>
      <c r="C14">
        <f>AVERAGE(C4:C13)</f>
        <v>30.333333333333332</v>
      </c>
      <c r="D14">
        <f>AVERAGE(D4:D13)</f>
        <v>28.75</v>
      </c>
      <c r="AL14" t="str">
        <f>B3</f>
        <v>New</v>
      </c>
      <c r="AM14" t="str">
        <f>D3</f>
        <v>Control</v>
      </c>
      <c r="AN14" t="e">
        <f ca="1">MW_EXACT(B4:B13,D4:D13)</f>
        <v>#NAME?</v>
      </c>
      <c r="AO14">
        <f>ABS(AVERAGE(B4:B13)-AVERAGE(D4:D13))</f>
        <v>18.549999999999997</v>
      </c>
    </row>
    <row r="15" spans="1:55" x14ac:dyDescent="0.25">
      <c r="A15" t="s">
        <v>5</v>
      </c>
      <c r="B15">
        <f>VAR(B4:B13)</f>
        <v>206.67777777777761</v>
      </c>
      <c r="C15">
        <f>VAR(C4:C13)</f>
        <v>92.75</v>
      </c>
      <c r="D15">
        <f>VAR(D4:D13)</f>
        <v>173.64285714285714</v>
      </c>
      <c r="AL15" s="469" t="str">
        <f>C3</f>
        <v>Old</v>
      </c>
      <c r="AM15" s="469" t="str">
        <f>D3</f>
        <v>Control</v>
      </c>
      <c r="AN15" s="469" t="e">
        <f ca="1">MW_EXACT(C4:C13,D4:D13)</f>
        <v>#NAME?</v>
      </c>
      <c r="AO15" s="469">
        <f>ABS(AVERAGE(C4:C13)-AVERAGE(D4:D13))</f>
        <v>1.5833333333333321</v>
      </c>
    </row>
    <row r="16" spans="1:55" ht="15.75" thickBot="1" x14ac:dyDescent="0.3">
      <c r="N16" t="s">
        <v>627</v>
      </c>
      <c r="Q16" t="s">
        <v>70</v>
      </c>
      <c r="R16">
        <f>S3</f>
        <v>1.6666666666666666E-2</v>
      </c>
      <c r="V16" t="s">
        <v>721</v>
      </c>
      <c r="Y16" t="s">
        <v>70</v>
      </c>
      <c r="Z16">
        <f>AA3</f>
        <v>1.6666666666666666E-2</v>
      </c>
      <c r="AD16" t="s">
        <v>788</v>
      </c>
      <c r="AG16" t="s">
        <v>70</v>
      </c>
      <c r="AH16">
        <f>AI3</f>
        <v>1.6666666666666666E-2</v>
      </c>
    </row>
    <row r="17" spans="1:48" ht="15.75" thickTop="1" x14ac:dyDescent="0.25">
      <c r="N17" s="251" t="s">
        <v>757</v>
      </c>
      <c r="O17" s="251" t="s">
        <v>722</v>
      </c>
      <c r="P17" s="251" t="s">
        <v>666</v>
      </c>
      <c r="Q17" s="251" t="s">
        <v>642</v>
      </c>
      <c r="R17" s="251" t="s">
        <v>744</v>
      </c>
      <c r="V17" s="251" t="s">
        <v>757</v>
      </c>
      <c r="W17" s="251" t="s">
        <v>722</v>
      </c>
      <c r="X17" s="251" t="s">
        <v>666</v>
      </c>
      <c r="Y17" s="251" t="s">
        <v>642</v>
      </c>
      <c r="Z17" s="251" t="s">
        <v>644</v>
      </c>
      <c r="AD17" s="251" t="s">
        <v>757</v>
      </c>
      <c r="AE17" s="251" t="s">
        <v>722</v>
      </c>
      <c r="AF17" s="251" t="s">
        <v>666</v>
      </c>
      <c r="AG17" s="251" t="s">
        <v>642</v>
      </c>
      <c r="AH17" s="251" t="s">
        <v>57</v>
      </c>
      <c r="AI17" s="251" t="s">
        <v>51</v>
      </c>
      <c r="AQ17" t="s">
        <v>774</v>
      </c>
    </row>
    <row r="18" spans="1:48" ht="15.75" thickBot="1" x14ac:dyDescent="0.3">
      <c r="B18" s="501" t="s">
        <v>65</v>
      </c>
      <c r="C18" s="501" t="s">
        <v>59</v>
      </c>
      <c r="D18" s="501" t="s">
        <v>60</v>
      </c>
      <c r="F18" t="s">
        <v>733</v>
      </c>
      <c r="I18" t="s">
        <v>70</v>
      </c>
      <c r="J18">
        <v>0.05</v>
      </c>
      <c r="K18">
        <v>2.5000000000000001E-2</v>
      </c>
      <c r="N18" t="str">
        <f>B3</f>
        <v>New</v>
      </c>
      <c r="O18" t="e">
        <f ca="1">RANK_SUM(B4:D13,1,1)</f>
        <v>#NAME?</v>
      </c>
      <c r="P18">
        <f>COUNT(B4:B13)</f>
        <v>10</v>
      </c>
      <c r="Q18" t="e">
        <f ca="1">O18/P18</f>
        <v>#NAME?</v>
      </c>
      <c r="V18" t="str">
        <f>B3</f>
        <v>New</v>
      </c>
      <c r="W18" t="e">
        <f ca="1">RANK_SUM(B4:D13,1,1)</f>
        <v>#NAME?</v>
      </c>
      <c r="X18">
        <f>COUNT(B4:B13)</f>
        <v>10</v>
      </c>
      <c r="Y18" t="e">
        <f ca="1">W18/X18</f>
        <v>#NAME?</v>
      </c>
      <c r="AD18" t="str">
        <f>B3</f>
        <v>New</v>
      </c>
      <c r="AE18" t="e">
        <f ca="1">RANK_SUM(B4:D13,1,1)</f>
        <v>#NAME?</v>
      </c>
      <c r="AF18">
        <f>COUNT(B4:B13)</f>
        <v>10</v>
      </c>
      <c r="AG18" t="e">
        <f ca="1">AE18/AF18</f>
        <v>#NAME?</v>
      </c>
    </row>
    <row r="19" spans="1:48" ht="15.75" thickTop="1" x14ac:dyDescent="0.25">
      <c r="B19" s="12">
        <v>18</v>
      </c>
      <c r="C19" s="12">
        <v>81</v>
      </c>
      <c r="D19" s="12">
        <v>48</v>
      </c>
      <c r="F19" s="251" t="s">
        <v>757</v>
      </c>
      <c r="G19" s="251" t="s">
        <v>624</v>
      </c>
      <c r="H19" s="251" t="s">
        <v>666</v>
      </c>
      <c r="I19" s="251" t="s">
        <v>85</v>
      </c>
      <c r="J19" s="251" t="s">
        <v>620</v>
      </c>
      <c r="K19" s="251" t="s">
        <v>785</v>
      </c>
      <c r="N19" t="str">
        <f>C3</f>
        <v>Old</v>
      </c>
      <c r="O19" t="e">
        <f ca="1">RANK_SUM(B4:D13,2,1)</f>
        <v>#NAME?</v>
      </c>
      <c r="P19">
        <f>COUNT(C4:C13)</f>
        <v>9</v>
      </c>
      <c r="Q19" t="e">
        <f ca="1">O19/P19</f>
        <v>#NAME?</v>
      </c>
      <c r="V19" t="str">
        <f>C3</f>
        <v>Old</v>
      </c>
      <c r="W19" t="e">
        <f ca="1">RANK_SUM(B4:D13,2,1)</f>
        <v>#NAME?</v>
      </c>
      <c r="X19">
        <f>COUNT(C4:C13)</f>
        <v>9</v>
      </c>
      <c r="Y19" t="e">
        <f ca="1">W19/X19</f>
        <v>#NAME?</v>
      </c>
      <c r="AD19" t="str">
        <f>C3</f>
        <v>Old</v>
      </c>
      <c r="AE19" t="e">
        <f ca="1">RANK_SUM(B4:D13,2,1)</f>
        <v>#NAME?</v>
      </c>
      <c r="AF19">
        <f>COUNT(C4:C13)</f>
        <v>9</v>
      </c>
      <c r="AG19" t="e">
        <f ca="1">AE19/AF19</f>
        <v>#NAME?</v>
      </c>
      <c r="AQ19" t="s">
        <v>775</v>
      </c>
      <c r="AR19" s="344">
        <v>0.05</v>
      </c>
    </row>
    <row r="20" spans="1:48" x14ac:dyDescent="0.25">
      <c r="B20" s="12">
        <v>49</v>
      </c>
      <c r="C20" s="12">
        <v>32</v>
      </c>
      <c r="D20" s="12">
        <v>31</v>
      </c>
      <c r="F20" t="str">
        <f>B18</f>
        <v>Control</v>
      </c>
      <c r="G20" t="e">
        <f ca="1">RANK_SUM(B19:D28,1,1)</f>
        <v>#NAME?</v>
      </c>
      <c r="H20">
        <f>COUNT(B19:B28)</f>
        <v>10</v>
      </c>
      <c r="N20" t="str">
        <f>D3</f>
        <v>Control</v>
      </c>
      <c r="O20" t="e">
        <f ca="1">RANK_SUM(B4:D13,3,1)</f>
        <v>#NAME?</v>
      </c>
      <c r="P20">
        <f>COUNT(D4:D13)</f>
        <v>8</v>
      </c>
      <c r="Q20" t="e">
        <f ca="1">O20/P20</f>
        <v>#NAME?</v>
      </c>
      <c r="V20" t="str">
        <f>D3</f>
        <v>Control</v>
      </c>
      <c r="W20" t="e">
        <f ca="1">RANK_SUM(B4:D13,3,1)</f>
        <v>#NAME?</v>
      </c>
      <c r="X20">
        <f>COUNT(D4:D13)</f>
        <v>8</v>
      </c>
      <c r="Y20" t="e">
        <f ca="1">W20/X20</f>
        <v>#NAME?</v>
      </c>
      <c r="AD20" t="str">
        <f>D3</f>
        <v>Control</v>
      </c>
      <c r="AE20" t="e">
        <f ca="1">RANK_SUM(B4:D13,3,1)</f>
        <v>#NAME?</v>
      </c>
      <c r="AF20">
        <f>COUNT(D4:D13)</f>
        <v>8</v>
      </c>
      <c r="AG20" t="e">
        <f ca="1">AE20/AF20</f>
        <v>#NAME?</v>
      </c>
      <c r="AQ20" t="s">
        <v>776</v>
      </c>
      <c r="AR20" s="467">
        <f ca="1">COUNT(AS23:AS25)</f>
        <v>0</v>
      </c>
    </row>
    <row r="21" spans="1:48" ht="15.75" thickBot="1" x14ac:dyDescent="0.3">
      <c r="B21" s="12">
        <v>33</v>
      </c>
      <c r="C21" s="12">
        <v>42</v>
      </c>
      <c r="D21" s="12">
        <v>25</v>
      </c>
      <c r="F21" t="str">
        <f>C18</f>
        <v>New</v>
      </c>
      <c r="G21" t="e">
        <f ca="1">RANK_SUM(B19:D28,2,1)</f>
        <v>#NAME?</v>
      </c>
      <c r="H21">
        <f>COUNT(C19:C28)</f>
        <v>10</v>
      </c>
      <c r="N21" s="358"/>
      <c r="O21" s="358"/>
      <c r="P21" s="358">
        <f>SUM(P18:P20)</f>
        <v>27</v>
      </c>
      <c r="Q21" s="358"/>
      <c r="R21" s="358">
        <f>_xlfn.NORM.S.INV(1-R16/2)</f>
        <v>2.3939797998185104</v>
      </c>
      <c r="V21" s="358"/>
      <c r="W21" s="358"/>
      <c r="X21" s="358">
        <f>SUM(X18:X20)</f>
        <v>27</v>
      </c>
      <c r="Y21" s="358"/>
      <c r="Z21" s="358" t="e">
        <f ca="1">CHISQ_INV_RT(Z16,COUNT(X$5:X$7)-1)</f>
        <v>#NAME?</v>
      </c>
      <c r="AD21" s="358"/>
      <c r="AE21" s="358"/>
      <c r="AF21" s="358">
        <f>SUM(AF18:AF20)</f>
        <v>27</v>
      </c>
      <c r="AG21" s="358"/>
      <c r="AH21" s="358">
        <f>_xlfn.T.INV.2T(AH16,AI21)</f>
        <v>2.5736410170408828</v>
      </c>
      <c r="AI21" s="358">
        <f>AF21-COUNT(AF18:AF20)</f>
        <v>24</v>
      </c>
    </row>
    <row r="22" spans="1:48" ht="16.5" thickTop="1" thickBot="1" x14ac:dyDescent="0.3">
      <c r="B22" s="12">
        <v>19</v>
      </c>
      <c r="C22" s="12">
        <v>62</v>
      </c>
      <c r="D22" s="12">
        <v>22</v>
      </c>
      <c r="F22" t="str">
        <f>D18</f>
        <v>Old</v>
      </c>
      <c r="G22" t="e">
        <f ca="1">RANK_SUM(B19:D28,3,1)</f>
        <v>#NAME?</v>
      </c>
      <c r="H22">
        <f>COUNT(D19:D28)</f>
        <v>10</v>
      </c>
      <c r="N22" t="s">
        <v>628</v>
      </c>
      <c r="V22" t="s">
        <v>643</v>
      </c>
      <c r="AD22" t="s">
        <v>55</v>
      </c>
      <c r="AQ22" s="251" t="s">
        <v>731</v>
      </c>
      <c r="AR22" s="251" t="s">
        <v>732</v>
      </c>
      <c r="AS22" s="251" t="s">
        <v>56</v>
      </c>
      <c r="AT22" s="251" t="s">
        <v>777</v>
      </c>
      <c r="AU22" s="251" t="s">
        <v>70</v>
      </c>
      <c r="AV22" s="251" t="s">
        <v>188</v>
      </c>
    </row>
    <row r="23" spans="1:48" ht="15.75" thickTop="1" x14ac:dyDescent="0.25">
      <c r="B23" s="12">
        <v>24</v>
      </c>
      <c r="C23" s="12">
        <v>37</v>
      </c>
      <c r="D23" s="12">
        <v>30</v>
      </c>
      <c r="F23" s="358"/>
      <c r="G23" s="358"/>
      <c r="H23" s="358">
        <f>HARMEAN(H20:H22)</f>
        <v>9.9999999999999982</v>
      </c>
      <c r="I23" s="358">
        <f>SQRT(H23^2*COUNT(H$20:H$22)*(H23*COUNT(H20:H22)+1)/6)</f>
        <v>39.370039370059047</v>
      </c>
      <c r="J23" s="358" t="e">
        <f ca="1">DCRIT(COUNT(H20:H22),480,J18)</f>
        <v>#NAME?</v>
      </c>
      <c r="K23" s="358" t="e">
        <f ca="1">I23*J23</f>
        <v>#NAME?</v>
      </c>
      <c r="N23" s="251" t="s">
        <v>731</v>
      </c>
      <c r="O23" s="251" t="s">
        <v>732</v>
      </c>
      <c r="P23" s="251" t="s">
        <v>642</v>
      </c>
      <c r="Q23" s="251" t="s">
        <v>370</v>
      </c>
      <c r="R23" s="251" t="s">
        <v>743</v>
      </c>
      <c r="S23" s="251" t="s">
        <v>785</v>
      </c>
      <c r="T23" s="251" t="s">
        <v>56</v>
      </c>
      <c r="V23" s="251" t="s">
        <v>731</v>
      </c>
      <c r="W23" s="251" t="s">
        <v>732</v>
      </c>
      <c r="X23" s="251" t="s">
        <v>642</v>
      </c>
      <c r="Y23" s="251" t="s">
        <v>370</v>
      </c>
      <c r="Z23" s="251" t="s">
        <v>786</v>
      </c>
      <c r="AA23" s="251" t="s">
        <v>785</v>
      </c>
      <c r="AB23" s="251" t="s">
        <v>56</v>
      </c>
      <c r="AD23" s="251" t="s">
        <v>731</v>
      </c>
      <c r="AE23" s="251" t="s">
        <v>732</v>
      </c>
      <c r="AF23" s="251" t="s">
        <v>642</v>
      </c>
      <c r="AG23" s="251" t="s">
        <v>370</v>
      </c>
      <c r="AH23" s="251" t="s">
        <v>67</v>
      </c>
      <c r="AI23" s="251" t="s">
        <v>785</v>
      </c>
      <c r="AJ23" s="251" t="s">
        <v>56</v>
      </c>
      <c r="AQ23" t="e">
        <f t="array" aca="1" ref="AQ23:AS25" ca="1">QSORTRows(AL13:AN15,3)</f>
        <v>#NAME?</v>
      </c>
      <c r="AR23" t="e">
        <f ca="1"/>
        <v>#NAME?</v>
      </c>
      <c r="AS23" t="e">
        <f ca="1"/>
        <v>#NAME?</v>
      </c>
      <c r="AT23">
        <v>1</v>
      </c>
      <c r="AU23" t="e">
        <f ca="1">AR$19*AT23/AR$20</f>
        <v>#DIV/0!</v>
      </c>
      <c r="AV23" s="503" t="e">
        <f ca="1">IF(AV24="yes","yes",IF(AS23&lt;AU23,"yes","no"))</f>
        <v>#NAME?</v>
      </c>
    </row>
    <row r="24" spans="1:48" ht="15.75" thickBot="1" x14ac:dyDescent="0.3">
      <c r="B24" s="12">
        <v>17</v>
      </c>
      <c r="C24" s="12">
        <v>44</v>
      </c>
      <c r="D24" s="12">
        <v>30</v>
      </c>
      <c r="F24" t="s">
        <v>628</v>
      </c>
      <c r="N24" s="358" t="str">
        <f>N18</f>
        <v>New</v>
      </c>
      <c r="O24" s="358" t="str">
        <f>N19</f>
        <v>Old</v>
      </c>
      <c r="P24" s="358" t="e">
        <f ca="1">ABS(Q18-Q19)</f>
        <v>#NAME?</v>
      </c>
      <c r="Q24" s="358" t="e">
        <f ca="1">SQRT((P$8*(P$8+1)-TiesCorrection($B$4:$D$13)/(P$8-1))/12*(1/P18+1/P19))</f>
        <v>#NAME?</v>
      </c>
      <c r="R24" s="358" t="e">
        <f ca="1">P24/Q24</f>
        <v>#NAME?</v>
      </c>
      <c r="S24" s="358" t="e">
        <f ca="1">Q24*R$21</f>
        <v>#NAME?</v>
      </c>
      <c r="T24" s="358" t="e">
        <f ca="1">2*(1-_xlfn.NORM.S.DIST(R24,TRUE))</f>
        <v>#NAME?</v>
      </c>
      <c r="V24" s="358" t="str">
        <f>V18</f>
        <v>New</v>
      </c>
      <c r="W24" s="358" t="str">
        <f>V19</f>
        <v>Old</v>
      </c>
      <c r="X24" s="358" t="e">
        <f ca="1">ABS(Y18-Y19)</f>
        <v>#NAME?</v>
      </c>
      <c r="Y24" s="358" t="e">
        <f ca="1">SQRT((X$8*(X$8+1)-TiesCorrection($B$4:$D$13)/(X$8-1))/12*(1/X18+1/X19))</f>
        <v>#NAME?</v>
      </c>
      <c r="Z24" s="358" t="e">
        <f ca="1">(X24/Y24)^2</f>
        <v>#NAME?</v>
      </c>
      <c r="AA24" s="358" t="e">
        <f ca="1">Y24*SQRT(Z$21)</f>
        <v>#NAME?</v>
      </c>
      <c r="AB24" s="358" t="e">
        <f ca="1">_xlfn.CHISQ.DIST.RT(Z24,COUNT(X$5:X$7)-1)</f>
        <v>#NAME?</v>
      </c>
      <c r="AD24" s="358" t="str">
        <f>AD18</f>
        <v>New</v>
      </c>
      <c r="AE24" s="358" t="str">
        <f>AD19</f>
        <v>Old</v>
      </c>
      <c r="AF24" s="358" t="e">
        <f ca="1">ABS(AG18-AG19)</f>
        <v>#NAME?</v>
      </c>
      <c r="AG24" s="358" t="e">
        <f ca="1">SQRT((SUMSQ(RANKS($B$4:$D$13,1))-AF$8/4*(AF$8+1)^2)/(AF$8-1)*(AF$8-1-KRUSKAL($B$4:$D$13))/(AF$8-COUNT(AF$5:AF$7))*(1/AF18+1/AF19))</f>
        <v>#NAME?</v>
      </c>
      <c r="AH24" s="358" t="e">
        <f ca="1">AF24/AG24</f>
        <v>#NAME?</v>
      </c>
      <c r="AI24" s="358" t="e">
        <f ca="1">AG24*AH$21</f>
        <v>#NAME?</v>
      </c>
      <c r="AJ24" s="358" t="e">
        <f ca="1">_xlfn.T.DIST.2T(AH24,AI$8)</f>
        <v>#NAME?</v>
      </c>
      <c r="AQ24" t="e">
        <f ca="1"/>
        <v>#NAME?</v>
      </c>
      <c r="AR24" t="e">
        <f ca="1"/>
        <v>#NAME?</v>
      </c>
      <c r="AS24" t="e">
        <f ca="1"/>
        <v>#NAME?</v>
      </c>
      <c r="AT24">
        <f>AT23+1</f>
        <v>2</v>
      </c>
      <c r="AU24" t="e">
        <f ca="1">AR$19*AT24/AR$20</f>
        <v>#DIV/0!</v>
      </c>
      <c r="AV24" s="503" t="e">
        <f t="shared" ref="AV24:AV25" ca="1" si="11">IF(AV25="yes","yes",IF(AS24&lt;AU24,"yes","no"))</f>
        <v>#NAME?</v>
      </c>
    </row>
    <row r="25" spans="1:48" ht="15.75" thickTop="1" x14ac:dyDescent="0.25">
      <c r="B25" s="12">
        <v>48</v>
      </c>
      <c r="C25" s="12">
        <v>38</v>
      </c>
      <c r="D25" s="12">
        <v>32</v>
      </c>
      <c r="F25" s="251" t="s">
        <v>757</v>
      </c>
      <c r="G25" s="251" t="s">
        <v>722</v>
      </c>
      <c r="H25" s="251" t="s">
        <v>619</v>
      </c>
      <c r="I25" s="251" t="s">
        <v>56</v>
      </c>
      <c r="N25" t="str">
        <f>N18</f>
        <v>New</v>
      </c>
      <c r="O25" t="str">
        <f>N20</f>
        <v>Control</v>
      </c>
      <c r="P25" t="e">
        <f ca="1">ABS(Q18-Q20)</f>
        <v>#NAME?</v>
      </c>
      <c r="Q25" t="e">
        <f ca="1">SQRT((P$8*(P$8+1)-TiesCorrection($B$4:$D$13)/(P$8-1))/12*(1/P18+1/P20))</f>
        <v>#NAME?</v>
      </c>
      <c r="R25" t="e">
        <f t="shared" ref="R25:R26" ca="1" si="12">P25/Q25</f>
        <v>#NAME?</v>
      </c>
      <c r="S25" t="e">
        <f ca="1">Q25*R$21</f>
        <v>#NAME?</v>
      </c>
      <c r="T25" t="e">
        <f t="shared" ref="T25:T26" ca="1" si="13">2*(1-_xlfn.NORM.S.DIST(R25,TRUE))</f>
        <v>#NAME?</v>
      </c>
      <c r="V25" t="str">
        <f>V18</f>
        <v>New</v>
      </c>
      <c r="W25" t="str">
        <f>V20</f>
        <v>Control</v>
      </c>
      <c r="X25" t="e">
        <f ca="1">ABS(Y18-Y20)</f>
        <v>#NAME?</v>
      </c>
      <c r="Y25" t="e">
        <f ca="1">SQRT((X$8*(X$8+1)-TiesCorrection($B$4:$D$13)/(X$8-1))/12*(1/X18+1/X20))</f>
        <v>#NAME?</v>
      </c>
      <c r="Z25" t="e">
        <f t="shared" ref="Z25:Z26" ca="1" si="14">(X25/Y25)^2</f>
        <v>#NAME?</v>
      </c>
      <c r="AA25" t="e">
        <f ca="1">Y25*SQRT(Z$21)</f>
        <v>#NAME?</v>
      </c>
      <c r="AB25" t="e">
        <f t="shared" ref="AB25:AB26" ca="1" si="15">_xlfn.CHISQ.DIST.RT(Z25,COUNT(X$5:X$7)-1)</f>
        <v>#NAME?</v>
      </c>
      <c r="AD25" t="str">
        <f>AD18</f>
        <v>New</v>
      </c>
      <c r="AE25" t="str">
        <f>AD20</f>
        <v>Control</v>
      </c>
      <c r="AF25" t="e">
        <f ca="1">ABS(AG18-AG20)</f>
        <v>#NAME?</v>
      </c>
      <c r="AG25" t="e">
        <f ca="1">SQRT((SUMSQ(RANKS($B$4:$D$13,1))-AF$8/4*(AF$8+1)^2)/(AF$8-1)*(AF$8-1-KRUSKAL($B$4:$D$13))/(AF$8-COUNT(AF$5:AF$7))*(1/AF18+1/AF20))</f>
        <v>#NAME?</v>
      </c>
      <c r="AH25" t="e">
        <f t="shared" ref="AH25:AH26" ca="1" si="16">AF25/AG25</f>
        <v>#NAME?</v>
      </c>
      <c r="AI25" t="e">
        <f ca="1">AG25*AH$21</f>
        <v>#NAME?</v>
      </c>
      <c r="AJ25" t="e">
        <f ca="1">_xlfn.T.DIST.2T(AH25,AI$8)</f>
        <v>#NAME?</v>
      </c>
      <c r="AQ25" s="469" t="e">
        <f ca="1"/>
        <v>#NAME?</v>
      </c>
      <c r="AR25" s="469" t="e">
        <f ca="1"/>
        <v>#NAME?</v>
      </c>
      <c r="AS25" s="469" t="e">
        <f ca="1"/>
        <v>#NAME?</v>
      </c>
      <c r="AT25" s="469">
        <f>AT24+1</f>
        <v>3</v>
      </c>
      <c r="AU25" s="469" t="e">
        <f ca="1">AR$19*AT25/AR$20</f>
        <v>#DIV/0!</v>
      </c>
      <c r="AV25" s="486" t="e">
        <f t="shared" ca="1" si="11"/>
        <v>#NAME?</v>
      </c>
    </row>
    <row r="26" spans="1:48" x14ac:dyDescent="0.25">
      <c r="B26" s="12">
        <v>22</v>
      </c>
      <c r="C26" s="12">
        <v>47</v>
      </c>
      <c r="D26" s="12">
        <v>15</v>
      </c>
      <c r="F26" s="358" t="str">
        <f>F21</f>
        <v>New</v>
      </c>
      <c r="G26" s="358" t="e">
        <f ca="1">ABS(G$20-G21)</f>
        <v>#NAME?</v>
      </c>
      <c r="H26" s="358" t="e">
        <f ca="1">G26/I$23</f>
        <v>#NAME?</v>
      </c>
      <c r="I26" s="358" t="e">
        <f ca="1">DPROB(H26,COUNT(H$20:H$22),480)</f>
        <v>#NAME?</v>
      </c>
      <c r="N26" s="469" t="str">
        <f>N19</f>
        <v>Old</v>
      </c>
      <c r="O26" s="469" t="str">
        <f>N20</f>
        <v>Control</v>
      </c>
      <c r="P26" s="469" t="e">
        <f ca="1">ABS(Q19-Q20)</f>
        <v>#NAME?</v>
      </c>
      <c r="Q26" s="469" t="e">
        <f ca="1">SQRT((P$8*(P$8+1)-TiesCorrection($B$4:$D$13)/(P$8-1))/12*(1/P19+1/P20))</f>
        <v>#NAME?</v>
      </c>
      <c r="R26" s="469" t="e">
        <f t="shared" ca="1" si="12"/>
        <v>#NAME?</v>
      </c>
      <c r="S26" s="469" t="e">
        <f ca="1">Q26*R$21</f>
        <v>#NAME?</v>
      </c>
      <c r="T26" s="469" t="e">
        <f t="shared" ca="1" si="13"/>
        <v>#NAME?</v>
      </c>
      <c r="V26" s="469" t="str">
        <f>V19</f>
        <v>Old</v>
      </c>
      <c r="W26" s="469" t="str">
        <f>V20</f>
        <v>Control</v>
      </c>
      <c r="X26" s="469" t="e">
        <f ca="1">ABS(Y19-Y20)</f>
        <v>#NAME?</v>
      </c>
      <c r="Y26" s="469" t="e">
        <f ca="1">SQRT((X$8*(X$8+1)-TiesCorrection($B$4:$D$13)/(X$8-1))/12*(1/X19+1/X20))</f>
        <v>#NAME?</v>
      </c>
      <c r="Z26" s="469" t="e">
        <f t="shared" ca="1" si="14"/>
        <v>#NAME?</v>
      </c>
      <c r="AA26" s="469" t="e">
        <f ca="1">Y26*SQRT(Z$21)</f>
        <v>#NAME?</v>
      </c>
      <c r="AB26" s="469" t="e">
        <f t="shared" ca="1" si="15"/>
        <v>#NAME?</v>
      </c>
      <c r="AD26" s="469" t="str">
        <f>AD19</f>
        <v>Old</v>
      </c>
      <c r="AE26" s="469" t="str">
        <f>AD20</f>
        <v>Control</v>
      </c>
      <c r="AF26" s="469" t="e">
        <f ca="1">ABS(AG19-AG20)</f>
        <v>#NAME?</v>
      </c>
      <c r="AG26" s="469" t="e">
        <f ca="1">SQRT((SUMSQ(RANKS($B$4:$D$13,1))-AF$8/4*(AF$8+1)^2)/(AF$8-1)*(AF$8-1-KRUSKAL($B$4:$D$13))/(AF$8-COUNT(AF$5:AF$7))*(1/AF19+1/AF20))</f>
        <v>#NAME?</v>
      </c>
      <c r="AH26" s="469" t="e">
        <f t="shared" ca="1" si="16"/>
        <v>#NAME?</v>
      </c>
      <c r="AI26" s="469" t="e">
        <f ca="1">AG26*AH$21</f>
        <v>#NAME?</v>
      </c>
      <c r="AJ26" s="469" t="e">
        <f ca="1">_xlfn.T.DIST.2T(AH26,AI$8)</f>
        <v>#NAME?</v>
      </c>
    </row>
    <row r="27" spans="1:48" x14ac:dyDescent="0.25">
      <c r="B27" s="12">
        <v>35</v>
      </c>
      <c r="C27" s="12">
        <v>49</v>
      </c>
      <c r="D27" s="12">
        <v>64</v>
      </c>
      <c r="F27" s="469" t="str">
        <f>F22</f>
        <v>Old</v>
      </c>
      <c r="G27" s="469" t="e">
        <f ca="1">ABS(G$20-G22)</f>
        <v>#NAME?</v>
      </c>
      <c r="H27" s="469" t="e">
        <f ca="1">G27/I$23</f>
        <v>#NAME?</v>
      </c>
      <c r="I27" s="469" t="e">
        <f ca="1">DPROB(H27,COUNT(H$20:H$22),480)</f>
        <v>#NAME?</v>
      </c>
    </row>
    <row r="28" spans="1:48" x14ac:dyDescent="0.25">
      <c r="B28" s="491">
        <v>30</v>
      </c>
      <c r="C28" s="491">
        <v>31</v>
      </c>
      <c r="D28" s="491">
        <v>50</v>
      </c>
    </row>
    <row r="29" spans="1:48" x14ac:dyDescent="0.25">
      <c r="A29" t="s">
        <v>4</v>
      </c>
      <c r="B29">
        <f>AVERAGE(B19:B28)</f>
        <v>29.5</v>
      </c>
      <c r="C29">
        <f>AVERAGE(C19:C28)</f>
        <v>46.3</v>
      </c>
      <c r="D29">
        <f>AVERAGE(D19:D28)</f>
        <v>34.700000000000003</v>
      </c>
    </row>
    <row r="30" spans="1:48" ht="15.75" thickBot="1" x14ac:dyDescent="0.3">
      <c r="A30" t="s">
        <v>5</v>
      </c>
      <c r="B30">
        <f>VAR(B19:B28)</f>
        <v>138.94444444444446</v>
      </c>
      <c r="C30">
        <f>VAR(C19:C28)</f>
        <v>230.67777777777761</v>
      </c>
      <c r="D30">
        <f>VAR(D19:D28)</f>
        <v>219.78888888888892</v>
      </c>
      <c r="F30" t="s">
        <v>733</v>
      </c>
      <c r="I30" t="s">
        <v>70</v>
      </c>
      <c r="J30">
        <f>K18</f>
        <v>2.5000000000000001E-2</v>
      </c>
    </row>
    <row r="31" spans="1:48" ht="15.75" thickTop="1" x14ac:dyDescent="0.25">
      <c r="F31" s="251" t="s">
        <v>757</v>
      </c>
      <c r="G31" s="251" t="s">
        <v>624</v>
      </c>
      <c r="H31" s="251" t="s">
        <v>666</v>
      </c>
      <c r="I31" s="251" t="s">
        <v>85</v>
      </c>
      <c r="J31" s="251" t="s">
        <v>620</v>
      </c>
      <c r="K31" s="251" t="s">
        <v>785</v>
      </c>
    </row>
    <row r="32" spans="1:48" x14ac:dyDescent="0.25">
      <c r="F32" t="str">
        <f>B18</f>
        <v>Control</v>
      </c>
      <c r="G32" t="e">
        <f ca="1">RANK_SUM(B19:D28,1,1)</f>
        <v>#NAME?</v>
      </c>
      <c r="H32">
        <f>COUNT(B19:B28)</f>
        <v>10</v>
      </c>
    </row>
    <row r="33" spans="6:11" x14ac:dyDescent="0.25">
      <c r="F33" t="str">
        <f>C18</f>
        <v>New</v>
      </c>
      <c r="G33" t="e">
        <f ca="1">RANK_SUM(B19:D28,2,1)</f>
        <v>#NAME?</v>
      </c>
      <c r="H33">
        <f>COUNT(C19:C28)</f>
        <v>10</v>
      </c>
    </row>
    <row r="34" spans="6:11" x14ac:dyDescent="0.25">
      <c r="F34" t="str">
        <f>D18</f>
        <v>Old</v>
      </c>
      <c r="G34" t="e">
        <f ca="1">RANK_SUM(B19:D28,3,1)</f>
        <v>#NAME?</v>
      </c>
      <c r="H34">
        <f>COUNT(D19:D28)</f>
        <v>10</v>
      </c>
    </row>
    <row r="35" spans="6:11" x14ac:dyDescent="0.25">
      <c r="F35" s="358"/>
      <c r="G35" s="358"/>
      <c r="H35" s="358">
        <f>HARMEAN(H32:H34)</f>
        <v>9.9999999999999982</v>
      </c>
      <c r="I35" s="358">
        <f>SQRT(H35^2*COUNT(H$20:H$22)*(H35*COUNT(H32:H34)+1)/6)</f>
        <v>39.370039370059047</v>
      </c>
      <c r="J35" s="358" t="e">
        <f ca="1">DCRIT(COUNT(H32:H34),480,J30)</f>
        <v>#NAME?</v>
      </c>
      <c r="K35" s="358" t="e">
        <f ca="1">I35*J35</f>
        <v>#NAME?</v>
      </c>
    </row>
    <row r="36" spans="6:11" ht="15.75" thickBot="1" x14ac:dyDescent="0.3">
      <c r="F36" t="s">
        <v>628</v>
      </c>
    </row>
    <row r="37" spans="6:11" ht="15.75" thickTop="1" x14ac:dyDescent="0.25">
      <c r="F37" s="251" t="s">
        <v>757</v>
      </c>
      <c r="G37" s="251" t="s">
        <v>722</v>
      </c>
      <c r="H37" s="251" t="s">
        <v>619</v>
      </c>
      <c r="I37" s="251" t="s">
        <v>56</v>
      </c>
    </row>
    <row r="38" spans="6:11" x14ac:dyDescent="0.25">
      <c r="F38" s="358" t="str">
        <f>F33</f>
        <v>New</v>
      </c>
      <c r="G38" s="358" t="e">
        <f ca="1">ABS(G$20-G33)</f>
        <v>#NAME?</v>
      </c>
      <c r="H38" s="358" t="e">
        <f ca="1">G38/I$23</f>
        <v>#NAME?</v>
      </c>
      <c r="I38" s="358" t="e">
        <f ca="1">DPROB(H38,COUNT(H$20:H$22),480)</f>
        <v>#NAME?</v>
      </c>
    </row>
    <row r="39" spans="6:11" x14ac:dyDescent="0.25">
      <c r="F39" s="469" t="str">
        <f>F34</f>
        <v>Old</v>
      </c>
      <c r="G39" s="469" t="e">
        <f ca="1">ABS(G$20-G34)</f>
        <v>#NAME?</v>
      </c>
      <c r="H39" s="469" t="e">
        <f ca="1">G39/I$23</f>
        <v>#NAME?</v>
      </c>
      <c r="I39" s="469" t="e">
        <f ca="1">DPROB(H39,COUNT(H$20:H$22),480)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F129"/>
  <sheetViews>
    <sheetView workbookViewId="0"/>
  </sheetViews>
  <sheetFormatPr defaultRowHeight="15" x14ac:dyDescent="0.25"/>
  <cols>
    <col min="9" max="15" width="6.42578125" customWidth="1"/>
    <col min="16" max="16" width="4.42578125" customWidth="1"/>
    <col min="17" max="17" width="7" customWidth="1"/>
    <col min="18" max="20" width="4.140625" customWidth="1"/>
    <col min="22" max="22" width="4.5703125" customWidth="1"/>
    <col min="23" max="23" width="2.42578125" customWidth="1"/>
    <col min="24" max="26" width="6.42578125" customWidth="1"/>
    <col min="27" max="27" width="5.28515625" customWidth="1"/>
  </cols>
  <sheetData>
    <row r="1" spans="1:32" x14ac:dyDescent="0.25">
      <c r="A1" s="1" t="s">
        <v>835</v>
      </c>
    </row>
    <row r="3" spans="1:32" x14ac:dyDescent="0.25">
      <c r="A3" s="510"/>
      <c r="B3" s="510" t="s">
        <v>837</v>
      </c>
      <c r="C3" s="510" t="s">
        <v>838</v>
      </c>
      <c r="D3" s="510" t="s">
        <v>839</v>
      </c>
      <c r="E3" s="510" t="s">
        <v>840</v>
      </c>
      <c r="F3" s="510" t="s">
        <v>841</v>
      </c>
      <c r="G3" s="510"/>
      <c r="I3" s="510"/>
      <c r="J3" s="510">
        <v>1</v>
      </c>
      <c r="K3" s="510">
        <v>2</v>
      </c>
      <c r="L3" s="510">
        <v>3</v>
      </c>
      <c r="M3" s="510">
        <v>4</v>
      </c>
      <c r="N3" s="510">
        <v>5</v>
      </c>
      <c r="O3" s="510"/>
      <c r="Q3" s="487" t="e">
        <f t="array" aca="1" ref="Q3:S17" ca="1">Anova2Std(I3:N6)</f>
        <v>#NAME?</v>
      </c>
      <c r="R3" s="252" t="e">
        <f ca="1"/>
        <v>#NAME?</v>
      </c>
      <c r="S3" s="488" t="e">
        <f ca="1"/>
        <v>#NAME?</v>
      </c>
      <c r="U3" s="252" t="e">
        <f t="array" aca="1" ref="U3:V129" ca="1">Freq2RAW(Q3:S17)</f>
        <v>#NAME?</v>
      </c>
      <c r="V3" s="252" t="e">
        <f ca="1"/>
        <v>#NAME?</v>
      </c>
      <c r="X3" t="s">
        <v>495</v>
      </c>
    </row>
    <row r="4" spans="1:32" x14ac:dyDescent="0.25">
      <c r="A4" s="510" t="s">
        <v>842</v>
      </c>
      <c r="B4" s="489">
        <v>5</v>
      </c>
      <c r="C4" s="255">
        <v>9</v>
      </c>
      <c r="D4" s="255">
        <v>8</v>
      </c>
      <c r="E4" s="255">
        <v>12</v>
      </c>
      <c r="F4" s="511">
        <v>7</v>
      </c>
      <c r="G4" s="510">
        <f>SUM(B4:F4)</f>
        <v>41</v>
      </c>
      <c r="I4" s="510" t="s">
        <v>842</v>
      </c>
      <c r="J4" s="489">
        <v>5</v>
      </c>
      <c r="K4" s="255">
        <v>9</v>
      </c>
      <c r="L4" s="255">
        <v>8</v>
      </c>
      <c r="M4" s="255">
        <v>12</v>
      </c>
      <c r="N4" s="511">
        <v>7</v>
      </c>
      <c r="O4" s="510">
        <f>SUM(J4:N4)</f>
        <v>41</v>
      </c>
      <c r="Q4" s="180" t="e">
        <f ca="1"/>
        <v>#NAME?</v>
      </c>
      <c r="R4" t="e">
        <f ca="1"/>
        <v>#NAME?</v>
      </c>
      <c r="S4" s="181" t="e">
        <f ca="1"/>
        <v>#NAME?</v>
      </c>
      <c r="U4" t="e">
        <f ca="1"/>
        <v>#NAME?</v>
      </c>
      <c r="V4" t="e">
        <f ca="1"/>
        <v>#NAME?</v>
      </c>
    </row>
    <row r="5" spans="1:32" x14ac:dyDescent="0.25">
      <c r="A5" s="510" t="s">
        <v>843</v>
      </c>
      <c r="B5" s="182">
        <v>3</v>
      </c>
      <c r="C5" s="510">
        <v>5</v>
      </c>
      <c r="D5" s="510">
        <v>11</v>
      </c>
      <c r="E5" s="510">
        <v>13</v>
      </c>
      <c r="F5" s="177">
        <v>6</v>
      </c>
      <c r="G5" s="510">
        <f t="shared" ref="G5:G6" si="0">SUM(B5:F5)</f>
        <v>38</v>
      </c>
      <c r="I5" s="510" t="s">
        <v>843</v>
      </c>
      <c r="J5" s="182">
        <v>3</v>
      </c>
      <c r="K5" s="510">
        <v>5</v>
      </c>
      <c r="L5" s="510">
        <v>11</v>
      </c>
      <c r="M5" s="510">
        <v>13</v>
      </c>
      <c r="N5" s="177">
        <v>6</v>
      </c>
      <c r="O5" s="510">
        <f t="shared" ref="O5:O6" si="1">SUM(J5:N5)</f>
        <v>38</v>
      </c>
      <c r="Q5" s="180" t="e">
        <f ca="1"/>
        <v>#NAME?</v>
      </c>
      <c r="R5" t="e">
        <f ca="1"/>
        <v>#NAME?</v>
      </c>
      <c r="S5" s="181" t="e">
        <f ca="1"/>
        <v>#NAME?</v>
      </c>
      <c r="U5" t="e">
        <f ca="1"/>
        <v>#NAME?</v>
      </c>
      <c r="V5" t="e">
        <f ca="1"/>
        <v>#NAME?</v>
      </c>
      <c r="X5" t="e">
        <f t="array" aca="1" ref="X5:Z53" ca="1">StdAnova1(U3:V129)</f>
        <v>#NAME?</v>
      </c>
      <c r="Y5" t="e">
        <f ca="1"/>
        <v>#NAME?</v>
      </c>
      <c r="Z5" t="e">
        <f ca="1"/>
        <v>#NAME?</v>
      </c>
      <c r="AB5" t="s">
        <v>474</v>
      </c>
    </row>
    <row r="6" spans="1:32" x14ac:dyDescent="0.25">
      <c r="A6" s="510" t="s">
        <v>844</v>
      </c>
      <c r="B6" s="490">
        <v>2</v>
      </c>
      <c r="C6" s="486">
        <v>6</v>
      </c>
      <c r="D6" s="486">
        <v>11</v>
      </c>
      <c r="E6" s="486">
        <v>15</v>
      </c>
      <c r="F6" s="512">
        <v>14</v>
      </c>
      <c r="G6" s="510">
        <f t="shared" si="0"/>
        <v>48</v>
      </c>
      <c r="I6" s="510" t="s">
        <v>844</v>
      </c>
      <c r="J6" s="490">
        <v>2</v>
      </c>
      <c r="K6" s="486">
        <v>6</v>
      </c>
      <c r="L6" s="486">
        <v>11</v>
      </c>
      <c r="M6" s="486">
        <v>15</v>
      </c>
      <c r="N6" s="512">
        <v>14</v>
      </c>
      <c r="O6" s="510">
        <f t="shared" si="1"/>
        <v>48</v>
      </c>
      <c r="Q6" s="180" t="e">
        <f ca="1"/>
        <v>#NAME?</v>
      </c>
      <c r="R6" t="e">
        <f ca="1"/>
        <v>#NAME?</v>
      </c>
      <c r="S6" s="181" t="e">
        <f ca="1"/>
        <v>#NAME?</v>
      </c>
      <c r="U6" t="e">
        <f ca="1"/>
        <v>#NAME?</v>
      </c>
      <c r="V6" t="e">
        <f ca="1"/>
        <v>#NAME?</v>
      </c>
      <c r="X6" s="481" t="e">
        <f ca="1"/>
        <v>#NAME?</v>
      </c>
      <c r="Y6" s="482" t="e">
        <f ca="1"/>
        <v>#NAME?</v>
      </c>
      <c r="Z6" s="483" t="e">
        <f ca="1"/>
        <v>#NAME?</v>
      </c>
    </row>
    <row r="7" spans="1:32" x14ac:dyDescent="0.25">
      <c r="A7" s="510"/>
      <c r="B7" s="510">
        <f>SUM(B4:B6)</f>
        <v>10</v>
      </c>
      <c r="C7" s="510">
        <f t="shared" ref="C7:G7" si="2">SUM(C4:C6)</f>
        <v>20</v>
      </c>
      <c r="D7" s="510">
        <f t="shared" si="2"/>
        <v>30</v>
      </c>
      <c r="E7" s="510">
        <f t="shared" si="2"/>
        <v>40</v>
      </c>
      <c r="F7" s="510">
        <f t="shared" si="2"/>
        <v>27</v>
      </c>
      <c r="G7" s="510">
        <f t="shared" si="2"/>
        <v>127</v>
      </c>
      <c r="I7" s="510"/>
      <c r="J7" s="510">
        <f>SUM(J4:J6)</f>
        <v>10</v>
      </c>
      <c r="K7" s="510">
        <f t="shared" ref="K7:O7" si="3">SUM(K4:K6)</f>
        <v>20</v>
      </c>
      <c r="L7" s="510">
        <f t="shared" si="3"/>
        <v>30</v>
      </c>
      <c r="M7" s="510">
        <f t="shared" si="3"/>
        <v>40</v>
      </c>
      <c r="N7" s="510">
        <f t="shared" si="3"/>
        <v>27</v>
      </c>
      <c r="O7" s="510">
        <f t="shared" si="3"/>
        <v>127</v>
      </c>
      <c r="Q7" s="180" t="e">
        <f ca="1"/>
        <v>#NAME?</v>
      </c>
      <c r="R7" t="e">
        <f ca="1"/>
        <v>#NAME?</v>
      </c>
      <c r="S7" s="181" t="e">
        <f ca="1"/>
        <v>#NAME?</v>
      </c>
      <c r="U7" t="e">
        <f ca="1"/>
        <v>#NAME?</v>
      </c>
      <c r="V7" t="e">
        <f ca="1"/>
        <v>#NAME?</v>
      </c>
      <c r="X7" s="178" t="e">
        <f ca="1"/>
        <v>#NAME?</v>
      </c>
      <c r="Y7" t="e">
        <f ca="1"/>
        <v>#NAME?</v>
      </c>
      <c r="Z7" s="40" t="e">
        <f ca="1"/>
        <v>#NAME?</v>
      </c>
      <c r="AC7" t="e">
        <f ca="1">X5</f>
        <v>#NAME?</v>
      </c>
      <c r="AD7" t="e">
        <f t="shared" ref="AD7:AE7" ca="1" si="4">Y5</f>
        <v>#NAME?</v>
      </c>
      <c r="AE7" t="e">
        <f t="shared" ca="1" si="4"/>
        <v>#NAME?</v>
      </c>
    </row>
    <row r="8" spans="1:32" x14ac:dyDescent="0.25">
      <c r="Q8" s="180" t="e">
        <f ca="1"/>
        <v>#NAME?</v>
      </c>
      <c r="R8" t="e">
        <f ca="1"/>
        <v>#NAME?</v>
      </c>
      <c r="S8" s="181" t="e">
        <f ca="1"/>
        <v>#NAME?</v>
      </c>
      <c r="U8" t="e">
        <f ca="1"/>
        <v>#NAME?</v>
      </c>
      <c r="V8" t="e">
        <f ca="1"/>
        <v>#NAME?</v>
      </c>
      <c r="X8" s="178" t="e">
        <f ca="1"/>
        <v>#NAME?</v>
      </c>
      <c r="Y8" t="e">
        <f ca="1"/>
        <v>#NAME?</v>
      </c>
      <c r="Z8" s="40" t="e">
        <f ca="1"/>
        <v>#NAME?</v>
      </c>
      <c r="AB8" t="s">
        <v>229</v>
      </c>
      <c r="AC8" s="481" t="e">
        <f ca="1">MEDIAN(X6:X53)</f>
        <v>#NAME?</v>
      </c>
      <c r="AD8" s="482" t="e">
        <f t="shared" ref="AD8:AE8" ca="1" si="5">MEDIAN(Y6:Y53)</f>
        <v>#NAME?</v>
      </c>
      <c r="AE8" s="483" t="e">
        <f t="shared" ca="1" si="5"/>
        <v>#NAME?</v>
      </c>
    </row>
    <row r="9" spans="1:32" x14ac:dyDescent="0.25">
      <c r="Q9" s="180" t="e">
        <f ca="1"/>
        <v>#NAME?</v>
      </c>
      <c r="R9" t="e">
        <f ca="1"/>
        <v>#NAME?</v>
      </c>
      <c r="S9" s="181" t="e">
        <f ca="1"/>
        <v>#NAME?</v>
      </c>
      <c r="U9" t="e">
        <f ca="1"/>
        <v>#NAME?</v>
      </c>
      <c r="V9" t="e">
        <f ca="1"/>
        <v>#NAME?</v>
      </c>
      <c r="X9" s="178" t="e">
        <f ca="1"/>
        <v>#NAME?</v>
      </c>
      <c r="Y9" t="e">
        <f ca="1"/>
        <v>#NAME?</v>
      </c>
      <c r="Z9" s="40" t="e">
        <f ca="1"/>
        <v>#NAME?</v>
      </c>
      <c r="AB9" t="s">
        <v>378</v>
      </c>
      <c r="AC9" s="178" t="e">
        <f ca="1">RANK_SUM(X6:Z53, 1,1)</f>
        <v>#NAME?</v>
      </c>
      <c r="AD9" t="e">
        <f ca="1">RANK_SUM(X6:Z53, 2,1)</f>
        <v>#NAME?</v>
      </c>
      <c r="AE9" s="40" t="e">
        <f ca="1">RANK_SUM(X6:Z53, 3,1)</f>
        <v>#NAME?</v>
      </c>
    </row>
    <row r="10" spans="1:32" x14ac:dyDescent="0.25">
      <c r="Q10" s="180" t="e">
        <f ca="1"/>
        <v>#NAME?</v>
      </c>
      <c r="R10" t="e">
        <f ca="1"/>
        <v>#NAME?</v>
      </c>
      <c r="S10" s="181" t="e">
        <f ca="1"/>
        <v>#NAME?</v>
      </c>
      <c r="U10" t="e">
        <f ca="1"/>
        <v>#NAME?</v>
      </c>
      <c r="V10" t="e">
        <f ca="1"/>
        <v>#NAME?</v>
      </c>
      <c r="X10" s="178" t="e">
        <f ca="1"/>
        <v>#NAME?</v>
      </c>
      <c r="Y10" t="e">
        <f ca="1"/>
        <v>#NAME?</v>
      </c>
      <c r="Z10" s="40" t="e">
        <f ca="1"/>
        <v>#NAME?</v>
      </c>
      <c r="AB10" t="s">
        <v>87</v>
      </c>
      <c r="AC10" s="178">
        <f ca="1">COUNT(X6:X53)</f>
        <v>0</v>
      </c>
      <c r="AD10">
        <f t="shared" ref="AD10:AE10" ca="1" si="6">COUNT(Y6:Y53)</f>
        <v>0</v>
      </c>
      <c r="AE10" s="40">
        <f t="shared" ca="1" si="6"/>
        <v>0</v>
      </c>
      <c r="AF10" s="344">
        <f ca="1">SUM(AC10:AE10)</f>
        <v>0</v>
      </c>
    </row>
    <row r="11" spans="1:32" x14ac:dyDescent="0.25">
      <c r="Q11" s="180" t="e">
        <f ca="1"/>
        <v>#NAME?</v>
      </c>
      <c r="R11" t="e">
        <f ca="1"/>
        <v>#NAME?</v>
      </c>
      <c r="S11" s="181" t="e">
        <f ca="1"/>
        <v>#NAME?</v>
      </c>
      <c r="U11" t="e">
        <f ca="1"/>
        <v>#NAME?</v>
      </c>
      <c r="V11" t="e">
        <f ca="1"/>
        <v>#NAME?</v>
      </c>
      <c r="X11" s="178" t="e">
        <f ca="1"/>
        <v>#NAME?</v>
      </c>
      <c r="Y11" t="e">
        <f ca="1"/>
        <v>#NAME?</v>
      </c>
      <c r="Z11" s="40" t="e">
        <f ca="1"/>
        <v>#NAME?</v>
      </c>
      <c r="AB11" t="s">
        <v>623</v>
      </c>
      <c r="AC11" s="513" t="e">
        <f ca="1">AC9^2/AC10</f>
        <v>#NAME?</v>
      </c>
      <c r="AD11" s="514" t="e">
        <f t="shared" ref="AD11:AE11" ca="1" si="7">AD9^2/AD10</f>
        <v>#NAME?</v>
      </c>
      <c r="AE11" s="515" t="e">
        <f t="shared" ca="1" si="7"/>
        <v>#NAME?</v>
      </c>
      <c r="AF11" s="206" t="e">
        <f ca="1">SUM(AC11:AE11)</f>
        <v>#NAME?</v>
      </c>
    </row>
    <row r="12" spans="1:32" x14ac:dyDescent="0.25">
      <c r="Q12" s="180" t="e">
        <f ca="1"/>
        <v>#NAME?</v>
      </c>
      <c r="R12" t="e">
        <f ca="1"/>
        <v>#NAME?</v>
      </c>
      <c r="S12" s="181" t="e">
        <f ca="1"/>
        <v>#NAME?</v>
      </c>
      <c r="U12" t="e">
        <f ca="1"/>
        <v>#NAME?</v>
      </c>
      <c r="V12" t="e">
        <f ca="1"/>
        <v>#NAME?</v>
      </c>
      <c r="X12" s="178" t="e">
        <f ca="1"/>
        <v>#NAME?</v>
      </c>
      <c r="Y12" t="e">
        <f ca="1"/>
        <v>#NAME?</v>
      </c>
      <c r="Z12" s="40" t="e">
        <f ca="1"/>
        <v>#NAME?</v>
      </c>
      <c r="AB12" t="s">
        <v>575</v>
      </c>
      <c r="AF12" s="206" t="e">
        <f ca="1">12*AF11/(AF10*(AF10+1))-3*(AF10+1)</f>
        <v>#NAME?</v>
      </c>
    </row>
    <row r="13" spans="1:32" x14ac:dyDescent="0.25">
      <c r="Q13" s="180" t="e">
        <f ca="1"/>
        <v>#NAME?</v>
      </c>
      <c r="R13" t="e">
        <f ca="1"/>
        <v>#NAME?</v>
      </c>
      <c r="S13" s="181" t="e">
        <f ca="1"/>
        <v>#NAME?</v>
      </c>
      <c r="U13" t="e">
        <f ca="1"/>
        <v>#NAME?</v>
      </c>
      <c r="V13" t="e">
        <f ca="1"/>
        <v>#NAME?</v>
      </c>
      <c r="X13" s="178" t="e">
        <f ca="1"/>
        <v>#NAME?</v>
      </c>
      <c r="Y13" t="e">
        <f ca="1"/>
        <v>#NAME?</v>
      </c>
      <c r="Z13" s="40" t="e">
        <f ca="1"/>
        <v>#NAME?</v>
      </c>
      <c r="AB13" t="s">
        <v>626</v>
      </c>
      <c r="AF13" s="206" t="e">
        <f ca="1">AF12/(1-TiesCorrection(X6:Z53)/(127*(127^2-1)))</f>
        <v>#NAME?</v>
      </c>
    </row>
    <row r="14" spans="1:32" x14ac:dyDescent="0.25">
      <c r="Q14" s="180" t="e">
        <f ca="1"/>
        <v>#NAME?</v>
      </c>
      <c r="R14" t="e">
        <f ca="1"/>
        <v>#NAME?</v>
      </c>
      <c r="S14" s="181" t="e">
        <f ca="1"/>
        <v>#NAME?</v>
      </c>
      <c r="U14" t="e">
        <f ca="1"/>
        <v>#NAME?</v>
      </c>
      <c r="V14" t="e">
        <f ca="1"/>
        <v>#NAME?</v>
      </c>
      <c r="X14" s="178" t="e">
        <f ca="1"/>
        <v>#NAME?</v>
      </c>
      <c r="Y14" t="e">
        <f ca="1"/>
        <v>#NAME?</v>
      </c>
      <c r="Z14" s="40" t="e">
        <f ca="1"/>
        <v>#NAME?</v>
      </c>
      <c r="AB14" t="s">
        <v>51</v>
      </c>
      <c r="AF14" s="206">
        <f ca="1">COUNTA(AC7:AE7)-1</f>
        <v>2</v>
      </c>
    </row>
    <row r="15" spans="1:32" x14ac:dyDescent="0.25">
      <c r="Q15" s="180" t="e">
        <f ca="1"/>
        <v>#NAME?</v>
      </c>
      <c r="R15" t="e">
        <f ca="1"/>
        <v>#NAME?</v>
      </c>
      <c r="S15" s="181" t="e">
        <f ca="1"/>
        <v>#NAME?</v>
      </c>
      <c r="U15" t="e">
        <f ca="1"/>
        <v>#NAME?</v>
      </c>
      <c r="V15" t="e">
        <f ca="1"/>
        <v>#NAME?</v>
      </c>
      <c r="X15" s="178" t="e">
        <f ca="1"/>
        <v>#NAME?</v>
      </c>
      <c r="Y15" t="e">
        <f ca="1"/>
        <v>#NAME?</v>
      </c>
      <c r="Z15" s="40" t="e">
        <f ca="1"/>
        <v>#NAME?</v>
      </c>
      <c r="AB15" t="s">
        <v>56</v>
      </c>
      <c r="AF15" s="206" t="e">
        <f ca="1">_xlfn.CHISQ.DIST.RT(AF13,AF14)</f>
        <v>#NAME?</v>
      </c>
    </row>
    <row r="16" spans="1:32" x14ac:dyDescent="0.25">
      <c r="Q16" s="180" t="e">
        <f ca="1"/>
        <v>#NAME?</v>
      </c>
      <c r="R16" t="e">
        <f ca="1"/>
        <v>#NAME?</v>
      </c>
      <c r="S16" s="181" t="e">
        <f ca="1"/>
        <v>#NAME?</v>
      </c>
      <c r="U16" t="e">
        <f ca="1"/>
        <v>#NAME?</v>
      </c>
      <c r="V16" t="e">
        <f ca="1"/>
        <v>#NAME?</v>
      </c>
      <c r="X16" s="178" t="e">
        <f ca="1"/>
        <v>#NAME?</v>
      </c>
      <c r="Y16" t="e">
        <f ca="1"/>
        <v>#NAME?</v>
      </c>
      <c r="Z16" s="40" t="e">
        <f ca="1"/>
        <v>#NAME?</v>
      </c>
      <c r="AB16" t="s">
        <v>70</v>
      </c>
      <c r="AF16" s="206">
        <v>0.05</v>
      </c>
    </row>
    <row r="17" spans="17:32" x14ac:dyDescent="0.25">
      <c r="Q17" s="479" t="e">
        <f ca="1"/>
        <v>#NAME?</v>
      </c>
      <c r="R17" s="516" t="e">
        <f ca="1"/>
        <v>#NAME?</v>
      </c>
      <c r="S17" s="517" t="e">
        <f ca="1"/>
        <v>#NAME?</v>
      </c>
      <c r="U17" t="e">
        <f ca="1"/>
        <v>#NAME?</v>
      </c>
      <c r="V17" t="e">
        <f ca="1"/>
        <v>#NAME?</v>
      </c>
      <c r="X17" s="178" t="e">
        <f ca="1"/>
        <v>#NAME?</v>
      </c>
      <c r="Y17" t="e">
        <f ca="1"/>
        <v>#NAME?</v>
      </c>
      <c r="Z17" s="40" t="e">
        <f ca="1"/>
        <v>#NAME?</v>
      </c>
      <c r="AB17" t="s">
        <v>188</v>
      </c>
      <c r="AF17" s="518" t="e">
        <f ca="1">IF(AF15&lt;AF16,"yes","no")</f>
        <v>#NAME?</v>
      </c>
    </row>
    <row r="18" spans="17:32" x14ac:dyDescent="0.25">
      <c r="U18" t="e">
        <f ca="1"/>
        <v>#NAME?</v>
      </c>
      <c r="V18" t="e">
        <f ca="1"/>
        <v>#NAME?</v>
      </c>
      <c r="X18" s="178" t="e">
        <f ca="1"/>
        <v>#NAME?</v>
      </c>
      <c r="Y18" t="e">
        <f ca="1"/>
        <v>#NAME?</v>
      </c>
      <c r="Z18" s="40" t="e">
        <f ca="1"/>
        <v>#NAME?</v>
      </c>
    </row>
    <row r="19" spans="17:32" x14ac:dyDescent="0.25">
      <c r="U19" t="e">
        <f ca="1"/>
        <v>#NAME?</v>
      </c>
      <c r="V19" t="e">
        <f ca="1"/>
        <v>#NAME?</v>
      </c>
      <c r="X19" s="178" t="e">
        <f ca="1"/>
        <v>#NAME?</v>
      </c>
      <c r="Y19" t="e">
        <f ca="1"/>
        <v>#NAME?</v>
      </c>
      <c r="Z19" s="40" t="e">
        <f ca="1"/>
        <v>#NAME?</v>
      </c>
    </row>
    <row r="20" spans="17:32" x14ac:dyDescent="0.25">
      <c r="U20" t="e">
        <f ca="1"/>
        <v>#NAME?</v>
      </c>
      <c r="V20" t="e">
        <f ca="1"/>
        <v>#NAME?</v>
      </c>
      <c r="X20" s="178" t="e">
        <f ca="1"/>
        <v>#NAME?</v>
      </c>
      <c r="Y20" t="e">
        <f ca="1"/>
        <v>#NAME?</v>
      </c>
      <c r="Z20" s="40" t="e">
        <f ca="1"/>
        <v>#NAME?</v>
      </c>
    </row>
    <row r="21" spans="17:32" x14ac:dyDescent="0.25">
      <c r="U21" t="e">
        <f ca="1"/>
        <v>#NAME?</v>
      </c>
      <c r="V21" t="e">
        <f ca="1"/>
        <v>#NAME?</v>
      </c>
      <c r="X21" s="178" t="e">
        <f ca="1"/>
        <v>#NAME?</v>
      </c>
      <c r="Y21" t="e">
        <f ca="1"/>
        <v>#NAME?</v>
      </c>
      <c r="Z21" s="40" t="e">
        <f ca="1"/>
        <v>#NAME?</v>
      </c>
    </row>
    <row r="22" spans="17:32" x14ac:dyDescent="0.25">
      <c r="U22" t="e">
        <f ca="1"/>
        <v>#NAME?</v>
      </c>
      <c r="V22" t="e">
        <f ca="1"/>
        <v>#NAME?</v>
      </c>
      <c r="X22" s="178" t="e">
        <f ca="1"/>
        <v>#NAME?</v>
      </c>
      <c r="Y22" t="e">
        <f ca="1"/>
        <v>#NAME?</v>
      </c>
      <c r="Z22" s="40" t="e">
        <f ca="1"/>
        <v>#NAME?</v>
      </c>
    </row>
    <row r="23" spans="17:32" x14ac:dyDescent="0.25">
      <c r="U23" t="e">
        <f ca="1"/>
        <v>#NAME?</v>
      </c>
      <c r="V23" t="e">
        <f ca="1"/>
        <v>#NAME?</v>
      </c>
      <c r="X23" s="178" t="e">
        <f ca="1"/>
        <v>#NAME?</v>
      </c>
      <c r="Y23" t="e">
        <f ca="1"/>
        <v>#NAME?</v>
      </c>
      <c r="Z23" s="40" t="e">
        <f ca="1"/>
        <v>#NAME?</v>
      </c>
    </row>
    <row r="24" spans="17:32" x14ac:dyDescent="0.25">
      <c r="U24" t="e">
        <f ca="1"/>
        <v>#NAME?</v>
      </c>
      <c r="V24" t="e">
        <f ca="1"/>
        <v>#NAME?</v>
      </c>
      <c r="X24" s="178" t="e">
        <f ca="1"/>
        <v>#NAME?</v>
      </c>
      <c r="Y24" t="e">
        <f ca="1"/>
        <v>#NAME?</v>
      </c>
      <c r="Z24" s="40" t="e">
        <f ca="1"/>
        <v>#NAME?</v>
      </c>
    </row>
    <row r="25" spans="17:32" x14ac:dyDescent="0.25">
      <c r="U25" t="e">
        <f ca="1"/>
        <v>#NAME?</v>
      </c>
      <c r="V25" t="e">
        <f ca="1"/>
        <v>#NAME?</v>
      </c>
      <c r="X25" s="178" t="e">
        <f ca="1"/>
        <v>#NAME?</v>
      </c>
      <c r="Y25" t="e">
        <f ca="1"/>
        <v>#NAME?</v>
      </c>
      <c r="Z25" s="40" t="e">
        <f ca="1"/>
        <v>#NAME?</v>
      </c>
    </row>
    <row r="26" spans="17:32" x14ac:dyDescent="0.25">
      <c r="U26" t="e">
        <f ca="1"/>
        <v>#NAME?</v>
      </c>
      <c r="V26" t="e">
        <f ca="1"/>
        <v>#NAME?</v>
      </c>
      <c r="X26" s="178" t="e">
        <f ca="1"/>
        <v>#NAME?</v>
      </c>
      <c r="Y26" t="e">
        <f ca="1"/>
        <v>#NAME?</v>
      </c>
      <c r="Z26" s="40" t="e">
        <f ca="1"/>
        <v>#NAME?</v>
      </c>
    </row>
    <row r="27" spans="17:32" x14ac:dyDescent="0.25">
      <c r="U27" t="e">
        <f ca="1"/>
        <v>#NAME?</v>
      </c>
      <c r="V27" t="e">
        <f ca="1"/>
        <v>#NAME?</v>
      </c>
      <c r="X27" s="178" t="e">
        <f ca="1"/>
        <v>#NAME?</v>
      </c>
      <c r="Y27" t="e">
        <f ca="1"/>
        <v>#NAME?</v>
      </c>
      <c r="Z27" s="40" t="e">
        <f ca="1"/>
        <v>#NAME?</v>
      </c>
    </row>
    <row r="28" spans="17:32" x14ac:dyDescent="0.25">
      <c r="U28" t="e">
        <f ca="1"/>
        <v>#NAME?</v>
      </c>
      <c r="V28" t="e">
        <f ca="1"/>
        <v>#NAME?</v>
      </c>
      <c r="X28" s="178" t="e">
        <f ca="1"/>
        <v>#NAME?</v>
      </c>
      <c r="Y28" t="e">
        <f ca="1"/>
        <v>#NAME?</v>
      </c>
      <c r="Z28" s="40" t="e">
        <f ca="1"/>
        <v>#NAME?</v>
      </c>
    </row>
    <row r="29" spans="17:32" x14ac:dyDescent="0.25">
      <c r="U29" t="e">
        <f ca="1"/>
        <v>#NAME?</v>
      </c>
      <c r="V29" t="e">
        <f ca="1"/>
        <v>#NAME?</v>
      </c>
      <c r="X29" s="178" t="e">
        <f ca="1"/>
        <v>#NAME?</v>
      </c>
      <c r="Y29" t="e">
        <f ca="1"/>
        <v>#NAME?</v>
      </c>
      <c r="Z29" s="40" t="e">
        <f ca="1"/>
        <v>#NAME?</v>
      </c>
    </row>
    <row r="30" spans="17:32" x14ac:dyDescent="0.25">
      <c r="U30" t="e">
        <f ca="1"/>
        <v>#NAME?</v>
      </c>
      <c r="V30" t="e">
        <f ca="1"/>
        <v>#NAME?</v>
      </c>
      <c r="X30" s="178" t="e">
        <f ca="1"/>
        <v>#NAME?</v>
      </c>
      <c r="Y30" t="e">
        <f ca="1"/>
        <v>#NAME?</v>
      </c>
      <c r="Z30" s="40" t="e">
        <f ca="1"/>
        <v>#NAME?</v>
      </c>
    </row>
    <row r="31" spans="17:32" x14ac:dyDescent="0.25">
      <c r="U31" t="e">
        <f ca="1"/>
        <v>#NAME?</v>
      </c>
      <c r="V31" t="e">
        <f ca="1"/>
        <v>#NAME?</v>
      </c>
      <c r="X31" s="178" t="e">
        <f ca="1"/>
        <v>#NAME?</v>
      </c>
      <c r="Y31" t="e">
        <f ca="1"/>
        <v>#NAME?</v>
      </c>
      <c r="Z31" s="40" t="e">
        <f ca="1"/>
        <v>#NAME?</v>
      </c>
    </row>
    <row r="32" spans="17:32" x14ac:dyDescent="0.25">
      <c r="U32" t="e">
        <f ca="1"/>
        <v>#NAME?</v>
      </c>
      <c r="V32" t="e">
        <f ca="1"/>
        <v>#NAME?</v>
      </c>
      <c r="X32" s="178" t="e">
        <f ca="1"/>
        <v>#NAME?</v>
      </c>
      <c r="Y32" t="e">
        <f ca="1"/>
        <v>#NAME?</v>
      </c>
      <c r="Z32" s="40" t="e">
        <f ca="1"/>
        <v>#NAME?</v>
      </c>
    </row>
    <row r="33" spans="21:26" x14ac:dyDescent="0.25">
      <c r="U33" t="e">
        <f ca="1"/>
        <v>#NAME?</v>
      </c>
      <c r="V33" t="e">
        <f ca="1"/>
        <v>#NAME?</v>
      </c>
      <c r="X33" s="178" t="e">
        <f ca="1"/>
        <v>#NAME?</v>
      </c>
      <c r="Y33" t="e">
        <f ca="1"/>
        <v>#NAME?</v>
      </c>
      <c r="Z33" s="40" t="e">
        <f ca="1"/>
        <v>#NAME?</v>
      </c>
    </row>
    <row r="34" spans="21:26" x14ac:dyDescent="0.25">
      <c r="U34" t="e">
        <f ca="1"/>
        <v>#NAME?</v>
      </c>
      <c r="V34" t="e">
        <f ca="1"/>
        <v>#NAME?</v>
      </c>
      <c r="X34" s="178" t="e">
        <f ca="1"/>
        <v>#NAME?</v>
      </c>
      <c r="Y34" t="e">
        <f ca="1"/>
        <v>#NAME?</v>
      </c>
      <c r="Z34" s="40" t="e">
        <f ca="1"/>
        <v>#NAME?</v>
      </c>
    </row>
    <row r="35" spans="21:26" x14ac:dyDescent="0.25">
      <c r="U35" t="e">
        <f ca="1"/>
        <v>#NAME?</v>
      </c>
      <c r="V35" t="e">
        <f ca="1"/>
        <v>#NAME?</v>
      </c>
      <c r="X35" s="178" t="e">
        <f ca="1"/>
        <v>#NAME?</v>
      </c>
      <c r="Y35" t="e">
        <f ca="1"/>
        <v>#NAME?</v>
      </c>
      <c r="Z35" s="40" t="e">
        <f ca="1"/>
        <v>#NAME?</v>
      </c>
    </row>
    <row r="36" spans="21:26" x14ac:dyDescent="0.25">
      <c r="U36" t="e">
        <f ca="1"/>
        <v>#NAME?</v>
      </c>
      <c r="V36" t="e">
        <f ca="1"/>
        <v>#NAME?</v>
      </c>
      <c r="X36" s="178" t="e">
        <f ca="1"/>
        <v>#NAME?</v>
      </c>
      <c r="Y36" t="e">
        <f ca="1"/>
        <v>#NAME?</v>
      </c>
      <c r="Z36" s="40" t="e">
        <f ca="1"/>
        <v>#NAME?</v>
      </c>
    </row>
    <row r="37" spans="21:26" x14ac:dyDescent="0.25">
      <c r="U37" t="e">
        <f ca="1"/>
        <v>#NAME?</v>
      </c>
      <c r="V37" t="e">
        <f ca="1"/>
        <v>#NAME?</v>
      </c>
      <c r="X37" s="178" t="e">
        <f ca="1"/>
        <v>#NAME?</v>
      </c>
      <c r="Y37" t="e">
        <f ca="1"/>
        <v>#NAME?</v>
      </c>
      <c r="Z37" s="40" t="e">
        <f ca="1"/>
        <v>#NAME?</v>
      </c>
    </row>
    <row r="38" spans="21:26" x14ac:dyDescent="0.25">
      <c r="U38" t="e">
        <f ca="1"/>
        <v>#NAME?</v>
      </c>
      <c r="V38" t="e">
        <f ca="1"/>
        <v>#NAME?</v>
      </c>
      <c r="X38" s="178" t="e">
        <f ca="1"/>
        <v>#NAME?</v>
      </c>
      <c r="Y38" t="e">
        <f ca="1"/>
        <v>#NAME?</v>
      </c>
      <c r="Z38" s="40" t="e">
        <f ca="1"/>
        <v>#NAME?</v>
      </c>
    </row>
    <row r="39" spans="21:26" x14ac:dyDescent="0.25">
      <c r="U39" t="e">
        <f ca="1"/>
        <v>#NAME?</v>
      </c>
      <c r="V39" t="e">
        <f ca="1"/>
        <v>#NAME?</v>
      </c>
      <c r="X39" s="178" t="e">
        <f ca="1"/>
        <v>#NAME?</v>
      </c>
      <c r="Y39" t="e">
        <f ca="1"/>
        <v>#NAME?</v>
      </c>
      <c r="Z39" s="40" t="e">
        <f ca="1"/>
        <v>#NAME?</v>
      </c>
    </row>
    <row r="40" spans="21:26" x14ac:dyDescent="0.25">
      <c r="U40" t="e">
        <f ca="1"/>
        <v>#NAME?</v>
      </c>
      <c r="V40" t="e">
        <f ca="1"/>
        <v>#NAME?</v>
      </c>
      <c r="X40" s="178" t="e">
        <f ca="1"/>
        <v>#NAME?</v>
      </c>
      <c r="Y40" t="e">
        <f ca="1"/>
        <v>#NAME?</v>
      </c>
      <c r="Z40" s="40" t="e">
        <f ca="1"/>
        <v>#NAME?</v>
      </c>
    </row>
    <row r="41" spans="21:26" x14ac:dyDescent="0.25">
      <c r="U41" t="e">
        <f ca="1"/>
        <v>#NAME?</v>
      </c>
      <c r="V41" t="e">
        <f ca="1"/>
        <v>#NAME?</v>
      </c>
      <c r="X41" s="178" t="e">
        <f ca="1"/>
        <v>#NAME?</v>
      </c>
      <c r="Y41" t="e">
        <f ca="1"/>
        <v>#NAME?</v>
      </c>
      <c r="Z41" s="40" t="e">
        <f ca="1"/>
        <v>#NAME?</v>
      </c>
    </row>
    <row r="42" spans="21:26" x14ac:dyDescent="0.25">
      <c r="U42" t="e">
        <f ca="1"/>
        <v>#NAME?</v>
      </c>
      <c r="V42" t="e">
        <f ca="1"/>
        <v>#NAME?</v>
      </c>
      <c r="X42" s="178" t="e">
        <f ca="1"/>
        <v>#NAME?</v>
      </c>
      <c r="Y42" t="e">
        <f ca="1"/>
        <v>#NAME?</v>
      </c>
      <c r="Z42" s="40" t="e">
        <f ca="1"/>
        <v>#NAME?</v>
      </c>
    </row>
    <row r="43" spans="21:26" x14ac:dyDescent="0.25">
      <c r="U43" t="e">
        <f ca="1"/>
        <v>#NAME?</v>
      </c>
      <c r="V43" t="e">
        <f ca="1"/>
        <v>#NAME?</v>
      </c>
      <c r="X43" s="178" t="e">
        <f ca="1"/>
        <v>#NAME?</v>
      </c>
      <c r="Y43" t="e">
        <f ca="1"/>
        <v>#NAME?</v>
      </c>
      <c r="Z43" s="40" t="e">
        <f ca="1"/>
        <v>#NAME?</v>
      </c>
    </row>
    <row r="44" spans="21:26" x14ac:dyDescent="0.25">
      <c r="U44" t="e">
        <f ca="1"/>
        <v>#NAME?</v>
      </c>
      <c r="V44" t="e">
        <f ca="1"/>
        <v>#NAME?</v>
      </c>
      <c r="X44" s="178" t="e">
        <f ca="1"/>
        <v>#NAME?</v>
      </c>
      <c r="Y44" t="e">
        <f ca="1"/>
        <v>#NAME?</v>
      </c>
      <c r="Z44" s="40" t="e">
        <f ca="1"/>
        <v>#NAME?</v>
      </c>
    </row>
    <row r="45" spans="21:26" x14ac:dyDescent="0.25">
      <c r="U45" t="e">
        <f ca="1"/>
        <v>#NAME?</v>
      </c>
      <c r="V45" t="e">
        <f ca="1"/>
        <v>#NAME?</v>
      </c>
      <c r="X45" s="178" t="e">
        <f ca="1"/>
        <v>#NAME?</v>
      </c>
      <c r="Y45" t="e">
        <f ca="1"/>
        <v>#NAME?</v>
      </c>
      <c r="Z45" s="40" t="e">
        <f ca="1"/>
        <v>#NAME?</v>
      </c>
    </row>
    <row r="46" spans="21:26" x14ac:dyDescent="0.25">
      <c r="U46" t="e">
        <f ca="1"/>
        <v>#NAME?</v>
      </c>
      <c r="V46" t="e">
        <f ca="1"/>
        <v>#NAME?</v>
      </c>
      <c r="X46" s="178" t="e">
        <f ca="1"/>
        <v>#NAME?</v>
      </c>
      <c r="Y46" t="e">
        <f ca="1"/>
        <v>#NAME?</v>
      </c>
      <c r="Z46" s="40" t="e">
        <f ca="1"/>
        <v>#NAME?</v>
      </c>
    </row>
    <row r="47" spans="21:26" x14ac:dyDescent="0.25">
      <c r="U47" t="e">
        <f ca="1"/>
        <v>#NAME?</v>
      </c>
      <c r="V47" t="e">
        <f ca="1"/>
        <v>#NAME?</v>
      </c>
      <c r="X47" s="178" t="e">
        <f ca="1"/>
        <v>#NAME?</v>
      </c>
      <c r="Y47" t="e">
        <f ca="1"/>
        <v>#NAME?</v>
      </c>
      <c r="Z47" s="40" t="e">
        <f ca="1"/>
        <v>#NAME?</v>
      </c>
    </row>
    <row r="48" spans="21:26" x14ac:dyDescent="0.25">
      <c r="U48" t="e">
        <f ca="1"/>
        <v>#NAME?</v>
      </c>
      <c r="V48" t="e">
        <f ca="1"/>
        <v>#NAME?</v>
      </c>
      <c r="X48" s="178" t="e">
        <f ca="1"/>
        <v>#NAME?</v>
      </c>
      <c r="Y48" t="e">
        <f ca="1"/>
        <v>#NAME?</v>
      </c>
      <c r="Z48" s="40" t="e">
        <f ca="1"/>
        <v>#NAME?</v>
      </c>
    </row>
    <row r="49" spans="21:26" x14ac:dyDescent="0.25">
      <c r="U49" t="e">
        <f ca="1"/>
        <v>#NAME?</v>
      </c>
      <c r="V49" t="e">
        <f ca="1"/>
        <v>#NAME?</v>
      </c>
      <c r="X49" s="178" t="e">
        <f ca="1"/>
        <v>#NAME?</v>
      </c>
      <c r="Y49" t="e">
        <f ca="1"/>
        <v>#NAME?</v>
      </c>
      <c r="Z49" s="40" t="e">
        <f ca="1"/>
        <v>#NAME?</v>
      </c>
    </row>
    <row r="50" spans="21:26" x14ac:dyDescent="0.25">
      <c r="U50" t="e">
        <f ca="1"/>
        <v>#NAME?</v>
      </c>
      <c r="V50" t="e">
        <f ca="1"/>
        <v>#NAME?</v>
      </c>
      <c r="X50" s="178" t="e">
        <f ca="1"/>
        <v>#NAME?</v>
      </c>
      <c r="Y50" t="e">
        <f ca="1"/>
        <v>#NAME?</v>
      </c>
      <c r="Z50" s="40" t="e">
        <f ca="1"/>
        <v>#NAME?</v>
      </c>
    </row>
    <row r="51" spans="21:26" x14ac:dyDescent="0.25">
      <c r="U51" t="e">
        <f ca="1"/>
        <v>#NAME?</v>
      </c>
      <c r="V51" t="e">
        <f ca="1"/>
        <v>#NAME?</v>
      </c>
      <c r="X51" s="178" t="e">
        <f ca="1"/>
        <v>#NAME?</v>
      </c>
      <c r="Y51" t="e">
        <f ca="1"/>
        <v>#NAME?</v>
      </c>
      <c r="Z51" s="40" t="e">
        <f ca="1"/>
        <v>#NAME?</v>
      </c>
    </row>
    <row r="52" spans="21:26" x14ac:dyDescent="0.25">
      <c r="U52" t="e">
        <f ca="1"/>
        <v>#NAME?</v>
      </c>
      <c r="V52" t="e">
        <f ca="1"/>
        <v>#NAME?</v>
      </c>
      <c r="X52" s="178" t="e">
        <f ca="1"/>
        <v>#NAME?</v>
      </c>
      <c r="Y52" t="e">
        <f ca="1"/>
        <v>#NAME?</v>
      </c>
      <c r="Z52" s="40" t="e">
        <f ca="1"/>
        <v>#NAME?</v>
      </c>
    </row>
    <row r="53" spans="21:26" x14ac:dyDescent="0.25">
      <c r="U53" t="e">
        <f ca="1"/>
        <v>#NAME?</v>
      </c>
      <c r="V53" t="e">
        <f ca="1"/>
        <v>#NAME?</v>
      </c>
      <c r="X53" s="513" t="e">
        <f ca="1"/>
        <v>#NAME?</v>
      </c>
      <c r="Y53" s="514" t="e">
        <f ca="1"/>
        <v>#NAME?</v>
      </c>
      <c r="Z53" s="515" t="e">
        <f ca="1"/>
        <v>#NAME?</v>
      </c>
    </row>
    <row r="54" spans="21:26" x14ac:dyDescent="0.25">
      <c r="U54" t="e">
        <f ca="1"/>
        <v>#NAME?</v>
      </c>
      <c r="V54" t="e">
        <f ca="1"/>
        <v>#NAME?</v>
      </c>
    </row>
    <row r="55" spans="21:26" x14ac:dyDescent="0.25">
      <c r="U55" t="e">
        <f ca="1"/>
        <v>#NAME?</v>
      </c>
      <c r="V55" t="e">
        <f ca="1"/>
        <v>#NAME?</v>
      </c>
    </row>
    <row r="56" spans="21:26" x14ac:dyDescent="0.25">
      <c r="U56" t="e">
        <f ca="1"/>
        <v>#NAME?</v>
      </c>
      <c r="V56" t="e">
        <f ca="1"/>
        <v>#NAME?</v>
      </c>
    </row>
    <row r="57" spans="21:26" x14ac:dyDescent="0.25">
      <c r="U57" t="e">
        <f ca="1"/>
        <v>#NAME?</v>
      </c>
      <c r="V57" t="e">
        <f ca="1"/>
        <v>#NAME?</v>
      </c>
    </row>
    <row r="58" spans="21:26" x14ac:dyDescent="0.25">
      <c r="U58" t="e">
        <f ca="1"/>
        <v>#NAME?</v>
      </c>
      <c r="V58" t="e">
        <f ca="1"/>
        <v>#NAME?</v>
      </c>
    </row>
    <row r="59" spans="21:26" x14ac:dyDescent="0.25">
      <c r="U59" t="e">
        <f ca="1"/>
        <v>#NAME?</v>
      </c>
      <c r="V59" t="e">
        <f ca="1"/>
        <v>#NAME?</v>
      </c>
    </row>
    <row r="60" spans="21:26" x14ac:dyDescent="0.25">
      <c r="U60" t="e">
        <f ca="1"/>
        <v>#NAME?</v>
      </c>
      <c r="V60" t="e">
        <f ca="1"/>
        <v>#NAME?</v>
      </c>
    </row>
    <row r="61" spans="21:26" x14ac:dyDescent="0.25">
      <c r="U61" t="e">
        <f ca="1"/>
        <v>#NAME?</v>
      </c>
      <c r="V61" t="e">
        <f ca="1"/>
        <v>#NAME?</v>
      </c>
    </row>
    <row r="62" spans="21:26" x14ac:dyDescent="0.25">
      <c r="U62" t="e">
        <f ca="1"/>
        <v>#NAME?</v>
      </c>
      <c r="V62" t="e">
        <f ca="1"/>
        <v>#NAME?</v>
      </c>
    </row>
    <row r="63" spans="21:26" x14ac:dyDescent="0.25">
      <c r="U63" t="e">
        <f ca="1"/>
        <v>#NAME?</v>
      </c>
      <c r="V63" t="e">
        <f ca="1"/>
        <v>#NAME?</v>
      </c>
    </row>
    <row r="64" spans="21:26" x14ac:dyDescent="0.25">
      <c r="U64" t="e">
        <f ca="1"/>
        <v>#NAME?</v>
      </c>
      <c r="V64" t="e">
        <f ca="1"/>
        <v>#NAME?</v>
      </c>
    </row>
    <row r="65" spans="21:22" x14ac:dyDescent="0.25">
      <c r="U65" t="e">
        <f ca="1"/>
        <v>#NAME?</v>
      </c>
      <c r="V65" t="e">
        <f ca="1"/>
        <v>#NAME?</v>
      </c>
    </row>
    <row r="66" spans="21:22" x14ac:dyDescent="0.25">
      <c r="U66" t="e">
        <f ca="1"/>
        <v>#NAME?</v>
      </c>
      <c r="V66" t="e">
        <f ca="1"/>
        <v>#NAME?</v>
      </c>
    </row>
    <row r="67" spans="21:22" x14ac:dyDescent="0.25">
      <c r="U67" t="e">
        <f ca="1"/>
        <v>#NAME?</v>
      </c>
      <c r="V67" t="e">
        <f ca="1"/>
        <v>#NAME?</v>
      </c>
    </row>
    <row r="68" spans="21:22" x14ac:dyDescent="0.25">
      <c r="U68" t="e">
        <f ca="1"/>
        <v>#NAME?</v>
      </c>
      <c r="V68" t="e">
        <f ca="1"/>
        <v>#NAME?</v>
      </c>
    </row>
    <row r="69" spans="21:22" x14ac:dyDescent="0.25">
      <c r="U69" t="e">
        <f ca="1"/>
        <v>#NAME?</v>
      </c>
      <c r="V69" t="e">
        <f ca="1"/>
        <v>#NAME?</v>
      </c>
    </row>
    <row r="70" spans="21:22" x14ac:dyDescent="0.25">
      <c r="U70" t="e">
        <f ca="1"/>
        <v>#NAME?</v>
      </c>
      <c r="V70" t="e">
        <f ca="1"/>
        <v>#NAME?</v>
      </c>
    </row>
    <row r="71" spans="21:22" x14ac:dyDescent="0.25">
      <c r="U71" t="e">
        <f ca="1"/>
        <v>#NAME?</v>
      </c>
      <c r="V71" t="e">
        <f ca="1"/>
        <v>#NAME?</v>
      </c>
    </row>
    <row r="72" spans="21:22" x14ac:dyDescent="0.25">
      <c r="U72" t="e">
        <f ca="1"/>
        <v>#NAME?</v>
      </c>
      <c r="V72" t="e">
        <f ca="1"/>
        <v>#NAME?</v>
      </c>
    </row>
    <row r="73" spans="21:22" x14ac:dyDescent="0.25">
      <c r="U73" t="e">
        <f ca="1"/>
        <v>#NAME?</v>
      </c>
      <c r="V73" t="e">
        <f ca="1"/>
        <v>#NAME?</v>
      </c>
    </row>
    <row r="74" spans="21:22" x14ac:dyDescent="0.25">
      <c r="U74" t="e">
        <f ca="1"/>
        <v>#NAME?</v>
      </c>
      <c r="V74" t="e">
        <f ca="1"/>
        <v>#NAME?</v>
      </c>
    </row>
    <row r="75" spans="21:22" x14ac:dyDescent="0.25">
      <c r="U75" t="e">
        <f ca="1"/>
        <v>#NAME?</v>
      </c>
      <c r="V75" t="e">
        <f ca="1"/>
        <v>#NAME?</v>
      </c>
    </row>
    <row r="76" spans="21:22" x14ac:dyDescent="0.25">
      <c r="U76" t="e">
        <f ca="1"/>
        <v>#NAME?</v>
      </c>
      <c r="V76" t="e">
        <f ca="1"/>
        <v>#NAME?</v>
      </c>
    </row>
    <row r="77" spans="21:22" x14ac:dyDescent="0.25">
      <c r="U77" t="e">
        <f ca="1"/>
        <v>#NAME?</v>
      </c>
      <c r="V77" t="e">
        <f ca="1"/>
        <v>#NAME?</v>
      </c>
    </row>
    <row r="78" spans="21:22" x14ac:dyDescent="0.25">
      <c r="U78" t="e">
        <f ca="1"/>
        <v>#NAME?</v>
      </c>
      <c r="V78" t="e">
        <f ca="1"/>
        <v>#NAME?</v>
      </c>
    </row>
    <row r="79" spans="21:22" x14ac:dyDescent="0.25">
      <c r="U79" t="e">
        <f ca="1"/>
        <v>#NAME?</v>
      </c>
      <c r="V79" t="e">
        <f ca="1"/>
        <v>#NAME?</v>
      </c>
    </row>
    <row r="80" spans="21:22" x14ac:dyDescent="0.25">
      <c r="U80" t="e">
        <f ca="1"/>
        <v>#NAME?</v>
      </c>
      <c r="V80" t="e">
        <f ca="1"/>
        <v>#NAME?</v>
      </c>
    </row>
    <row r="81" spans="21:22" x14ac:dyDescent="0.25">
      <c r="U81" t="e">
        <f ca="1"/>
        <v>#NAME?</v>
      </c>
      <c r="V81" t="e">
        <f ca="1"/>
        <v>#NAME?</v>
      </c>
    </row>
    <row r="82" spans="21:22" x14ac:dyDescent="0.25">
      <c r="U82" t="e">
        <f ca="1"/>
        <v>#NAME?</v>
      </c>
      <c r="V82" t="e">
        <f ca="1"/>
        <v>#NAME?</v>
      </c>
    </row>
    <row r="83" spans="21:22" x14ac:dyDescent="0.25">
      <c r="U83" t="e">
        <f ca="1"/>
        <v>#NAME?</v>
      </c>
      <c r="V83" t="e">
        <f ca="1"/>
        <v>#NAME?</v>
      </c>
    </row>
    <row r="84" spans="21:22" x14ac:dyDescent="0.25">
      <c r="U84" t="e">
        <f ca="1"/>
        <v>#NAME?</v>
      </c>
      <c r="V84" t="e">
        <f ca="1"/>
        <v>#NAME?</v>
      </c>
    </row>
    <row r="85" spans="21:22" x14ac:dyDescent="0.25">
      <c r="U85" t="e">
        <f ca="1"/>
        <v>#NAME?</v>
      </c>
      <c r="V85" t="e">
        <f ca="1"/>
        <v>#NAME?</v>
      </c>
    </row>
    <row r="86" spans="21:22" x14ac:dyDescent="0.25">
      <c r="U86" t="e">
        <f ca="1"/>
        <v>#NAME?</v>
      </c>
      <c r="V86" t="e">
        <f ca="1"/>
        <v>#NAME?</v>
      </c>
    </row>
    <row r="87" spans="21:22" x14ac:dyDescent="0.25">
      <c r="U87" t="e">
        <f ca="1"/>
        <v>#NAME?</v>
      </c>
      <c r="V87" t="e">
        <f ca="1"/>
        <v>#NAME?</v>
      </c>
    </row>
    <row r="88" spans="21:22" x14ac:dyDescent="0.25">
      <c r="U88" t="e">
        <f ca="1"/>
        <v>#NAME?</v>
      </c>
      <c r="V88" t="e">
        <f ca="1"/>
        <v>#NAME?</v>
      </c>
    </row>
    <row r="89" spans="21:22" x14ac:dyDescent="0.25">
      <c r="U89" t="e">
        <f ca="1"/>
        <v>#NAME?</v>
      </c>
      <c r="V89" t="e">
        <f ca="1"/>
        <v>#NAME?</v>
      </c>
    </row>
    <row r="90" spans="21:22" x14ac:dyDescent="0.25">
      <c r="U90" t="e">
        <f ca="1"/>
        <v>#NAME?</v>
      </c>
      <c r="V90" t="e">
        <f ca="1"/>
        <v>#NAME?</v>
      </c>
    </row>
    <row r="91" spans="21:22" x14ac:dyDescent="0.25">
      <c r="U91" t="e">
        <f ca="1"/>
        <v>#NAME?</v>
      </c>
      <c r="V91" t="e">
        <f ca="1"/>
        <v>#NAME?</v>
      </c>
    </row>
    <row r="92" spans="21:22" x14ac:dyDescent="0.25">
      <c r="U92" t="e">
        <f ca="1"/>
        <v>#NAME?</v>
      </c>
      <c r="V92" t="e">
        <f ca="1"/>
        <v>#NAME?</v>
      </c>
    </row>
    <row r="93" spans="21:22" x14ac:dyDescent="0.25">
      <c r="U93" t="e">
        <f ca="1"/>
        <v>#NAME?</v>
      </c>
      <c r="V93" t="e">
        <f ca="1"/>
        <v>#NAME?</v>
      </c>
    </row>
    <row r="94" spans="21:22" x14ac:dyDescent="0.25">
      <c r="U94" t="e">
        <f ca="1"/>
        <v>#NAME?</v>
      </c>
      <c r="V94" t="e">
        <f ca="1"/>
        <v>#NAME?</v>
      </c>
    </row>
    <row r="95" spans="21:22" x14ac:dyDescent="0.25">
      <c r="U95" t="e">
        <f ca="1"/>
        <v>#NAME?</v>
      </c>
      <c r="V95" t="e">
        <f ca="1"/>
        <v>#NAME?</v>
      </c>
    </row>
    <row r="96" spans="21:22" x14ac:dyDescent="0.25">
      <c r="U96" t="e">
        <f ca="1"/>
        <v>#NAME?</v>
      </c>
      <c r="V96" t="e">
        <f ca="1"/>
        <v>#NAME?</v>
      </c>
    </row>
    <row r="97" spans="21:22" x14ac:dyDescent="0.25">
      <c r="U97" t="e">
        <f ca="1"/>
        <v>#NAME?</v>
      </c>
      <c r="V97" t="e">
        <f ca="1"/>
        <v>#NAME?</v>
      </c>
    </row>
    <row r="98" spans="21:22" x14ac:dyDescent="0.25">
      <c r="U98" t="e">
        <f ca="1"/>
        <v>#NAME?</v>
      </c>
      <c r="V98" t="e">
        <f ca="1"/>
        <v>#NAME?</v>
      </c>
    </row>
    <row r="99" spans="21:22" x14ac:dyDescent="0.25">
      <c r="U99" t="e">
        <f ca="1"/>
        <v>#NAME?</v>
      </c>
      <c r="V99" t="e">
        <f ca="1"/>
        <v>#NAME?</v>
      </c>
    </row>
    <row r="100" spans="21:22" x14ac:dyDescent="0.25">
      <c r="U100" t="e">
        <f ca="1"/>
        <v>#NAME?</v>
      </c>
      <c r="V100" t="e">
        <f ca="1"/>
        <v>#NAME?</v>
      </c>
    </row>
    <row r="101" spans="21:22" x14ac:dyDescent="0.25">
      <c r="U101" t="e">
        <f ca="1"/>
        <v>#NAME?</v>
      </c>
      <c r="V101" t="e">
        <f ca="1"/>
        <v>#NAME?</v>
      </c>
    </row>
    <row r="102" spans="21:22" x14ac:dyDescent="0.25">
      <c r="U102" t="e">
        <f ca="1"/>
        <v>#NAME?</v>
      </c>
      <c r="V102" t="e">
        <f ca="1"/>
        <v>#NAME?</v>
      </c>
    </row>
    <row r="103" spans="21:22" x14ac:dyDescent="0.25">
      <c r="U103" t="e">
        <f ca="1"/>
        <v>#NAME?</v>
      </c>
      <c r="V103" t="e">
        <f ca="1"/>
        <v>#NAME?</v>
      </c>
    </row>
    <row r="104" spans="21:22" x14ac:dyDescent="0.25">
      <c r="U104" t="e">
        <f ca="1"/>
        <v>#NAME?</v>
      </c>
      <c r="V104" t="e">
        <f ca="1"/>
        <v>#NAME?</v>
      </c>
    </row>
    <row r="105" spans="21:22" x14ac:dyDescent="0.25">
      <c r="U105" t="e">
        <f ca="1"/>
        <v>#NAME?</v>
      </c>
      <c r="V105" t="e">
        <f ca="1"/>
        <v>#NAME?</v>
      </c>
    </row>
    <row r="106" spans="21:22" x14ac:dyDescent="0.25">
      <c r="U106" t="e">
        <f ca="1"/>
        <v>#NAME?</v>
      </c>
      <c r="V106" t="e">
        <f ca="1"/>
        <v>#NAME?</v>
      </c>
    </row>
    <row r="107" spans="21:22" x14ac:dyDescent="0.25">
      <c r="U107" t="e">
        <f ca="1"/>
        <v>#NAME?</v>
      </c>
      <c r="V107" t="e">
        <f ca="1"/>
        <v>#NAME?</v>
      </c>
    </row>
    <row r="108" spans="21:22" x14ac:dyDescent="0.25">
      <c r="U108" t="e">
        <f ca="1"/>
        <v>#NAME?</v>
      </c>
      <c r="V108" t="e">
        <f ca="1"/>
        <v>#NAME?</v>
      </c>
    </row>
    <row r="109" spans="21:22" x14ac:dyDescent="0.25">
      <c r="U109" t="e">
        <f ca="1"/>
        <v>#NAME?</v>
      </c>
      <c r="V109" t="e">
        <f ca="1"/>
        <v>#NAME?</v>
      </c>
    </row>
    <row r="110" spans="21:22" x14ac:dyDescent="0.25">
      <c r="U110" t="e">
        <f ca="1"/>
        <v>#NAME?</v>
      </c>
      <c r="V110" t="e">
        <f ca="1"/>
        <v>#NAME?</v>
      </c>
    </row>
    <row r="111" spans="21:22" x14ac:dyDescent="0.25">
      <c r="U111" t="e">
        <f ca="1"/>
        <v>#NAME?</v>
      </c>
      <c r="V111" t="e">
        <f ca="1"/>
        <v>#NAME?</v>
      </c>
    </row>
    <row r="112" spans="21:22" x14ac:dyDescent="0.25">
      <c r="U112" t="e">
        <f ca="1"/>
        <v>#NAME?</v>
      </c>
      <c r="V112" t="e">
        <f ca="1"/>
        <v>#NAME?</v>
      </c>
    </row>
    <row r="113" spans="21:22" x14ac:dyDescent="0.25">
      <c r="U113" t="e">
        <f ca="1"/>
        <v>#NAME?</v>
      </c>
      <c r="V113" t="e">
        <f ca="1"/>
        <v>#NAME?</v>
      </c>
    </row>
    <row r="114" spans="21:22" x14ac:dyDescent="0.25">
      <c r="U114" t="e">
        <f ca="1"/>
        <v>#NAME?</v>
      </c>
      <c r="V114" t="e">
        <f ca="1"/>
        <v>#NAME?</v>
      </c>
    </row>
    <row r="115" spans="21:22" x14ac:dyDescent="0.25">
      <c r="U115" t="e">
        <f ca="1"/>
        <v>#NAME?</v>
      </c>
      <c r="V115" t="e">
        <f ca="1"/>
        <v>#NAME?</v>
      </c>
    </row>
    <row r="116" spans="21:22" x14ac:dyDescent="0.25">
      <c r="U116" t="e">
        <f ca="1"/>
        <v>#NAME?</v>
      </c>
      <c r="V116" t="e">
        <f ca="1"/>
        <v>#NAME?</v>
      </c>
    </row>
    <row r="117" spans="21:22" x14ac:dyDescent="0.25">
      <c r="U117" t="e">
        <f ca="1"/>
        <v>#NAME?</v>
      </c>
      <c r="V117" t="e">
        <f ca="1"/>
        <v>#NAME?</v>
      </c>
    </row>
    <row r="118" spans="21:22" x14ac:dyDescent="0.25">
      <c r="U118" t="e">
        <f ca="1"/>
        <v>#NAME?</v>
      </c>
      <c r="V118" t="e">
        <f ca="1"/>
        <v>#NAME?</v>
      </c>
    </row>
    <row r="119" spans="21:22" x14ac:dyDescent="0.25">
      <c r="U119" t="e">
        <f ca="1"/>
        <v>#NAME?</v>
      </c>
      <c r="V119" t="e">
        <f ca="1"/>
        <v>#NAME?</v>
      </c>
    </row>
    <row r="120" spans="21:22" x14ac:dyDescent="0.25">
      <c r="U120" t="e">
        <f ca="1"/>
        <v>#NAME?</v>
      </c>
      <c r="V120" t="e">
        <f ca="1"/>
        <v>#NAME?</v>
      </c>
    </row>
    <row r="121" spans="21:22" x14ac:dyDescent="0.25">
      <c r="U121" t="e">
        <f ca="1"/>
        <v>#NAME?</v>
      </c>
      <c r="V121" t="e">
        <f ca="1"/>
        <v>#NAME?</v>
      </c>
    </row>
    <row r="122" spans="21:22" x14ac:dyDescent="0.25">
      <c r="U122" t="e">
        <f ca="1"/>
        <v>#NAME?</v>
      </c>
      <c r="V122" t="e">
        <f ca="1"/>
        <v>#NAME?</v>
      </c>
    </row>
    <row r="123" spans="21:22" x14ac:dyDescent="0.25">
      <c r="U123" t="e">
        <f ca="1"/>
        <v>#NAME?</v>
      </c>
      <c r="V123" t="e">
        <f ca="1"/>
        <v>#NAME?</v>
      </c>
    </row>
    <row r="124" spans="21:22" x14ac:dyDescent="0.25">
      <c r="U124" t="e">
        <f ca="1"/>
        <v>#NAME?</v>
      </c>
      <c r="V124" t="e">
        <f ca="1"/>
        <v>#NAME?</v>
      </c>
    </row>
    <row r="125" spans="21:22" x14ac:dyDescent="0.25">
      <c r="U125" t="e">
        <f ca="1"/>
        <v>#NAME?</v>
      </c>
      <c r="V125" t="e">
        <f ca="1"/>
        <v>#NAME?</v>
      </c>
    </row>
    <row r="126" spans="21:22" x14ac:dyDescent="0.25">
      <c r="U126" t="e">
        <f ca="1"/>
        <v>#NAME?</v>
      </c>
      <c r="V126" t="e">
        <f ca="1"/>
        <v>#NAME?</v>
      </c>
    </row>
    <row r="127" spans="21:22" x14ac:dyDescent="0.25">
      <c r="U127" t="e">
        <f ca="1"/>
        <v>#NAME?</v>
      </c>
      <c r="V127" t="e">
        <f ca="1"/>
        <v>#NAME?</v>
      </c>
    </row>
    <row r="128" spans="21:22" x14ac:dyDescent="0.25">
      <c r="U128" t="e">
        <f ca="1"/>
        <v>#NAME?</v>
      </c>
      <c r="V128" t="e">
        <f ca="1"/>
        <v>#NAME?</v>
      </c>
    </row>
    <row r="129" spans="21:22" x14ac:dyDescent="0.25">
      <c r="U129" s="516" t="e">
        <f ca="1"/>
        <v>#NAME?</v>
      </c>
      <c r="V129" s="516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F53"/>
  <sheetViews>
    <sheetView workbookViewId="0">
      <selection activeCell="O21" sqref="O21"/>
    </sheetView>
  </sheetViews>
  <sheetFormatPr defaultRowHeight="15" x14ac:dyDescent="0.25"/>
  <sheetData>
    <row r="1" spans="1:32" x14ac:dyDescent="0.25">
      <c r="A1" s="1" t="s">
        <v>845</v>
      </c>
    </row>
    <row r="3" spans="1:32" x14ac:dyDescent="0.25">
      <c r="A3" s="519"/>
      <c r="B3" s="519">
        <v>1</v>
      </c>
      <c r="C3" s="519">
        <v>2</v>
      </c>
      <c r="D3" s="519">
        <v>3</v>
      </c>
      <c r="E3" s="519">
        <v>4</v>
      </c>
      <c r="F3" s="519">
        <v>5</v>
      </c>
      <c r="G3" s="519"/>
      <c r="I3" t="s">
        <v>846</v>
      </c>
      <c r="Q3" t="s">
        <v>847</v>
      </c>
      <c r="X3" t="s">
        <v>848</v>
      </c>
      <c r="AB3" t="s">
        <v>474</v>
      </c>
    </row>
    <row r="4" spans="1:32" x14ac:dyDescent="0.25">
      <c r="A4" s="519" t="s">
        <v>842</v>
      </c>
      <c r="B4" s="489">
        <v>5</v>
      </c>
      <c r="C4" s="255">
        <v>9</v>
      </c>
      <c r="D4" s="255">
        <v>8</v>
      </c>
      <c r="E4" s="255">
        <v>12</v>
      </c>
      <c r="F4" s="511">
        <v>7</v>
      </c>
      <c r="G4" s="519">
        <f>SUM(B4:F4)</f>
        <v>41</v>
      </c>
    </row>
    <row r="5" spans="1:32" ht="15.75" thickBot="1" x14ac:dyDescent="0.3">
      <c r="A5" s="519" t="s">
        <v>843</v>
      </c>
      <c r="B5" s="182">
        <v>3</v>
      </c>
      <c r="C5" s="519">
        <v>5</v>
      </c>
      <c r="D5" s="519">
        <v>11</v>
      </c>
      <c r="E5" s="519">
        <v>13</v>
      </c>
      <c r="F5" s="177">
        <v>6</v>
      </c>
      <c r="G5" s="519">
        <f t="shared" ref="G5:G6" si="0">SUM(B5:F5)</f>
        <v>38</v>
      </c>
      <c r="I5" t="str">
        <f>IF(A3="","",A3)</f>
        <v/>
      </c>
      <c r="J5">
        <f t="shared" ref="J5:N5" si="1">IF(B3="","",B3)</f>
        <v>1</v>
      </c>
      <c r="K5">
        <f t="shared" si="1"/>
        <v>2</v>
      </c>
      <c r="L5">
        <f t="shared" si="1"/>
        <v>3</v>
      </c>
      <c r="M5">
        <f t="shared" si="1"/>
        <v>4</v>
      </c>
      <c r="N5">
        <f t="shared" si="1"/>
        <v>5</v>
      </c>
      <c r="O5" t="s">
        <v>1</v>
      </c>
      <c r="Q5" t="s">
        <v>52</v>
      </c>
      <c r="S5" t="s">
        <v>31</v>
      </c>
      <c r="T5">
        <v>0.05</v>
      </c>
      <c r="X5" t="e">
        <f t="array" aca="1" ref="X5:Z53" ca="1">StdAnova1(Freq2RAW(Anova2Std(A3:F6)))</f>
        <v>#NAME?</v>
      </c>
      <c r="Y5" t="e">
        <f ca="1"/>
        <v>#NAME?</v>
      </c>
      <c r="Z5" t="e">
        <f ca="1"/>
        <v>#NAME?</v>
      </c>
      <c r="AC5" t="e">
        <f ca="1">X5</f>
        <v>#NAME?</v>
      </c>
      <c r="AD5" t="e">
        <f t="shared" ref="AD5:AE5" ca="1" si="2">Y5</f>
        <v>#NAME?</v>
      </c>
      <c r="AE5" t="e">
        <f t="shared" ca="1" si="2"/>
        <v>#NAME?</v>
      </c>
    </row>
    <row r="6" spans="1:32" ht="15.75" thickTop="1" x14ac:dyDescent="0.25">
      <c r="A6" s="519" t="s">
        <v>844</v>
      </c>
      <c r="B6" s="176">
        <v>2</v>
      </c>
      <c r="C6" s="486">
        <v>6</v>
      </c>
      <c r="D6" s="486">
        <v>11</v>
      </c>
      <c r="E6" s="486">
        <v>15</v>
      </c>
      <c r="F6" s="523">
        <v>14</v>
      </c>
      <c r="G6" s="519">
        <f t="shared" si="0"/>
        <v>48</v>
      </c>
      <c r="I6" t="str">
        <f t="shared" ref="I6:I8" si="3">IF(A4="","",A4)</f>
        <v>Dem</v>
      </c>
      <c r="J6" s="481">
        <f t="array" ref="J6:N8">MMULT(O6:O8,J9:N9)/O9</f>
        <v>3.2283464566929134</v>
      </c>
      <c r="K6" s="482">
        <v>6.4566929133858268</v>
      </c>
      <c r="L6" s="482">
        <v>9.6850393700787407</v>
      </c>
      <c r="M6" s="482">
        <v>12.913385826771654</v>
      </c>
      <c r="N6" s="483">
        <v>8.7165354330708666</v>
      </c>
      <c r="O6">
        <f t="shared" ref="O6:O8" si="4">SUM(B4:F4)</f>
        <v>41</v>
      </c>
      <c r="Q6" s="251" t="s">
        <v>19</v>
      </c>
      <c r="R6" s="251" t="s">
        <v>83</v>
      </c>
      <c r="S6" s="251" t="s">
        <v>849</v>
      </c>
      <c r="T6" s="251" t="s">
        <v>51</v>
      </c>
      <c r="X6" s="481" t="e">
        <f ca="1"/>
        <v>#NAME?</v>
      </c>
      <c r="Y6" s="482" t="e">
        <f ca="1"/>
        <v>#NAME?</v>
      </c>
      <c r="Z6" s="483" t="e">
        <f ca="1"/>
        <v>#NAME?</v>
      </c>
      <c r="AB6" t="s">
        <v>229</v>
      </c>
      <c r="AC6" s="481" t="e">
        <f ca="1">MEDIAN(X6:X53)</f>
        <v>#NAME?</v>
      </c>
      <c r="AD6" s="482" t="e">
        <f t="shared" ref="AD6:AE6" ca="1" si="5">MEDIAN(Y6:Y53)</f>
        <v>#NAME?</v>
      </c>
      <c r="AE6" s="483" t="e">
        <f t="shared" ca="1" si="5"/>
        <v>#NAME?</v>
      </c>
    </row>
    <row r="7" spans="1:32" x14ac:dyDescent="0.25">
      <c r="A7" s="519"/>
      <c r="B7" s="519">
        <f>SUM(B4:B6)</f>
        <v>10</v>
      </c>
      <c r="C7" s="519">
        <f t="shared" ref="C7:G7" si="6">SUM(C4:C6)</f>
        <v>20</v>
      </c>
      <c r="D7" s="519">
        <f t="shared" si="6"/>
        <v>30</v>
      </c>
      <c r="E7" s="519">
        <f t="shared" si="6"/>
        <v>40</v>
      </c>
      <c r="F7" s="519">
        <f t="shared" si="6"/>
        <v>27</v>
      </c>
      <c r="G7" s="519">
        <f t="shared" si="6"/>
        <v>127</v>
      </c>
      <c r="I7" t="str">
        <f t="shared" si="3"/>
        <v>Rep</v>
      </c>
      <c r="J7" s="178">
        <v>2.9921259842519685</v>
      </c>
      <c r="K7">
        <v>5.984251968503937</v>
      </c>
      <c r="L7">
        <v>8.9763779527559056</v>
      </c>
      <c r="M7">
        <v>11.968503937007874</v>
      </c>
      <c r="N7" s="40">
        <v>8.0787401574803148</v>
      </c>
      <c r="O7">
        <f t="shared" si="4"/>
        <v>38</v>
      </c>
      <c r="Q7">
        <f>O9</f>
        <v>127</v>
      </c>
      <c r="R7">
        <f>COUNT(B4:B6)</f>
        <v>3</v>
      </c>
      <c r="S7">
        <f>COUNT(B4:F4)</f>
        <v>5</v>
      </c>
      <c r="T7">
        <f>(R7-1)*(S7-1)</f>
        <v>8</v>
      </c>
      <c r="X7" s="178" t="e">
        <f ca="1"/>
        <v>#NAME?</v>
      </c>
      <c r="Y7" t="e">
        <f ca="1"/>
        <v>#NAME?</v>
      </c>
      <c r="Z7" s="40" t="e">
        <f ca="1"/>
        <v>#NAME?</v>
      </c>
      <c r="AB7" t="s">
        <v>378</v>
      </c>
      <c r="AC7" s="178" t="e">
        <f ca="1">RANK_SUM(X6:Z53, 1,1)</f>
        <v>#NAME?</v>
      </c>
      <c r="AD7" t="e">
        <f ca="1">RANK_SUM(X6:Z53, 2,1)</f>
        <v>#NAME?</v>
      </c>
      <c r="AE7" s="40" t="e">
        <f ca="1">RANK_SUM(X6:Z53, 3,1)</f>
        <v>#NAME?</v>
      </c>
    </row>
    <row r="8" spans="1:32" x14ac:dyDescent="0.25">
      <c r="I8" t="str">
        <f t="shared" si="3"/>
        <v>Indep</v>
      </c>
      <c r="J8" s="460">
        <v>3.7795275590551181</v>
      </c>
      <c r="K8" s="461">
        <v>7.5590551181102361</v>
      </c>
      <c r="L8" s="461">
        <v>11.338582677165354</v>
      </c>
      <c r="M8" s="461">
        <v>15.118110236220472</v>
      </c>
      <c r="N8" s="462">
        <v>10.204724409448819</v>
      </c>
      <c r="O8">
        <f t="shared" si="4"/>
        <v>48</v>
      </c>
      <c r="X8" s="178" t="e">
        <f ca="1"/>
        <v>#NAME?</v>
      </c>
      <c r="Y8" t="e">
        <f ca="1"/>
        <v>#NAME?</v>
      </c>
      <c r="Z8" s="40" t="e">
        <f ca="1"/>
        <v>#NAME?</v>
      </c>
      <c r="AB8" t="s">
        <v>87</v>
      </c>
      <c r="AC8" s="178">
        <f ca="1">COUNT(X6:X53)</f>
        <v>0</v>
      </c>
      <c r="AD8">
        <f t="shared" ref="AD8:AE8" ca="1" si="7">COUNT(Y6:Y53)</f>
        <v>0</v>
      </c>
      <c r="AE8" s="40">
        <f t="shared" ca="1" si="7"/>
        <v>0</v>
      </c>
      <c r="AF8" s="344">
        <f ca="1">SUM(AC8:AE8)</f>
        <v>0</v>
      </c>
    </row>
    <row r="9" spans="1:32" ht="15.75" thickBot="1" x14ac:dyDescent="0.3">
      <c r="I9" t="s">
        <v>1</v>
      </c>
      <c r="J9">
        <f t="shared" ref="J9:N9" si="8">SUM(B4:B6)</f>
        <v>10</v>
      </c>
      <c r="K9">
        <f t="shared" si="8"/>
        <v>20</v>
      </c>
      <c r="L9">
        <f t="shared" si="8"/>
        <v>30</v>
      </c>
      <c r="M9">
        <f t="shared" si="8"/>
        <v>40</v>
      </c>
      <c r="N9">
        <f t="shared" si="8"/>
        <v>27</v>
      </c>
      <c r="O9">
        <f>SUM(O6:O8)</f>
        <v>127</v>
      </c>
      <c r="Q9" t="s">
        <v>850</v>
      </c>
      <c r="X9" s="178" t="e">
        <f ca="1"/>
        <v>#NAME?</v>
      </c>
      <c r="Y9" t="e">
        <f ca="1"/>
        <v>#NAME?</v>
      </c>
      <c r="Z9" s="40" t="e">
        <f ca="1"/>
        <v>#NAME?</v>
      </c>
      <c r="AB9" t="s">
        <v>623</v>
      </c>
      <c r="AC9" s="460" t="e">
        <f ca="1">AC7^2/AC8</f>
        <v>#NAME?</v>
      </c>
      <c r="AD9" s="461" t="e">
        <f t="shared" ref="AD9:AE9" ca="1" si="9">AD7^2/AD8</f>
        <v>#NAME?</v>
      </c>
      <c r="AE9" s="462" t="e">
        <f t="shared" ca="1" si="9"/>
        <v>#NAME?</v>
      </c>
      <c r="AF9" s="206" t="e">
        <f ca="1">SUM(AC9:AE9)</f>
        <v>#NAME?</v>
      </c>
    </row>
    <row r="10" spans="1:32" ht="15.75" thickTop="1" x14ac:dyDescent="0.25">
      <c r="Q10" s="251" t="s">
        <v>851</v>
      </c>
      <c r="R10" s="251" t="s">
        <v>71</v>
      </c>
      <c r="S10" s="251" t="s">
        <v>56</v>
      </c>
      <c r="T10" s="251" t="s">
        <v>73</v>
      </c>
      <c r="U10" s="251" t="s">
        <v>188</v>
      </c>
      <c r="V10" s="251" t="s">
        <v>852</v>
      </c>
      <c r="X10" s="178" t="e">
        <f ca="1"/>
        <v>#NAME?</v>
      </c>
      <c r="Y10" t="e">
        <f ca="1"/>
        <v>#NAME?</v>
      </c>
      <c r="Z10" s="40" t="e">
        <f ca="1"/>
        <v>#NAME?</v>
      </c>
      <c r="AB10" t="s">
        <v>575</v>
      </c>
      <c r="AF10" s="206" t="e">
        <f ca="1">12*AF9/(AF8*(AF8+1))-3*(AF8+1)</f>
        <v>#NAME?</v>
      </c>
    </row>
    <row r="11" spans="1:32" x14ac:dyDescent="0.25">
      <c r="Q11" t="s">
        <v>853</v>
      </c>
      <c r="R11" t="e">
        <f ca="1">CHI_STAT2(B4:F6,J6:N8)</f>
        <v>#NAME?</v>
      </c>
      <c r="S11" t="e">
        <f ca="1">_xlfn.CHISQ.DIST.RT(R11,T7)</f>
        <v>#NAME?</v>
      </c>
      <c r="T11" t="e">
        <f ca="1">CHISQ_INV_RT(T5,T7)</f>
        <v>#NAME?</v>
      </c>
      <c r="U11" s="519" t="e">
        <f ca="1">IF(T11&lt;R11,"yes","no")</f>
        <v>#NAME?</v>
      </c>
      <c r="V11" t="e">
        <f ca="1">SQRT(R11/(Q7*(MIN(R7,S7)-1)))</f>
        <v>#NAME?</v>
      </c>
      <c r="X11" s="178" t="e">
        <f ca="1"/>
        <v>#NAME?</v>
      </c>
      <c r="Y11" t="e">
        <f ca="1"/>
        <v>#NAME?</v>
      </c>
      <c r="Z11" s="40" t="e">
        <f ca="1"/>
        <v>#NAME?</v>
      </c>
      <c r="AB11" t="s">
        <v>626</v>
      </c>
      <c r="AF11" s="206" t="e">
        <f ca="1">AF10/(1-TiesCorrection(X6:Z53)/(127*(127^2-1)))</f>
        <v>#NAME?</v>
      </c>
    </row>
    <row r="12" spans="1:32" x14ac:dyDescent="0.25">
      <c r="Q12" t="s">
        <v>854</v>
      </c>
      <c r="R12" t="e">
        <f ca="1">CHI_MAX2(B4:F6,J6:N8)</f>
        <v>#NAME?</v>
      </c>
      <c r="S12" t="e">
        <f ca="1">_xlfn.CHISQ.DIST.RT(R12,T7)</f>
        <v>#NAME?</v>
      </c>
      <c r="T12" t="e">
        <f ca="1">CHISQ_INV_RT(T5,T7)</f>
        <v>#NAME?</v>
      </c>
      <c r="U12" s="519" t="e">
        <f ca="1">IF(T12&lt;R12,"yes","no")</f>
        <v>#NAME?</v>
      </c>
      <c r="V12" t="e">
        <f ca="1">SQRT(R12/(Q7*(MIN(R7,S7)-1)))</f>
        <v>#NAME?</v>
      </c>
      <c r="X12" s="178" t="e">
        <f ca="1"/>
        <v>#NAME?</v>
      </c>
      <c r="Y12" t="e">
        <f ca="1"/>
        <v>#NAME?</v>
      </c>
      <c r="Z12" s="40" t="e">
        <f ca="1"/>
        <v>#NAME?</v>
      </c>
      <c r="AB12" t="s">
        <v>51</v>
      </c>
      <c r="AF12" s="206">
        <f ca="1">COUNTA(AC5:AE5)-1</f>
        <v>2</v>
      </c>
    </row>
    <row r="13" spans="1:32" x14ac:dyDescent="0.25">
      <c r="Q13" s="358"/>
      <c r="R13" s="358"/>
      <c r="S13" s="358"/>
      <c r="T13" s="358"/>
      <c r="U13" s="358"/>
      <c r="V13" s="358"/>
      <c r="X13" s="178" t="e">
        <f ca="1"/>
        <v>#NAME?</v>
      </c>
      <c r="Y13" t="e">
        <f ca="1"/>
        <v>#NAME?</v>
      </c>
      <c r="Z13" s="40" t="e">
        <f ca="1"/>
        <v>#NAME?</v>
      </c>
      <c r="AB13" t="s">
        <v>56</v>
      </c>
      <c r="AF13" s="206" t="e">
        <f ca="1">_xlfn.CHISQ.DIST.RT(AF11,AF12)</f>
        <v>#NAME?</v>
      </c>
    </row>
    <row r="14" spans="1:32" x14ac:dyDescent="0.25">
      <c r="X14" s="178" t="e">
        <f ca="1"/>
        <v>#NAME?</v>
      </c>
      <c r="Y14" t="e">
        <f ca="1"/>
        <v>#NAME?</v>
      </c>
      <c r="Z14" s="40" t="e">
        <f ca="1"/>
        <v>#NAME?</v>
      </c>
      <c r="AB14" t="s">
        <v>70</v>
      </c>
      <c r="AF14" s="206">
        <v>0.05</v>
      </c>
    </row>
    <row r="15" spans="1:32" x14ac:dyDescent="0.25">
      <c r="X15" s="178" t="e">
        <f ca="1"/>
        <v>#NAME?</v>
      </c>
      <c r="Y15" t="e">
        <f ca="1"/>
        <v>#NAME?</v>
      </c>
      <c r="Z15" s="40" t="e">
        <f ca="1"/>
        <v>#NAME?</v>
      </c>
      <c r="AB15" t="s">
        <v>188</v>
      </c>
      <c r="AF15" s="507" t="e">
        <f ca="1">IF(AF13&lt;AF14,"yes","no")</f>
        <v>#NAME?</v>
      </c>
    </row>
    <row r="16" spans="1:32" x14ac:dyDescent="0.25">
      <c r="X16" s="178" t="e">
        <f ca="1"/>
        <v>#NAME?</v>
      </c>
      <c r="Y16" t="e">
        <f ca="1"/>
        <v>#NAME?</v>
      </c>
      <c r="Z16" s="40" t="e">
        <f ca="1"/>
        <v>#NAME?</v>
      </c>
    </row>
    <row r="17" spans="24:26" x14ac:dyDescent="0.25">
      <c r="X17" s="178" t="e">
        <f ca="1"/>
        <v>#NAME?</v>
      </c>
      <c r="Y17" t="e">
        <f ca="1"/>
        <v>#NAME?</v>
      </c>
      <c r="Z17" s="40" t="e">
        <f ca="1"/>
        <v>#NAME?</v>
      </c>
    </row>
    <row r="18" spans="24:26" x14ac:dyDescent="0.25">
      <c r="X18" s="178" t="e">
        <f ca="1"/>
        <v>#NAME?</v>
      </c>
      <c r="Y18" t="e">
        <f ca="1"/>
        <v>#NAME?</v>
      </c>
      <c r="Z18" s="40" t="e">
        <f ca="1"/>
        <v>#NAME?</v>
      </c>
    </row>
    <row r="19" spans="24:26" x14ac:dyDescent="0.25">
      <c r="X19" s="178" t="e">
        <f ca="1"/>
        <v>#NAME?</v>
      </c>
      <c r="Y19" t="e">
        <f ca="1"/>
        <v>#NAME?</v>
      </c>
      <c r="Z19" s="40" t="e">
        <f ca="1"/>
        <v>#NAME?</v>
      </c>
    </row>
    <row r="20" spans="24:26" x14ac:dyDescent="0.25">
      <c r="X20" s="178" t="e">
        <f ca="1"/>
        <v>#NAME?</v>
      </c>
      <c r="Y20" t="e">
        <f ca="1"/>
        <v>#NAME?</v>
      </c>
      <c r="Z20" s="40" t="e">
        <f ca="1"/>
        <v>#NAME?</v>
      </c>
    </row>
    <row r="21" spans="24:26" x14ac:dyDescent="0.25">
      <c r="X21" s="178" t="e">
        <f ca="1"/>
        <v>#NAME?</v>
      </c>
      <c r="Y21" t="e">
        <f ca="1"/>
        <v>#NAME?</v>
      </c>
      <c r="Z21" s="40" t="e">
        <f ca="1"/>
        <v>#NAME?</v>
      </c>
    </row>
    <row r="22" spans="24:26" x14ac:dyDescent="0.25">
      <c r="X22" s="178" t="e">
        <f ca="1"/>
        <v>#NAME?</v>
      </c>
      <c r="Y22" t="e">
        <f ca="1"/>
        <v>#NAME?</v>
      </c>
      <c r="Z22" s="40" t="e">
        <f ca="1"/>
        <v>#NAME?</v>
      </c>
    </row>
    <row r="23" spans="24:26" x14ac:dyDescent="0.25">
      <c r="X23" s="178" t="e">
        <f ca="1"/>
        <v>#NAME?</v>
      </c>
      <c r="Y23" t="e">
        <f ca="1"/>
        <v>#NAME?</v>
      </c>
      <c r="Z23" s="40" t="e">
        <f ca="1"/>
        <v>#NAME?</v>
      </c>
    </row>
    <row r="24" spans="24:26" x14ac:dyDescent="0.25">
      <c r="X24" s="178" t="e">
        <f ca="1"/>
        <v>#NAME?</v>
      </c>
      <c r="Y24" t="e">
        <f ca="1"/>
        <v>#NAME?</v>
      </c>
      <c r="Z24" s="40" t="e">
        <f ca="1"/>
        <v>#NAME?</v>
      </c>
    </row>
    <row r="25" spans="24:26" x14ac:dyDescent="0.25">
      <c r="X25" s="178" t="e">
        <f ca="1"/>
        <v>#NAME?</v>
      </c>
      <c r="Y25" t="e">
        <f ca="1"/>
        <v>#NAME?</v>
      </c>
      <c r="Z25" s="40" t="e">
        <f ca="1"/>
        <v>#NAME?</v>
      </c>
    </row>
    <row r="26" spans="24:26" x14ac:dyDescent="0.25">
      <c r="X26" s="178" t="e">
        <f ca="1"/>
        <v>#NAME?</v>
      </c>
      <c r="Y26" t="e">
        <f ca="1"/>
        <v>#NAME?</v>
      </c>
      <c r="Z26" s="40" t="e">
        <f ca="1"/>
        <v>#NAME?</v>
      </c>
    </row>
    <row r="27" spans="24:26" x14ac:dyDescent="0.25">
      <c r="X27" s="178" t="e">
        <f ca="1"/>
        <v>#NAME?</v>
      </c>
      <c r="Y27" t="e">
        <f ca="1"/>
        <v>#NAME?</v>
      </c>
      <c r="Z27" s="40" t="e">
        <f ca="1"/>
        <v>#NAME?</v>
      </c>
    </row>
    <row r="28" spans="24:26" x14ac:dyDescent="0.25">
      <c r="X28" s="178" t="e">
        <f ca="1"/>
        <v>#NAME?</v>
      </c>
      <c r="Y28" t="e">
        <f ca="1"/>
        <v>#NAME?</v>
      </c>
      <c r="Z28" s="40" t="e">
        <f ca="1"/>
        <v>#NAME?</v>
      </c>
    </row>
    <row r="29" spans="24:26" x14ac:dyDescent="0.25">
      <c r="X29" s="178" t="e">
        <f ca="1"/>
        <v>#NAME?</v>
      </c>
      <c r="Y29" t="e">
        <f ca="1"/>
        <v>#NAME?</v>
      </c>
      <c r="Z29" s="40" t="e">
        <f ca="1"/>
        <v>#NAME?</v>
      </c>
    </row>
    <row r="30" spans="24:26" x14ac:dyDescent="0.25">
      <c r="X30" s="178" t="e">
        <f ca="1"/>
        <v>#NAME?</v>
      </c>
      <c r="Y30" t="e">
        <f ca="1"/>
        <v>#NAME?</v>
      </c>
      <c r="Z30" s="40" t="e">
        <f ca="1"/>
        <v>#NAME?</v>
      </c>
    </row>
    <row r="31" spans="24:26" x14ac:dyDescent="0.25">
      <c r="X31" s="178" t="e">
        <f ca="1"/>
        <v>#NAME?</v>
      </c>
      <c r="Y31" t="e">
        <f ca="1"/>
        <v>#NAME?</v>
      </c>
      <c r="Z31" s="40" t="e">
        <f ca="1"/>
        <v>#NAME?</v>
      </c>
    </row>
    <row r="32" spans="24:26" x14ac:dyDescent="0.25">
      <c r="X32" s="178" t="e">
        <f ca="1"/>
        <v>#NAME?</v>
      </c>
      <c r="Y32" t="e">
        <f ca="1"/>
        <v>#NAME?</v>
      </c>
      <c r="Z32" s="40" t="e">
        <f ca="1"/>
        <v>#NAME?</v>
      </c>
    </row>
    <row r="33" spans="24:26" x14ac:dyDescent="0.25">
      <c r="X33" s="178" t="e">
        <f ca="1"/>
        <v>#NAME?</v>
      </c>
      <c r="Y33" t="e">
        <f ca="1"/>
        <v>#NAME?</v>
      </c>
      <c r="Z33" s="40" t="e">
        <f ca="1"/>
        <v>#NAME?</v>
      </c>
    </row>
    <row r="34" spans="24:26" x14ac:dyDescent="0.25">
      <c r="X34" s="178" t="e">
        <f ca="1"/>
        <v>#NAME?</v>
      </c>
      <c r="Y34" t="e">
        <f ca="1"/>
        <v>#NAME?</v>
      </c>
      <c r="Z34" s="40" t="e">
        <f ca="1"/>
        <v>#NAME?</v>
      </c>
    </row>
    <row r="35" spans="24:26" x14ac:dyDescent="0.25">
      <c r="X35" s="178" t="e">
        <f ca="1"/>
        <v>#NAME?</v>
      </c>
      <c r="Y35" t="e">
        <f ca="1"/>
        <v>#NAME?</v>
      </c>
      <c r="Z35" s="40" t="e">
        <f ca="1"/>
        <v>#NAME?</v>
      </c>
    </row>
    <row r="36" spans="24:26" x14ac:dyDescent="0.25">
      <c r="X36" s="178" t="e">
        <f ca="1"/>
        <v>#NAME?</v>
      </c>
      <c r="Y36" t="e">
        <f ca="1"/>
        <v>#NAME?</v>
      </c>
      <c r="Z36" s="40" t="e">
        <f ca="1"/>
        <v>#NAME?</v>
      </c>
    </row>
    <row r="37" spans="24:26" x14ac:dyDescent="0.25">
      <c r="X37" s="178" t="e">
        <f ca="1"/>
        <v>#NAME?</v>
      </c>
      <c r="Y37" t="e">
        <f ca="1"/>
        <v>#NAME?</v>
      </c>
      <c r="Z37" s="40" t="e">
        <f ca="1"/>
        <v>#NAME?</v>
      </c>
    </row>
    <row r="38" spans="24:26" x14ac:dyDescent="0.25">
      <c r="X38" s="178" t="e">
        <f ca="1"/>
        <v>#NAME?</v>
      </c>
      <c r="Y38" t="e">
        <f ca="1"/>
        <v>#NAME?</v>
      </c>
      <c r="Z38" s="40" t="e">
        <f ca="1"/>
        <v>#NAME?</v>
      </c>
    </row>
    <row r="39" spans="24:26" x14ac:dyDescent="0.25">
      <c r="X39" s="178" t="e">
        <f ca="1"/>
        <v>#NAME?</v>
      </c>
      <c r="Y39" t="e">
        <f ca="1"/>
        <v>#NAME?</v>
      </c>
      <c r="Z39" s="40" t="e">
        <f ca="1"/>
        <v>#NAME?</v>
      </c>
    </row>
    <row r="40" spans="24:26" x14ac:dyDescent="0.25">
      <c r="X40" s="178" t="e">
        <f ca="1"/>
        <v>#NAME?</v>
      </c>
      <c r="Y40" t="e">
        <f ca="1"/>
        <v>#NAME?</v>
      </c>
      <c r="Z40" s="40" t="e">
        <f ca="1"/>
        <v>#NAME?</v>
      </c>
    </row>
    <row r="41" spans="24:26" x14ac:dyDescent="0.25">
      <c r="X41" s="178" t="e">
        <f ca="1"/>
        <v>#NAME?</v>
      </c>
      <c r="Y41" t="e">
        <f ca="1"/>
        <v>#NAME?</v>
      </c>
      <c r="Z41" s="40" t="e">
        <f ca="1"/>
        <v>#NAME?</v>
      </c>
    </row>
    <row r="42" spans="24:26" x14ac:dyDescent="0.25">
      <c r="X42" s="178" t="e">
        <f ca="1"/>
        <v>#NAME?</v>
      </c>
      <c r="Y42" t="e">
        <f ca="1"/>
        <v>#NAME?</v>
      </c>
      <c r="Z42" s="40" t="e">
        <f ca="1"/>
        <v>#NAME?</v>
      </c>
    </row>
    <row r="43" spans="24:26" x14ac:dyDescent="0.25">
      <c r="X43" s="178" t="e">
        <f ca="1"/>
        <v>#NAME?</v>
      </c>
      <c r="Y43" t="e">
        <f ca="1"/>
        <v>#NAME?</v>
      </c>
      <c r="Z43" s="40" t="e">
        <f ca="1"/>
        <v>#NAME?</v>
      </c>
    </row>
    <row r="44" spans="24:26" x14ac:dyDescent="0.25">
      <c r="X44" s="178" t="e">
        <f ca="1"/>
        <v>#NAME?</v>
      </c>
      <c r="Y44" t="e">
        <f ca="1"/>
        <v>#NAME?</v>
      </c>
      <c r="Z44" s="40" t="e">
        <f ca="1"/>
        <v>#NAME?</v>
      </c>
    </row>
    <row r="45" spans="24:26" x14ac:dyDescent="0.25">
      <c r="X45" s="178" t="e">
        <f ca="1"/>
        <v>#NAME?</v>
      </c>
      <c r="Y45" t="e">
        <f ca="1"/>
        <v>#NAME?</v>
      </c>
      <c r="Z45" s="40" t="e">
        <f ca="1"/>
        <v>#NAME?</v>
      </c>
    </row>
    <row r="46" spans="24:26" x14ac:dyDescent="0.25">
      <c r="X46" s="178" t="e">
        <f ca="1"/>
        <v>#NAME?</v>
      </c>
      <c r="Y46" t="e">
        <f ca="1"/>
        <v>#NAME?</v>
      </c>
      <c r="Z46" s="40" t="e">
        <f ca="1"/>
        <v>#NAME?</v>
      </c>
    </row>
    <row r="47" spans="24:26" x14ac:dyDescent="0.25">
      <c r="X47" s="178" t="e">
        <f ca="1"/>
        <v>#NAME?</v>
      </c>
      <c r="Y47" t="e">
        <f ca="1"/>
        <v>#NAME?</v>
      </c>
      <c r="Z47" s="40" t="e">
        <f ca="1"/>
        <v>#NAME?</v>
      </c>
    </row>
    <row r="48" spans="24:26" x14ac:dyDescent="0.25">
      <c r="X48" s="178" t="e">
        <f ca="1"/>
        <v>#NAME?</v>
      </c>
      <c r="Y48" t="e">
        <f ca="1"/>
        <v>#NAME?</v>
      </c>
      <c r="Z48" s="40" t="e">
        <f ca="1"/>
        <v>#NAME?</v>
      </c>
    </row>
    <row r="49" spans="24:26" x14ac:dyDescent="0.25">
      <c r="X49" s="178" t="e">
        <f ca="1"/>
        <v>#NAME?</v>
      </c>
      <c r="Y49" t="e">
        <f ca="1"/>
        <v>#NAME?</v>
      </c>
      <c r="Z49" s="40" t="e">
        <f ca="1"/>
        <v>#NAME?</v>
      </c>
    </row>
    <row r="50" spans="24:26" x14ac:dyDescent="0.25">
      <c r="X50" s="178" t="e">
        <f ca="1"/>
        <v>#NAME?</v>
      </c>
      <c r="Y50" t="e">
        <f ca="1"/>
        <v>#NAME?</v>
      </c>
      <c r="Z50" s="40" t="e">
        <f ca="1"/>
        <v>#NAME?</v>
      </c>
    </row>
    <row r="51" spans="24:26" x14ac:dyDescent="0.25">
      <c r="X51" s="178" t="e">
        <f ca="1"/>
        <v>#NAME?</v>
      </c>
      <c r="Y51" t="e">
        <f ca="1"/>
        <v>#NAME?</v>
      </c>
      <c r="Z51" s="40" t="e">
        <f ca="1"/>
        <v>#NAME?</v>
      </c>
    </row>
    <row r="52" spans="24:26" x14ac:dyDescent="0.25">
      <c r="X52" s="178" t="e">
        <f ca="1"/>
        <v>#NAME?</v>
      </c>
      <c r="Y52" t="e">
        <f ca="1"/>
        <v>#NAME?</v>
      </c>
      <c r="Z52" s="40" t="e">
        <f ca="1"/>
        <v>#NAME?</v>
      </c>
    </row>
    <row r="53" spans="24:26" x14ac:dyDescent="0.25">
      <c r="X53" s="460" t="e">
        <f ca="1"/>
        <v>#NAME?</v>
      </c>
      <c r="Y53" s="461" t="e">
        <f ca="1"/>
        <v>#NAME?</v>
      </c>
      <c r="Z53" s="462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J53"/>
  <sheetViews>
    <sheetView workbookViewId="0"/>
  </sheetViews>
  <sheetFormatPr defaultRowHeight="15" x14ac:dyDescent="0.25"/>
  <cols>
    <col min="1" max="1" width="7" customWidth="1"/>
    <col min="2" max="2" width="3.5703125" customWidth="1"/>
    <col min="3" max="3" width="6.42578125" customWidth="1"/>
    <col min="5" max="11" width="5.5703125" customWidth="1"/>
  </cols>
  <sheetData>
    <row r="1" spans="1:36" x14ac:dyDescent="0.25">
      <c r="A1" s="1" t="s">
        <v>855</v>
      </c>
    </row>
    <row r="2" spans="1:36" x14ac:dyDescent="0.25">
      <c r="A2" s="1"/>
    </row>
    <row r="3" spans="1:36" x14ac:dyDescent="0.25">
      <c r="A3" t="s">
        <v>856</v>
      </c>
      <c r="B3" s="12" t="s">
        <v>857</v>
      </c>
      <c r="C3" s="12" t="s">
        <v>19</v>
      </c>
      <c r="E3" t="s">
        <v>858</v>
      </c>
      <c r="M3" t="s">
        <v>846</v>
      </c>
      <c r="U3" t="s">
        <v>847</v>
      </c>
      <c r="AB3" t="s">
        <v>848</v>
      </c>
      <c r="AF3" t="s">
        <v>474</v>
      </c>
    </row>
    <row r="4" spans="1:36" x14ac:dyDescent="0.25">
      <c r="A4" s="361" t="s">
        <v>842</v>
      </c>
      <c r="B4" s="358">
        <v>1</v>
      </c>
      <c r="C4" s="362">
        <v>5</v>
      </c>
    </row>
    <row r="5" spans="1:36" ht="15.75" thickBot="1" x14ac:dyDescent="0.3">
      <c r="A5" s="180" t="s">
        <v>842</v>
      </c>
      <c r="B5">
        <v>2</v>
      </c>
      <c r="C5" s="181">
        <v>9</v>
      </c>
      <c r="F5" t="e">
        <f t="array" aca="1" ref="F5:J5" ca="1">TRANSPOSE(SortUnique(B4:B18))</f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M5" t="str">
        <f>IF(E5="","",E5)</f>
        <v/>
      </c>
      <c r="N5" t="e">
        <f t="shared" ref="N5:R5" ca="1" si="0">IF(F5="","",F5)</f>
        <v>#NAME?</v>
      </c>
      <c r="O5" t="e">
        <f t="shared" ca="1" si="0"/>
        <v>#NAME?</v>
      </c>
      <c r="P5" t="e">
        <f t="shared" ca="1" si="0"/>
        <v>#NAME?</v>
      </c>
      <c r="Q5" t="e">
        <f t="shared" ca="1" si="0"/>
        <v>#NAME?</v>
      </c>
      <c r="R5" t="e">
        <f t="shared" ca="1" si="0"/>
        <v>#NAME?</v>
      </c>
      <c r="S5" t="s">
        <v>1</v>
      </c>
      <c r="U5" t="s">
        <v>52</v>
      </c>
      <c r="W5" t="s">
        <v>31</v>
      </c>
      <c r="X5">
        <v>0.05</v>
      </c>
      <c r="AB5" t="e">
        <f t="array" aca="1" ref="AB5:AD53" ca="1">StdAnova1(Freq2RAW(Anova2Std(E5:J8)))</f>
        <v>#NAME?</v>
      </c>
      <c r="AC5" t="e">
        <f ca="1"/>
        <v>#NAME?</v>
      </c>
      <c r="AD5" t="e">
        <f ca="1"/>
        <v>#NAME?</v>
      </c>
      <c r="AG5" t="e">
        <f ca="1">AB5</f>
        <v>#NAME?</v>
      </c>
      <c r="AH5" t="e">
        <f t="shared" ref="AH5:AI5" ca="1" si="1">AC5</f>
        <v>#NAME?</v>
      </c>
      <c r="AI5" t="e">
        <f t="shared" ca="1" si="1"/>
        <v>#NAME?</v>
      </c>
    </row>
    <row r="6" spans="1:36" ht="15.75" thickTop="1" x14ac:dyDescent="0.25">
      <c r="A6" s="180" t="s">
        <v>842</v>
      </c>
      <c r="B6">
        <v>3</v>
      </c>
      <c r="C6" s="181">
        <v>8</v>
      </c>
      <c r="E6" t="e">
        <f t="array" aca="1" ref="E6:E8" ca="1">SortUnique(A4:A18)</f>
        <v>#NAME?</v>
      </c>
      <c r="F6" s="481">
        <f t="array" ref="F6" ca="1">SUMIFS($C$4:$C$18,$A$4:$A$18,$E6,$B$4:$B$18,F$5)</f>
        <v>0</v>
      </c>
      <c r="G6" s="482">
        <f t="array" ref="G6" ca="1">SUMIFS($C$4:$C$18,$A$4:$A$18,$E6,$B$4:$B$18,G$5)</f>
        <v>0</v>
      </c>
      <c r="H6" s="482">
        <f t="array" ref="H6" ca="1">SUMIFS($C$4:$C$18,$A$4:$A$18,$E6,$B$4:$B$18,H$5)</f>
        <v>0</v>
      </c>
      <c r="I6" s="482">
        <f t="array" ref="I6" ca="1">SUMIFS($C$4:$C$18,$A$4:$A$18,$E6,$B$4:$B$18,I$5)</f>
        <v>0</v>
      </c>
      <c r="J6" s="483">
        <f t="array" ref="J6" ca="1">SUMIFS($C$4:$C$18,$A$4:$A$18,$E6,$B$4:$B$18,J$5)</f>
        <v>0</v>
      </c>
      <c r="K6">
        <f t="array" ref="K6" ca="1">SUM(F6:J6)</f>
        <v>0</v>
      </c>
      <c r="M6" t="e">
        <f t="shared" ref="M6:M8" ca="1" si="2">IF(E6="","",E6)</f>
        <v>#NAME?</v>
      </c>
      <c r="N6" s="481" t="e">
        <f t="array" aca="1" ref="N6:R8" ca="1">MMULT(S6:S8,N9:R9)/S9</f>
        <v>#DIV/0!</v>
      </c>
      <c r="O6" s="482" t="e">
        <f ca="1"/>
        <v>#DIV/0!</v>
      </c>
      <c r="P6" s="482" t="e">
        <f ca="1"/>
        <v>#DIV/0!</v>
      </c>
      <c r="Q6" s="482" t="e">
        <f ca="1"/>
        <v>#DIV/0!</v>
      </c>
      <c r="R6" s="483" t="e">
        <f ca="1"/>
        <v>#DIV/0!</v>
      </c>
      <c r="S6">
        <f t="shared" ref="S6:S8" ca="1" si="3">SUM(F6:J6)</f>
        <v>0</v>
      </c>
      <c r="U6" s="251" t="s">
        <v>19</v>
      </c>
      <c r="V6" s="251" t="s">
        <v>83</v>
      </c>
      <c r="W6" s="251" t="s">
        <v>849</v>
      </c>
      <c r="X6" s="251" t="s">
        <v>51</v>
      </c>
      <c r="AB6" s="481" t="e">
        <f ca="1"/>
        <v>#NAME?</v>
      </c>
      <c r="AC6" s="482" t="e">
        <f ca="1"/>
        <v>#NAME?</v>
      </c>
      <c r="AD6" s="483" t="e">
        <f ca="1"/>
        <v>#NAME?</v>
      </c>
      <c r="AF6" t="s">
        <v>229</v>
      </c>
      <c r="AG6" s="481" t="e">
        <f ca="1">MEDIAN(AB6:AB53)</f>
        <v>#NAME?</v>
      </c>
      <c r="AH6" s="482" t="e">
        <f t="shared" ref="AH6:AI6" ca="1" si="4">MEDIAN(AC6:AC53)</f>
        <v>#NAME?</v>
      </c>
      <c r="AI6" s="483" t="e">
        <f t="shared" ca="1" si="4"/>
        <v>#NAME?</v>
      </c>
    </row>
    <row r="7" spans="1:36" x14ac:dyDescent="0.25">
      <c r="A7" s="180" t="s">
        <v>842</v>
      </c>
      <c r="B7">
        <v>4</v>
      </c>
      <c r="C7" s="181">
        <v>12</v>
      </c>
      <c r="E7" t="e">
        <f ca="1"/>
        <v>#NAME?</v>
      </c>
      <c r="F7" s="178">
        <f t="array" ref="F7" ca="1">SUMIFS($C$4:$C$18,$A$4:$A$18,$E7,$B$4:$B$18,F$5)</f>
        <v>0</v>
      </c>
      <c r="G7">
        <f t="array" ref="G7" ca="1">SUMIFS($C$4:$C$18,$A$4:$A$18,$E7,$B$4:$B$18,G$5)</f>
        <v>0</v>
      </c>
      <c r="H7">
        <f t="array" ref="H7" ca="1">SUMIFS($C$4:$C$18,$A$4:$A$18,$E7,$B$4:$B$18,H$5)</f>
        <v>0</v>
      </c>
      <c r="I7">
        <f t="array" ref="I7" ca="1">SUMIFS($C$4:$C$18,$A$4:$A$18,$E7,$B$4:$B$18,I$5)</f>
        <v>0</v>
      </c>
      <c r="J7" s="40">
        <f t="array" ref="J7" ca="1">SUMIFS($C$4:$C$18,$A$4:$A$18,$E7,$B$4:$B$18,J$5)</f>
        <v>0</v>
      </c>
      <c r="K7">
        <f t="array" ref="K7" ca="1">SUM(F7:J7)</f>
        <v>0</v>
      </c>
      <c r="M7" t="e">
        <f t="shared" ca="1" si="2"/>
        <v>#NAME?</v>
      </c>
      <c r="N7" s="178" t="e">
        <f ca="1"/>
        <v>#DIV/0!</v>
      </c>
      <c r="O7" t="e">
        <f ca="1"/>
        <v>#DIV/0!</v>
      </c>
      <c r="P7" t="e">
        <f ca="1"/>
        <v>#DIV/0!</v>
      </c>
      <c r="Q7" t="e">
        <f ca="1"/>
        <v>#DIV/0!</v>
      </c>
      <c r="R7" s="40" t="e">
        <f ca="1"/>
        <v>#DIV/0!</v>
      </c>
      <c r="S7">
        <f t="shared" ca="1" si="3"/>
        <v>0</v>
      </c>
      <c r="U7">
        <f ca="1">S9</f>
        <v>0</v>
      </c>
      <c r="V7">
        <f ca="1">COUNT(F6:F8)</f>
        <v>3</v>
      </c>
      <c r="W7">
        <f ca="1">COUNT(F6:J6)</f>
        <v>5</v>
      </c>
      <c r="X7">
        <f ca="1">(V7-1)*(W7-1)</f>
        <v>8</v>
      </c>
      <c r="AB7" s="178" t="e">
        <f ca="1"/>
        <v>#NAME?</v>
      </c>
      <c r="AC7" t="e">
        <f ca="1"/>
        <v>#NAME?</v>
      </c>
      <c r="AD7" s="40" t="e">
        <f ca="1"/>
        <v>#NAME?</v>
      </c>
      <c r="AF7" t="s">
        <v>378</v>
      </c>
      <c r="AG7" s="178" t="e">
        <f ca="1">RANK_SUM(AB6:AD53, 1,1)</f>
        <v>#NAME?</v>
      </c>
      <c r="AH7" t="e">
        <f ca="1">RANK_SUM(AB6:AD53, 2,1)</f>
        <v>#NAME?</v>
      </c>
      <c r="AI7" s="40" t="e">
        <f ca="1">RANK_SUM(AB6:AD53, 3,1)</f>
        <v>#NAME?</v>
      </c>
    </row>
    <row r="8" spans="1:36" x14ac:dyDescent="0.25">
      <c r="A8" s="180" t="s">
        <v>842</v>
      </c>
      <c r="B8">
        <v>5</v>
      </c>
      <c r="C8" s="181">
        <v>7</v>
      </c>
      <c r="E8" t="e">
        <f ca="1"/>
        <v>#NAME?</v>
      </c>
      <c r="F8" s="460">
        <f t="array" ref="F8" ca="1">SUMIFS($C$4:$C$18,$A$4:$A$18,$E8,$B$4:$B$18,F$5)</f>
        <v>0</v>
      </c>
      <c r="G8" s="461">
        <f t="array" ref="G8" ca="1">SUMIFS($C$4:$C$18,$A$4:$A$18,$E8,$B$4:$B$18,G$5)</f>
        <v>0</v>
      </c>
      <c r="H8" s="461">
        <f t="array" ref="H8" ca="1">SUMIFS($C$4:$C$18,$A$4:$A$18,$E8,$B$4:$B$18,H$5)</f>
        <v>0</v>
      </c>
      <c r="I8" s="461">
        <f t="array" ref="I8" ca="1">SUMIFS($C$4:$C$18,$A$4:$A$18,$E8,$B$4:$B$18,I$5)</f>
        <v>0</v>
      </c>
      <c r="J8" s="462">
        <f t="array" ref="J8" ca="1">SUMIFS($C$4:$C$18,$A$4:$A$18,$E8,$B$4:$B$18,J$5)</f>
        <v>0</v>
      </c>
      <c r="K8">
        <f t="array" ref="K8" ca="1">SUM(F8:J8)</f>
        <v>0</v>
      </c>
      <c r="M8" t="e">
        <f t="shared" ca="1" si="2"/>
        <v>#NAME?</v>
      </c>
      <c r="N8" s="460" t="e">
        <f ca="1"/>
        <v>#DIV/0!</v>
      </c>
      <c r="O8" s="461" t="e">
        <f ca="1"/>
        <v>#DIV/0!</v>
      </c>
      <c r="P8" s="461" t="e">
        <f ca="1"/>
        <v>#DIV/0!</v>
      </c>
      <c r="Q8" s="461" t="e">
        <f ca="1"/>
        <v>#DIV/0!</v>
      </c>
      <c r="R8" s="462" t="e">
        <f ca="1"/>
        <v>#DIV/0!</v>
      </c>
      <c r="S8">
        <f t="shared" ca="1" si="3"/>
        <v>0</v>
      </c>
      <c r="AB8" s="178" t="e">
        <f ca="1"/>
        <v>#NAME?</v>
      </c>
      <c r="AC8" t="e">
        <f ca="1"/>
        <v>#NAME?</v>
      </c>
      <c r="AD8" s="40" t="e">
        <f ca="1"/>
        <v>#NAME?</v>
      </c>
      <c r="AF8" t="s">
        <v>87</v>
      </c>
      <c r="AG8" s="178">
        <f ca="1">COUNT(AB6:AB53)</f>
        <v>0</v>
      </c>
      <c r="AH8">
        <f t="shared" ref="AH8:AI8" ca="1" si="5">COUNT(AC6:AC53)</f>
        <v>0</v>
      </c>
      <c r="AI8" s="40">
        <f t="shared" ca="1" si="5"/>
        <v>0</v>
      </c>
      <c r="AJ8" s="344">
        <f ca="1">SUM(AG8:AI8)</f>
        <v>0</v>
      </c>
    </row>
    <row r="9" spans="1:36" ht="15.75" thickBot="1" x14ac:dyDescent="0.3">
      <c r="A9" s="180" t="s">
        <v>843</v>
      </c>
      <c r="B9">
        <v>1</v>
      </c>
      <c r="C9" s="181">
        <v>3</v>
      </c>
      <c r="F9">
        <f t="array" ref="F9" ca="1">SUM(F6:F8)</f>
        <v>0</v>
      </c>
      <c r="G9">
        <f t="array" ref="G9" ca="1">SUM(G6:G8)</f>
        <v>0</v>
      </c>
      <c r="H9">
        <f t="array" ref="H9" ca="1">SUM(H6:H8)</f>
        <v>0</v>
      </c>
      <c r="I9">
        <f t="array" ref="I9" ca="1">SUM(I6:I8)</f>
        <v>0</v>
      </c>
      <c r="J9">
        <f t="array" ref="J9" ca="1">SUM(J6:J8)</f>
        <v>0</v>
      </c>
      <c r="K9">
        <f t="array" ref="K9" ca="1">SUM(K6:K8)</f>
        <v>0</v>
      </c>
      <c r="M9" t="s">
        <v>1</v>
      </c>
      <c r="N9">
        <f t="shared" ref="N9:R9" ca="1" si="6">SUM(F6:F8)</f>
        <v>0</v>
      </c>
      <c r="O9">
        <f t="shared" ca="1" si="6"/>
        <v>0</v>
      </c>
      <c r="P9">
        <f t="shared" ca="1" si="6"/>
        <v>0</v>
      </c>
      <c r="Q9">
        <f t="shared" ca="1" si="6"/>
        <v>0</v>
      </c>
      <c r="R9">
        <f t="shared" ca="1" si="6"/>
        <v>0</v>
      </c>
      <c r="S9">
        <f ca="1">SUM(S6:S8)</f>
        <v>0</v>
      </c>
      <c r="U9" t="s">
        <v>850</v>
      </c>
      <c r="AB9" s="178" t="e">
        <f ca="1"/>
        <v>#NAME?</v>
      </c>
      <c r="AC9" t="e">
        <f ca="1"/>
        <v>#NAME?</v>
      </c>
      <c r="AD9" s="40" t="e">
        <f ca="1"/>
        <v>#NAME?</v>
      </c>
      <c r="AF9" t="s">
        <v>623</v>
      </c>
      <c r="AG9" s="460" t="e">
        <f ca="1">AG7^2/AG8</f>
        <v>#NAME?</v>
      </c>
      <c r="AH9" s="461" t="e">
        <f t="shared" ref="AH9:AI9" ca="1" si="7">AH7^2/AH8</f>
        <v>#NAME?</v>
      </c>
      <c r="AI9" s="462" t="e">
        <f t="shared" ca="1" si="7"/>
        <v>#NAME?</v>
      </c>
      <c r="AJ9" s="206" t="e">
        <f ca="1">SUM(AG9:AI9)</f>
        <v>#NAME?</v>
      </c>
    </row>
    <row r="10" spans="1:36" ht="15.75" thickTop="1" x14ac:dyDescent="0.25">
      <c r="A10" s="180" t="s">
        <v>843</v>
      </c>
      <c r="B10">
        <v>2</v>
      </c>
      <c r="C10" s="181">
        <v>5</v>
      </c>
      <c r="U10" s="251" t="s">
        <v>851</v>
      </c>
      <c r="V10" s="251" t="s">
        <v>71</v>
      </c>
      <c r="W10" s="251" t="s">
        <v>56</v>
      </c>
      <c r="X10" s="251" t="s">
        <v>73</v>
      </c>
      <c r="Y10" s="251" t="s">
        <v>188</v>
      </c>
      <c r="Z10" s="251" t="s">
        <v>852</v>
      </c>
      <c r="AB10" s="178" t="e">
        <f ca="1"/>
        <v>#NAME?</v>
      </c>
      <c r="AC10" t="e">
        <f ca="1"/>
        <v>#NAME?</v>
      </c>
      <c r="AD10" s="40" t="e">
        <f ca="1"/>
        <v>#NAME?</v>
      </c>
      <c r="AF10" t="s">
        <v>575</v>
      </c>
      <c r="AJ10" s="206" t="e">
        <f ca="1">12*AJ9/(AJ8*(AJ8+1))-3*(AJ8+1)</f>
        <v>#NAME?</v>
      </c>
    </row>
    <row r="11" spans="1:36" x14ac:dyDescent="0.25">
      <c r="A11" s="180" t="s">
        <v>843</v>
      </c>
      <c r="B11">
        <v>3</v>
      </c>
      <c r="C11" s="181">
        <v>11</v>
      </c>
      <c r="U11" t="s">
        <v>853</v>
      </c>
      <c r="V11" t="e">
        <f ca="1">CHI_STAT2(F6:J8,N6:R8)</f>
        <v>#NAME?</v>
      </c>
      <c r="W11" t="e">
        <f ca="1">_xlfn.CHISQ.DIST.RT(V11,X7)</f>
        <v>#NAME?</v>
      </c>
      <c r="X11" t="e">
        <f ca="1">CHISQ_INV_RT(X5,X7)</f>
        <v>#NAME?</v>
      </c>
      <c r="Y11" s="519" t="e">
        <f ca="1">IF(X11&lt;V11,"yes","no")</f>
        <v>#NAME?</v>
      </c>
      <c r="Z11" t="e">
        <f ca="1">SQRT(V11/(U7*(MIN(V7,W7)-1)))</f>
        <v>#NAME?</v>
      </c>
      <c r="AB11" s="178" t="e">
        <f ca="1"/>
        <v>#NAME?</v>
      </c>
      <c r="AC11" t="e">
        <f ca="1"/>
        <v>#NAME?</v>
      </c>
      <c r="AD11" s="40" t="e">
        <f ca="1"/>
        <v>#NAME?</v>
      </c>
      <c r="AF11" t="s">
        <v>626</v>
      </c>
      <c r="AJ11" s="206" t="e">
        <f ca="1">AJ10/(1-TiesCorrection(AB6:AD53)/(127*(127^2-1)))</f>
        <v>#NAME?</v>
      </c>
    </row>
    <row r="12" spans="1:36" x14ac:dyDescent="0.25">
      <c r="A12" s="180" t="s">
        <v>843</v>
      </c>
      <c r="B12">
        <v>4</v>
      </c>
      <c r="C12" s="181">
        <v>13</v>
      </c>
      <c r="U12" t="s">
        <v>854</v>
      </c>
      <c r="V12" t="e">
        <f ca="1">CHI_MAX2(F6:J8,N6:R8)</f>
        <v>#NAME?</v>
      </c>
      <c r="W12" t="e">
        <f ca="1">_xlfn.CHISQ.DIST.RT(V12,X7)</f>
        <v>#NAME?</v>
      </c>
      <c r="X12" t="e">
        <f ca="1">CHISQ_INV_RT(X5,X7)</f>
        <v>#NAME?</v>
      </c>
      <c r="Y12" s="519" t="e">
        <f ca="1">IF(X12&lt;V12,"yes","no")</f>
        <v>#NAME?</v>
      </c>
      <c r="Z12" t="e">
        <f ca="1">SQRT(V12/(U7*(MIN(V7,W7)-1)))</f>
        <v>#NAME?</v>
      </c>
      <c r="AB12" s="178" t="e">
        <f ca="1"/>
        <v>#NAME?</v>
      </c>
      <c r="AC12" t="e">
        <f ca="1"/>
        <v>#NAME?</v>
      </c>
      <c r="AD12" s="40" t="e">
        <f ca="1"/>
        <v>#NAME?</v>
      </c>
      <c r="AF12" t="s">
        <v>51</v>
      </c>
      <c r="AJ12" s="206">
        <f ca="1">COUNTA(AG5:AI5)-1</f>
        <v>2</v>
      </c>
    </row>
    <row r="13" spans="1:36" x14ac:dyDescent="0.25">
      <c r="A13" s="180" t="s">
        <v>843</v>
      </c>
      <c r="B13">
        <v>5</v>
      </c>
      <c r="C13" s="181">
        <v>6</v>
      </c>
      <c r="E13" t="e" cm="1">
        <f t="array" aca="1" ref="E13" ca="1">StdAnova2(A4:C18)</f>
        <v>#NAME?</v>
      </c>
      <c r="U13" s="358"/>
      <c r="V13" s="358"/>
      <c r="W13" s="358"/>
      <c r="X13" s="358"/>
      <c r="Y13" s="358"/>
      <c r="Z13" s="358"/>
      <c r="AB13" s="178" t="e">
        <f ca="1"/>
        <v>#NAME?</v>
      </c>
      <c r="AC13" t="e">
        <f ca="1"/>
        <v>#NAME?</v>
      </c>
      <c r="AD13" s="40" t="e">
        <f ca="1"/>
        <v>#NAME?</v>
      </c>
      <c r="AF13" t="s">
        <v>56</v>
      </c>
      <c r="AJ13" s="206" t="e">
        <f ca="1">_xlfn.CHISQ.DIST.RT(AJ11,AJ12)</f>
        <v>#NAME?</v>
      </c>
    </row>
    <row r="14" spans="1:36" x14ac:dyDescent="0.25">
      <c r="A14" s="180" t="s">
        <v>844</v>
      </c>
      <c r="B14">
        <v>1</v>
      </c>
      <c r="C14" s="181">
        <v>2</v>
      </c>
      <c r="F14" s="361"/>
      <c r="G14" s="358"/>
      <c r="H14" s="358"/>
      <c r="I14" s="358"/>
      <c r="J14" s="362"/>
      <c r="AB14" s="178" t="e">
        <f ca="1"/>
        <v>#NAME?</v>
      </c>
      <c r="AC14" t="e">
        <f ca="1"/>
        <v>#NAME?</v>
      </c>
      <c r="AD14" s="40" t="e">
        <f ca="1"/>
        <v>#NAME?</v>
      </c>
      <c r="AF14" t="s">
        <v>70</v>
      </c>
      <c r="AJ14" s="206">
        <v>0.05</v>
      </c>
    </row>
    <row r="15" spans="1:36" x14ac:dyDescent="0.25">
      <c r="A15" s="180" t="s">
        <v>844</v>
      </c>
      <c r="B15">
        <v>2</v>
      </c>
      <c r="C15" s="181">
        <v>6</v>
      </c>
      <c r="F15" s="180"/>
      <c r="J15" s="181"/>
      <c r="AB15" s="178" t="e">
        <f ca="1"/>
        <v>#NAME?</v>
      </c>
      <c r="AC15" t="e">
        <f ca="1"/>
        <v>#NAME?</v>
      </c>
      <c r="AD15" s="40" t="e">
        <f ca="1"/>
        <v>#NAME?</v>
      </c>
      <c r="AF15" t="s">
        <v>188</v>
      </c>
      <c r="AJ15" s="507" t="e">
        <f ca="1">IF(AJ13&lt;AJ14,"yes","no")</f>
        <v>#NAME?</v>
      </c>
    </row>
    <row r="16" spans="1:36" x14ac:dyDescent="0.25">
      <c r="A16" s="180" t="s">
        <v>844</v>
      </c>
      <c r="B16">
        <v>3</v>
      </c>
      <c r="C16" s="181">
        <v>11</v>
      </c>
      <c r="F16" s="170"/>
      <c r="G16" s="469"/>
      <c r="H16" s="469"/>
      <c r="I16" s="469"/>
      <c r="J16" s="517"/>
      <c r="AB16" s="178" t="e">
        <f ca="1"/>
        <v>#NAME?</v>
      </c>
      <c r="AC16" t="e">
        <f ca="1"/>
        <v>#NAME?</v>
      </c>
      <c r="AD16" s="40" t="e">
        <f ca="1"/>
        <v>#NAME?</v>
      </c>
    </row>
    <row r="17" spans="1:30" x14ac:dyDescent="0.25">
      <c r="A17" s="180" t="s">
        <v>844</v>
      </c>
      <c r="B17">
        <v>4</v>
      </c>
      <c r="C17" s="181">
        <v>15</v>
      </c>
      <c r="AB17" s="178" t="e">
        <f ca="1"/>
        <v>#NAME?</v>
      </c>
      <c r="AC17" t="e">
        <f ca="1"/>
        <v>#NAME?</v>
      </c>
      <c r="AD17" s="40" t="e">
        <f ca="1"/>
        <v>#NAME?</v>
      </c>
    </row>
    <row r="18" spans="1:30" x14ac:dyDescent="0.25">
      <c r="A18" s="170" t="s">
        <v>844</v>
      </c>
      <c r="B18" s="469">
        <v>5</v>
      </c>
      <c r="C18" s="517">
        <v>14</v>
      </c>
      <c r="AB18" s="178" t="e">
        <f ca="1"/>
        <v>#NAME?</v>
      </c>
      <c r="AC18" t="e">
        <f ca="1"/>
        <v>#NAME?</v>
      </c>
      <c r="AD18" s="40" t="e">
        <f ca="1"/>
        <v>#NAME?</v>
      </c>
    </row>
    <row r="19" spans="1:30" x14ac:dyDescent="0.25">
      <c r="AB19" s="178" t="e">
        <f ca="1"/>
        <v>#NAME?</v>
      </c>
      <c r="AC19" t="e">
        <f ca="1"/>
        <v>#NAME?</v>
      </c>
      <c r="AD19" s="40" t="e">
        <f ca="1"/>
        <v>#NAME?</v>
      </c>
    </row>
    <row r="20" spans="1:30" x14ac:dyDescent="0.25">
      <c r="AB20" s="178" t="e">
        <f ca="1"/>
        <v>#NAME?</v>
      </c>
      <c r="AC20" t="e">
        <f ca="1"/>
        <v>#NAME?</v>
      </c>
      <c r="AD20" s="40" t="e">
        <f ca="1"/>
        <v>#NAME?</v>
      </c>
    </row>
    <row r="21" spans="1:30" x14ac:dyDescent="0.25">
      <c r="AB21" s="178" t="e">
        <f ca="1"/>
        <v>#NAME?</v>
      </c>
      <c r="AC21" t="e">
        <f ca="1"/>
        <v>#NAME?</v>
      </c>
      <c r="AD21" s="40" t="e">
        <f ca="1"/>
        <v>#NAME?</v>
      </c>
    </row>
    <row r="22" spans="1:30" x14ac:dyDescent="0.25">
      <c r="AB22" s="178" t="e">
        <f ca="1"/>
        <v>#NAME?</v>
      </c>
      <c r="AC22" t="e">
        <f ca="1"/>
        <v>#NAME?</v>
      </c>
      <c r="AD22" s="40" t="e">
        <f ca="1"/>
        <v>#NAME?</v>
      </c>
    </row>
    <row r="23" spans="1:30" x14ac:dyDescent="0.25">
      <c r="AB23" s="178" t="e">
        <f ca="1"/>
        <v>#NAME?</v>
      </c>
      <c r="AC23" t="e">
        <f ca="1"/>
        <v>#NAME?</v>
      </c>
      <c r="AD23" s="40" t="e">
        <f ca="1"/>
        <v>#NAME?</v>
      </c>
    </row>
    <row r="24" spans="1:30" x14ac:dyDescent="0.25">
      <c r="AB24" s="178" t="e">
        <f ca="1"/>
        <v>#NAME?</v>
      </c>
      <c r="AC24" t="e">
        <f ca="1"/>
        <v>#NAME?</v>
      </c>
      <c r="AD24" s="40" t="e">
        <f ca="1"/>
        <v>#NAME?</v>
      </c>
    </row>
    <row r="25" spans="1:30" x14ac:dyDescent="0.25">
      <c r="AB25" s="178" t="e">
        <f ca="1"/>
        <v>#NAME?</v>
      </c>
      <c r="AC25" t="e">
        <f ca="1"/>
        <v>#NAME?</v>
      </c>
      <c r="AD25" s="40" t="e">
        <f ca="1"/>
        <v>#NAME?</v>
      </c>
    </row>
    <row r="26" spans="1:30" x14ac:dyDescent="0.25">
      <c r="AB26" s="178" t="e">
        <f ca="1"/>
        <v>#NAME?</v>
      </c>
      <c r="AC26" t="e">
        <f ca="1"/>
        <v>#NAME?</v>
      </c>
      <c r="AD26" s="40" t="e">
        <f ca="1"/>
        <v>#NAME?</v>
      </c>
    </row>
    <row r="27" spans="1:30" x14ac:dyDescent="0.25">
      <c r="AB27" s="178" t="e">
        <f ca="1"/>
        <v>#NAME?</v>
      </c>
      <c r="AC27" t="e">
        <f ca="1"/>
        <v>#NAME?</v>
      </c>
      <c r="AD27" s="40" t="e">
        <f ca="1"/>
        <v>#NAME?</v>
      </c>
    </row>
    <row r="28" spans="1:30" x14ac:dyDescent="0.25">
      <c r="AB28" s="178" t="e">
        <f ca="1"/>
        <v>#NAME?</v>
      </c>
      <c r="AC28" t="e">
        <f ca="1"/>
        <v>#NAME?</v>
      </c>
      <c r="AD28" s="40" t="e">
        <f ca="1"/>
        <v>#NAME?</v>
      </c>
    </row>
    <row r="29" spans="1:30" x14ac:dyDescent="0.25">
      <c r="AB29" s="178" t="e">
        <f ca="1"/>
        <v>#NAME?</v>
      </c>
      <c r="AC29" t="e">
        <f ca="1"/>
        <v>#NAME?</v>
      </c>
      <c r="AD29" s="40" t="e">
        <f ca="1"/>
        <v>#NAME?</v>
      </c>
    </row>
    <row r="30" spans="1:30" x14ac:dyDescent="0.25">
      <c r="AB30" s="178" t="e">
        <f ca="1"/>
        <v>#NAME?</v>
      </c>
      <c r="AC30" t="e">
        <f ca="1"/>
        <v>#NAME?</v>
      </c>
      <c r="AD30" s="40" t="e">
        <f ca="1"/>
        <v>#NAME?</v>
      </c>
    </row>
    <row r="31" spans="1:30" x14ac:dyDescent="0.25">
      <c r="AB31" s="178" t="e">
        <f ca="1"/>
        <v>#NAME?</v>
      </c>
      <c r="AC31" t="e">
        <f ca="1"/>
        <v>#NAME?</v>
      </c>
      <c r="AD31" s="40" t="e">
        <f ca="1"/>
        <v>#NAME?</v>
      </c>
    </row>
    <row r="32" spans="1:30" x14ac:dyDescent="0.25">
      <c r="AB32" s="178" t="e">
        <f ca="1"/>
        <v>#NAME?</v>
      </c>
      <c r="AC32" t="e">
        <f ca="1"/>
        <v>#NAME?</v>
      </c>
      <c r="AD32" s="40" t="e">
        <f ca="1"/>
        <v>#NAME?</v>
      </c>
    </row>
    <row r="33" spans="28:30" x14ac:dyDescent="0.25">
      <c r="AB33" s="178" t="e">
        <f ca="1"/>
        <v>#NAME?</v>
      </c>
      <c r="AC33" t="e">
        <f ca="1"/>
        <v>#NAME?</v>
      </c>
      <c r="AD33" s="40" t="e">
        <f ca="1"/>
        <v>#NAME?</v>
      </c>
    </row>
    <row r="34" spans="28:30" x14ac:dyDescent="0.25">
      <c r="AB34" s="178" t="e">
        <f ca="1"/>
        <v>#NAME?</v>
      </c>
      <c r="AC34" t="e">
        <f ca="1"/>
        <v>#NAME?</v>
      </c>
      <c r="AD34" s="40" t="e">
        <f ca="1"/>
        <v>#NAME?</v>
      </c>
    </row>
    <row r="35" spans="28:30" x14ac:dyDescent="0.25">
      <c r="AB35" s="178" t="e">
        <f ca="1"/>
        <v>#NAME?</v>
      </c>
      <c r="AC35" t="e">
        <f ca="1"/>
        <v>#NAME?</v>
      </c>
      <c r="AD35" s="40" t="e">
        <f ca="1"/>
        <v>#NAME?</v>
      </c>
    </row>
    <row r="36" spans="28:30" x14ac:dyDescent="0.25">
      <c r="AB36" s="178" t="e">
        <f ca="1"/>
        <v>#NAME?</v>
      </c>
      <c r="AC36" t="e">
        <f ca="1"/>
        <v>#NAME?</v>
      </c>
      <c r="AD36" s="40" t="e">
        <f ca="1"/>
        <v>#NAME?</v>
      </c>
    </row>
    <row r="37" spans="28:30" x14ac:dyDescent="0.25">
      <c r="AB37" s="178" t="e">
        <f ca="1"/>
        <v>#NAME?</v>
      </c>
      <c r="AC37" t="e">
        <f ca="1"/>
        <v>#NAME?</v>
      </c>
      <c r="AD37" s="40" t="e">
        <f ca="1"/>
        <v>#NAME?</v>
      </c>
    </row>
    <row r="38" spans="28:30" x14ac:dyDescent="0.25">
      <c r="AB38" s="178" t="e">
        <f ca="1"/>
        <v>#NAME?</v>
      </c>
      <c r="AC38" t="e">
        <f ca="1"/>
        <v>#NAME?</v>
      </c>
      <c r="AD38" s="40" t="e">
        <f ca="1"/>
        <v>#NAME?</v>
      </c>
    </row>
    <row r="39" spans="28:30" x14ac:dyDescent="0.25">
      <c r="AB39" s="178" t="e">
        <f ca="1"/>
        <v>#NAME?</v>
      </c>
      <c r="AC39" t="e">
        <f ca="1"/>
        <v>#NAME?</v>
      </c>
      <c r="AD39" s="40" t="e">
        <f ca="1"/>
        <v>#NAME?</v>
      </c>
    </row>
    <row r="40" spans="28:30" x14ac:dyDescent="0.25">
      <c r="AB40" s="178" t="e">
        <f ca="1"/>
        <v>#NAME?</v>
      </c>
      <c r="AC40" t="e">
        <f ca="1"/>
        <v>#NAME?</v>
      </c>
      <c r="AD40" s="40" t="e">
        <f ca="1"/>
        <v>#NAME?</v>
      </c>
    </row>
    <row r="41" spans="28:30" x14ac:dyDescent="0.25">
      <c r="AB41" s="178" t="e">
        <f ca="1"/>
        <v>#NAME?</v>
      </c>
      <c r="AC41" t="e">
        <f ca="1"/>
        <v>#NAME?</v>
      </c>
      <c r="AD41" s="40" t="e">
        <f ca="1"/>
        <v>#NAME?</v>
      </c>
    </row>
    <row r="42" spans="28:30" x14ac:dyDescent="0.25">
      <c r="AB42" s="178" t="e">
        <f ca="1"/>
        <v>#NAME?</v>
      </c>
      <c r="AC42" t="e">
        <f ca="1"/>
        <v>#NAME?</v>
      </c>
      <c r="AD42" s="40" t="e">
        <f ca="1"/>
        <v>#NAME?</v>
      </c>
    </row>
    <row r="43" spans="28:30" x14ac:dyDescent="0.25">
      <c r="AB43" s="178" t="e">
        <f ca="1"/>
        <v>#NAME?</v>
      </c>
      <c r="AC43" t="e">
        <f ca="1"/>
        <v>#NAME?</v>
      </c>
      <c r="AD43" s="40" t="e">
        <f ca="1"/>
        <v>#NAME?</v>
      </c>
    </row>
    <row r="44" spans="28:30" x14ac:dyDescent="0.25">
      <c r="AB44" s="178" t="e">
        <f ca="1"/>
        <v>#NAME?</v>
      </c>
      <c r="AC44" t="e">
        <f ca="1"/>
        <v>#NAME?</v>
      </c>
      <c r="AD44" s="40" t="e">
        <f ca="1"/>
        <v>#NAME?</v>
      </c>
    </row>
    <row r="45" spans="28:30" x14ac:dyDescent="0.25">
      <c r="AB45" s="178" t="e">
        <f ca="1"/>
        <v>#NAME?</v>
      </c>
      <c r="AC45" t="e">
        <f ca="1"/>
        <v>#NAME?</v>
      </c>
      <c r="AD45" s="40" t="e">
        <f ca="1"/>
        <v>#NAME?</v>
      </c>
    </row>
    <row r="46" spans="28:30" x14ac:dyDescent="0.25">
      <c r="AB46" s="178" t="e">
        <f ca="1"/>
        <v>#NAME?</v>
      </c>
      <c r="AC46" t="e">
        <f ca="1"/>
        <v>#NAME?</v>
      </c>
      <c r="AD46" s="40" t="e">
        <f ca="1"/>
        <v>#NAME?</v>
      </c>
    </row>
    <row r="47" spans="28:30" x14ac:dyDescent="0.25">
      <c r="AB47" s="178" t="e">
        <f ca="1"/>
        <v>#NAME?</v>
      </c>
      <c r="AC47" t="e">
        <f ca="1"/>
        <v>#NAME?</v>
      </c>
      <c r="AD47" s="40" t="e">
        <f ca="1"/>
        <v>#NAME?</v>
      </c>
    </row>
    <row r="48" spans="28:30" x14ac:dyDescent="0.25">
      <c r="AB48" s="178" t="e">
        <f ca="1"/>
        <v>#NAME?</v>
      </c>
      <c r="AC48" t="e">
        <f ca="1"/>
        <v>#NAME?</v>
      </c>
      <c r="AD48" s="40" t="e">
        <f ca="1"/>
        <v>#NAME?</v>
      </c>
    </row>
    <row r="49" spans="28:30" x14ac:dyDescent="0.25">
      <c r="AB49" s="178" t="e">
        <f ca="1"/>
        <v>#NAME?</v>
      </c>
      <c r="AC49" t="e">
        <f ca="1"/>
        <v>#NAME?</v>
      </c>
      <c r="AD49" s="40" t="e">
        <f ca="1"/>
        <v>#NAME?</v>
      </c>
    </row>
    <row r="50" spans="28:30" x14ac:dyDescent="0.25">
      <c r="AB50" s="178" t="e">
        <f ca="1"/>
        <v>#NAME?</v>
      </c>
      <c r="AC50" t="e">
        <f ca="1"/>
        <v>#NAME?</v>
      </c>
      <c r="AD50" s="40" t="e">
        <f ca="1"/>
        <v>#NAME?</v>
      </c>
    </row>
    <row r="51" spans="28:30" x14ac:dyDescent="0.25">
      <c r="AB51" s="178" t="e">
        <f ca="1"/>
        <v>#NAME?</v>
      </c>
      <c r="AC51" t="e">
        <f ca="1"/>
        <v>#NAME?</v>
      </c>
      <c r="AD51" s="40" t="e">
        <f ca="1"/>
        <v>#NAME?</v>
      </c>
    </row>
    <row r="52" spans="28:30" x14ac:dyDescent="0.25">
      <c r="AB52" s="178" t="e">
        <f ca="1"/>
        <v>#NAME?</v>
      </c>
      <c r="AC52" t="e">
        <f ca="1"/>
        <v>#NAME?</v>
      </c>
      <c r="AD52" s="40" t="e">
        <f ca="1"/>
        <v>#NAME?</v>
      </c>
    </row>
    <row r="53" spans="28:30" x14ac:dyDescent="0.25">
      <c r="AB53" s="460" t="e">
        <f ca="1"/>
        <v>#NAME?</v>
      </c>
      <c r="AC53" s="461" t="e">
        <f ca="1"/>
        <v>#NAME?</v>
      </c>
      <c r="AD53" s="462" t="e">
        <f ca="1"/>
        <v>#NAME?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13"/>
  <sheetViews>
    <sheetView workbookViewId="0"/>
  </sheetViews>
  <sheetFormatPr defaultRowHeight="15" x14ac:dyDescent="0.25"/>
  <cols>
    <col min="1" max="1" width="5.42578125" customWidth="1"/>
    <col min="2" max="6" width="5.7109375" customWidth="1"/>
    <col min="7" max="11" width="5.140625" customWidth="1"/>
    <col min="14" max="14" width="3.85546875" customWidth="1"/>
    <col min="15" max="15" width="55.42578125" customWidth="1"/>
  </cols>
  <sheetData>
    <row r="1" spans="1:25" x14ac:dyDescent="0.25">
      <c r="A1" s="1" t="s">
        <v>736</v>
      </c>
      <c r="T1" t="s">
        <v>474</v>
      </c>
    </row>
    <row r="3" spans="1:25" x14ac:dyDescent="0.25">
      <c r="B3" s="366" t="s">
        <v>80</v>
      </c>
      <c r="C3" s="366" t="s">
        <v>86</v>
      </c>
      <c r="D3" s="366" t="s">
        <v>375</v>
      </c>
      <c r="E3" s="366" t="s">
        <v>78</v>
      </c>
      <c r="H3" s="568" t="s">
        <v>737</v>
      </c>
      <c r="I3" s="568"/>
      <c r="J3" s="568"/>
      <c r="U3" t="str">
        <f>B3</f>
        <v>D</v>
      </c>
      <c r="V3" t="str">
        <f t="shared" ref="V3:X3" si="0">C3</f>
        <v>A</v>
      </c>
      <c r="W3" t="str">
        <f t="shared" si="0"/>
        <v>V</v>
      </c>
      <c r="X3" t="str">
        <f t="shared" si="0"/>
        <v>B</v>
      </c>
    </row>
    <row r="4" spans="1:25" x14ac:dyDescent="0.25">
      <c r="A4">
        <v>1</v>
      </c>
      <c r="B4">
        <v>45</v>
      </c>
      <c r="C4">
        <v>59</v>
      </c>
      <c r="D4">
        <v>49</v>
      </c>
      <c r="E4">
        <v>72</v>
      </c>
      <c r="H4" s="252">
        <f>IF(B4&lt;&gt;"",COUNTIF(C$4:$E$9,"&gt;"&amp;B4)+0.5*COUNTIF(C$4:$E$9,B4),"")</f>
        <v>15</v>
      </c>
      <c r="I4" s="252">
        <f>IF(C4&lt;&gt;"",COUNTIF(D$4:$E$9,"&gt;"&amp;C4)+0.5*COUNTIF(D$4:$E$9,C4),"")</f>
        <v>5</v>
      </c>
      <c r="J4" s="252">
        <f>IF(D4&lt;&gt;"",COUNTIF(E$4:$E$9,"&gt;"&amp;D4)+0.5*COUNTIF(E$4:$E$9,D4),"")</f>
        <v>6</v>
      </c>
      <c r="L4" t="s">
        <v>4</v>
      </c>
      <c r="M4" s="367">
        <f>(F10^2-SUMSQ(B10:E10))/4</f>
        <v>90.5</v>
      </c>
      <c r="N4" s="7"/>
      <c r="O4" s="7" t="e">
        <f ca="1">FTEXT(M4)</f>
        <v>#NAME?</v>
      </c>
      <c r="T4" t="s">
        <v>229</v>
      </c>
      <c r="U4" s="380">
        <f>MEDIAN(B4:B9)</f>
        <v>45</v>
      </c>
      <c r="V4" s="411">
        <f t="shared" ref="V4:X4" si="1">MEDIAN(C4:C9)</f>
        <v>50</v>
      </c>
      <c r="W4" s="411">
        <f t="shared" si="1"/>
        <v>55</v>
      </c>
      <c r="X4" s="382">
        <f t="shared" si="1"/>
        <v>59.5</v>
      </c>
    </row>
    <row r="5" spans="1:25" x14ac:dyDescent="0.25">
      <c r="A5">
        <v>2</v>
      </c>
      <c r="B5">
        <v>35</v>
      </c>
      <c r="C5">
        <v>53</v>
      </c>
      <c r="D5">
        <v>69</v>
      </c>
      <c r="E5">
        <v>55</v>
      </c>
      <c r="H5" s="7">
        <f>IF(B5&lt;&gt;"",COUNTIF(C$4:$E$9,"&gt;"&amp;B5)+0.5*COUNTIF(C$4:$E$9,B5),"")</f>
        <v>16</v>
      </c>
      <c r="I5" s="7">
        <f>IF(C5&lt;&gt;"",COUNTIF(D$4:$E$9,"&gt;"&amp;C5)+0.5*COUNTIF(D$4:$E$9,C5),"")</f>
        <v>8</v>
      </c>
      <c r="J5" s="7">
        <f>IF(D5&lt;&gt;"",COUNTIF(E$4:$E$9,"&gt;"&amp;D5)+0.5*COUNTIF(E$4:$E$9,D5),"")</f>
        <v>1</v>
      </c>
      <c r="L5" t="s">
        <v>5</v>
      </c>
      <c r="M5" s="179">
        <f>(F10^2*(2*F10+3)-SUMPRODUCT(B10:E10^2,2*B10:E10+3))/72</f>
        <v>291.91666666666669</v>
      </c>
      <c r="N5" s="7"/>
      <c r="O5" s="7" t="e">
        <f ca="1">FTEXT(M5)</f>
        <v>#NAME?</v>
      </c>
      <c r="T5" t="s">
        <v>378</v>
      </c>
      <c r="U5" s="178" t="e">
        <f ca="1">RANK_SUM(B4:E9, 1,1)</f>
        <v>#NAME?</v>
      </c>
      <c r="V5" s="7" t="e">
        <f ca="1">RANK_SUM(B4:E9, 2,1)</f>
        <v>#NAME?</v>
      </c>
      <c r="W5" s="7" t="e">
        <f ca="1">RANK_SUM(B4:E9, 3,1)</f>
        <v>#NAME?</v>
      </c>
      <c r="X5" s="40" t="e">
        <f ca="1">RANK_SUM(B4:E9, 4,1)</f>
        <v>#NAME?</v>
      </c>
    </row>
    <row r="6" spans="1:25" x14ac:dyDescent="0.25">
      <c r="A6">
        <v>3</v>
      </c>
      <c r="B6">
        <v>51</v>
      </c>
      <c r="C6">
        <v>31</v>
      </c>
      <c r="D6">
        <v>52</v>
      </c>
      <c r="E6">
        <v>65</v>
      </c>
      <c r="H6" s="7">
        <f>IF(B6&lt;&gt;"",COUNTIF(C$4:$E$9,"&gt;"&amp;B6)+0.5*COUNTIF(C$4:$E$9,B6),"")</f>
        <v>12.5</v>
      </c>
      <c r="I6" s="7">
        <f>IF(C6&lt;&gt;"",COUNTIF(D$4:$E$9,"&gt;"&amp;C6)+0.5*COUNTIF(D$4:$E$9,C6),"")</f>
        <v>11</v>
      </c>
      <c r="J6" s="7">
        <f>IF(D6&lt;&gt;"",COUNTIF(E$4:$E$9,"&gt;"&amp;D6)+0.5*COUNTIF(E$4:$E$9,D6),"")</f>
        <v>5</v>
      </c>
      <c r="L6" t="s">
        <v>738</v>
      </c>
      <c r="M6" s="179">
        <f>SUM(H10:J10)</f>
        <v>133.5</v>
      </c>
      <c r="N6" s="7"/>
      <c r="O6" s="7" t="e">
        <f ca="1">FTEXT(M6)</f>
        <v>#NAME?</v>
      </c>
      <c r="Q6" t="e">
        <f t="array" aca="1" ref="Q6:R9" ca="1">JT_TEST(B4:E9,TRUE)</f>
        <v>#NAME?</v>
      </c>
      <c r="R6" s="367" t="e">
        <f ca="1"/>
        <v>#NAME?</v>
      </c>
      <c r="T6" t="s">
        <v>87</v>
      </c>
      <c r="U6" s="178">
        <f>COUNT(B4:B9)</f>
        <v>5</v>
      </c>
      <c r="V6" s="7">
        <f t="shared" ref="V6:X6" si="2">COUNT(C4:C9)</f>
        <v>6</v>
      </c>
      <c r="W6" s="7">
        <f t="shared" si="2"/>
        <v>5</v>
      </c>
      <c r="X6" s="40">
        <f t="shared" si="2"/>
        <v>6</v>
      </c>
      <c r="Y6" s="344">
        <f>SUM(U6:X6)</f>
        <v>22</v>
      </c>
    </row>
    <row r="7" spans="1:25" x14ac:dyDescent="0.25">
      <c r="A7">
        <v>4</v>
      </c>
      <c r="B7">
        <v>31</v>
      </c>
      <c r="C7">
        <v>47</v>
      </c>
      <c r="D7">
        <v>55</v>
      </c>
      <c r="E7">
        <v>58</v>
      </c>
      <c r="H7" s="7">
        <f>IF(B7&lt;&gt;"",COUNTIF(C$4:$E$9,"&gt;"&amp;B7)+0.5*COUNTIF(C$4:$E$9,B7),"")</f>
        <v>16.5</v>
      </c>
      <c r="I7" s="7">
        <f>IF(C7&lt;&gt;"",COUNTIF(D$4:$E$9,"&gt;"&amp;C7)+0.5*COUNTIF(D$4:$E$9,C7),"")</f>
        <v>11</v>
      </c>
      <c r="J7" s="7">
        <f>IF(D7&lt;&gt;"",COUNTIF(E$4:$E$9,"&gt;"&amp;D7)+0.5*COUNTIF(E$4:$E$9,D7),"")</f>
        <v>4.5</v>
      </c>
      <c r="L7" t="s">
        <v>739</v>
      </c>
      <c r="M7" s="179">
        <f>(M6-M4)/SQRT(M5)</f>
        <v>2.5167438147457135</v>
      </c>
      <c r="N7" s="7"/>
      <c r="O7" s="7" t="e">
        <f ca="1">FTEXT(M7)</f>
        <v>#NAME?</v>
      </c>
      <c r="Q7" t="e">
        <f ca="1"/>
        <v>#NAME?</v>
      </c>
      <c r="R7" s="179" t="e">
        <f ca="1"/>
        <v>#NAME?</v>
      </c>
      <c r="T7" t="s">
        <v>623</v>
      </c>
      <c r="U7" s="221" t="e">
        <f ca="1">U5^2/U6</f>
        <v>#NAME?</v>
      </c>
      <c r="V7" s="222" t="e">
        <f t="shared" ref="V7:X7" ca="1" si="3">V5^2/V6</f>
        <v>#NAME?</v>
      </c>
      <c r="W7" s="222" t="e">
        <f t="shared" ca="1" si="3"/>
        <v>#NAME?</v>
      </c>
      <c r="X7" s="223" t="e">
        <f t="shared" ca="1" si="3"/>
        <v>#NAME?</v>
      </c>
      <c r="Y7" s="206" t="e">
        <f ca="1">SUM(U7:X7)</f>
        <v>#NAME?</v>
      </c>
    </row>
    <row r="8" spans="1:25" x14ac:dyDescent="0.25">
      <c r="A8">
        <v>5</v>
      </c>
      <c r="B8">
        <v>62</v>
      </c>
      <c r="C8">
        <v>42</v>
      </c>
      <c r="D8">
        <v>63</v>
      </c>
      <c r="E8">
        <v>61</v>
      </c>
      <c r="H8" s="7">
        <f>IF(B8&lt;&gt;"",COUNTIF(C$4:$E$9,"&gt;"&amp;B8)+0.5*COUNTIF(C$4:$E$9,B8),"")</f>
        <v>4</v>
      </c>
      <c r="I8" s="7">
        <f>IF(C8&lt;&gt;"",COUNTIF(D$4:$E$9,"&gt;"&amp;C8)+0.5*COUNTIF(D$4:$E$9,C8),"")</f>
        <v>11</v>
      </c>
      <c r="J8" s="7">
        <f>IF(D8&lt;&gt;"",COUNTIF(E$4:$E$9,"&gt;"&amp;D8)+0.5*COUNTIF(E$4:$E$9,D8),"")</f>
        <v>2</v>
      </c>
      <c r="L8" t="s">
        <v>56</v>
      </c>
      <c r="M8" s="179">
        <f>1-NORMSDIST(M7)</f>
        <v>5.9222458692119728E-3</v>
      </c>
      <c r="N8" s="7"/>
      <c r="O8" s="412" t="s">
        <v>740</v>
      </c>
      <c r="Q8" t="e">
        <f ca="1"/>
        <v>#NAME?</v>
      </c>
      <c r="R8" s="179" t="e">
        <f ca="1"/>
        <v>#NAME?</v>
      </c>
      <c r="T8" t="s">
        <v>575</v>
      </c>
      <c r="Y8" s="206" t="e">
        <f ca="1">12*Y7/(Y6*(Y6+1))-3*(Y6+1)</f>
        <v>#NAME?</v>
      </c>
    </row>
    <row r="9" spans="1:25" x14ac:dyDescent="0.25">
      <c r="A9">
        <v>6</v>
      </c>
      <c r="B9" s="224"/>
      <c r="C9" s="224">
        <v>59</v>
      </c>
      <c r="D9" s="224"/>
      <c r="E9" s="224">
        <v>51</v>
      </c>
      <c r="H9" s="224" t="str">
        <f>IF(B9&lt;&gt;"",COUNTIF(C$4:$E$9,"&gt;"&amp;B9)+0.5*COUNTIF(C$4:$E$9,B9),"")</f>
        <v/>
      </c>
      <c r="I9" s="224">
        <f>IF(C9&lt;&gt;"",COUNTIF(D$4:$E$9,"&gt;"&amp;C9)+0.5*COUNTIF(D$4:$E$9,C9),"")</f>
        <v>5</v>
      </c>
      <c r="J9" s="224" t="str">
        <f>IF(D9&lt;&gt;"",COUNTIF(E$4:$E$9,"&gt;"&amp;D9)+0.5*COUNTIF(E$4:$E$9,D9),"")</f>
        <v/>
      </c>
      <c r="L9" t="s">
        <v>741</v>
      </c>
      <c r="M9" s="175">
        <f>M7/SQRT(F10)</f>
        <v>0.53657158418733786</v>
      </c>
      <c r="O9" s="7" t="e">
        <f ca="1">FTEXT(M9)</f>
        <v>#NAME?</v>
      </c>
      <c r="Q9" t="e">
        <f ca="1"/>
        <v>#NAME?</v>
      </c>
      <c r="R9" s="175" t="e">
        <f ca="1"/>
        <v>#NAME?</v>
      </c>
      <c r="T9" t="s">
        <v>626</v>
      </c>
      <c r="Y9" s="206" t="e">
        <f ca="1">Y8/(1-TiesCorrection(B4:E9)/(22*(22^2-1)))</f>
        <v>#NAME?</v>
      </c>
    </row>
    <row r="10" spans="1:25" x14ac:dyDescent="0.25">
      <c r="A10" t="s">
        <v>28</v>
      </c>
      <c r="B10" s="7">
        <f>COUNT(B4:B9)</f>
        <v>5</v>
      </c>
      <c r="C10" s="7">
        <f>COUNT(C4:C9)</f>
        <v>6</v>
      </c>
      <c r="D10" s="7">
        <f>COUNT(D4:D9)</f>
        <v>5</v>
      </c>
      <c r="E10" s="7">
        <f>COUNT(E4:E9)</f>
        <v>6</v>
      </c>
      <c r="F10" s="28">
        <f>SUM(B10:E10)</f>
        <v>22</v>
      </c>
      <c r="H10" s="28">
        <f>SUM(H4:H9)</f>
        <v>64</v>
      </c>
      <c r="I10" s="28">
        <f>SUM(I4:I9)</f>
        <v>51</v>
      </c>
      <c r="J10" s="28">
        <f>SUM(J4:J9)</f>
        <v>18.5</v>
      </c>
      <c r="T10" t="s">
        <v>51</v>
      </c>
      <c r="Y10" s="206">
        <f>COUNTA(U3:X3)-1</f>
        <v>3</v>
      </c>
    </row>
    <row r="11" spans="1:25" x14ac:dyDescent="0.25">
      <c r="A11" t="s">
        <v>742</v>
      </c>
      <c r="B11" s="224">
        <f>MEDIAN(B4:B9)</f>
        <v>45</v>
      </c>
      <c r="C11" s="224">
        <f>MEDIAN(C4:C9)</f>
        <v>50</v>
      </c>
      <c r="D11" s="224">
        <f>MEDIAN(D4:D9)</f>
        <v>55</v>
      </c>
      <c r="E11" s="224">
        <f>MEDIAN(E4:E9)</f>
        <v>59.5</v>
      </c>
      <c r="F11" s="28"/>
      <c r="T11" t="s">
        <v>56</v>
      </c>
      <c r="Y11" s="206" t="e">
        <f ca="1">CHIDIST(Y9,Y10)</f>
        <v>#NAME?</v>
      </c>
    </row>
    <row r="12" spans="1:25" x14ac:dyDescent="0.25">
      <c r="B12" s="7"/>
      <c r="C12" s="7"/>
      <c r="D12" s="7"/>
      <c r="E12" s="7"/>
      <c r="F12" s="28"/>
      <c r="T12" t="s">
        <v>70</v>
      </c>
      <c r="Y12" s="206">
        <v>0.05</v>
      </c>
    </row>
    <row r="13" spans="1:25" x14ac:dyDescent="0.25">
      <c r="A13" t="e">
        <f ca="1">FTEXT(H4)</f>
        <v>#NAME?</v>
      </c>
      <c r="T13" t="s">
        <v>188</v>
      </c>
      <c r="Y13" s="220" t="e">
        <f ca="1">IF(Y11&lt;Y12,"yes","no")</f>
        <v>#NAME?</v>
      </c>
    </row>
  </sheetData>
  <mergeCells count="1">
    <mergeCell ref="H3:J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S23"/>
  <sheetViews>
    <sheetView workbookViewId="0"/>
  </sheetViews>
  <sheetFormatPr defaultRowHeight="15" x14ac:dyDescent="0.25"/>
  <cols>
    <col min="1" max="4" width="9.140625" customWidth="1"/>
    <col min="5" max="5" width="7.710937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4.7109375" customWidth="1"/>
    <col min="14" max="14" width="10.5703125" customWidth="1"/>
  </cols>
  <sheetData>
    <row r="1" spans="1:18" x14ac:dyDescent="0.25">
      <c r="A1" s="1" t="s">
        <v>221</v>
      </c>
    </row>
    <row r="3" spans="1:18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224</v>
      </c>
    </row>
    <row r="4" spans="1:18" x14ac:dyDescent="0.25">
      <c r="A4" s="60">
        <v>51</v>
      </c>
      <c r="B4" s="60">
        <v>82</v>
      </c>
      <c r="C4" s="60">
        <v>79</v>
      </c>
      <c r="D4" s="60">
        <v>85</v>
      </c>
    </row>
    <row r="5" spans="1:18" ht="15.75" thickBot="1" x14ac:dyDescent="0.3">
      <c r="A5" s="37">
        <v>87</v>
      </c>
      <c r="B5" s="37">
        <v>91</v>
      </c>
      <c r="C5" s="37">
        <v>84</v>
      </c>
      <c r="D5" s="37">
        <v>80</v>
      </c>
      <c r="F5" t="s">
        <v>52</v>
      </c>
    </row>
    <row r="6" spans="1:18" x14ac:dyDescent="0.25">
      <c r="A6" s="37">
        <v>50</v>
      </c>
      <c r="B6" s="37">
        <v>92</v>
      </c>
      <c r="C6" s="37">
        <v>74</v>
      </c>
      <c r="D6" s="37">
        <v>65</v>
      </c>
      <c r="F6" s="87" t="s">
        <v>61</v>
      </c>
      <c r="G6" s="87" t="s">
        <v>19</v>
      </c>
      <c r="H6" s="87" t="s">
        <v>18</v>
      </c>
      <c r="I6" s="87" t="s">
        <v>134</v>
      </c>
      <c r="J6" s="87" t="s">
        <v>62</v>
      </c>
      <c r="N6" s="87" t="s">
        <v>225</v>
      </c>
      <c r="O6" s="87" t="s">
        <v>222</v>
      </c>
      <c r="P6" s="87" t="s">
        <v>223</v>
      </c>
    </row>
    <row r="7" spans="1:18" x14ac:dyDescent="0.25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8</v>
      </c>
      <c r="H7" s="17">
        <v>483</v>
      </c>
      <c r="I7" s="17">
        <v>60.375</v>
      </c>
      <c r="J7" s="17">
        <v>214.26785714285714</v>
      </c>
      <c r="N7" s="24">
        <f>(1-G7/$G$11)*J7</f>
        <v>160.70089285714286</v>
      </c>
      <c r="O7" s="12">
        <f>N7/$N$11</f>
        <v>0.2984454669817187</v>
      </c>
      <c r="P7" s="12">
        <f>O7^2/(G7-1)</f>
        <v>1.2724242394562307E-2</v>
      </c>
    </row>
    <row r="8" spans="1:18" x14ac:dyDescent="0.25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24">
        <f>(1-G8/$G$11)*J8</f>
        <v>118.16517857142856</v>
      </c>
      <c r="O8" s="12">
        <f>N8/$N$11</f>
        <v>0.2194503171247357</v>
      </c>
      <c r="P8" s="12">
        <f>O8^2/(G8-1)</f>
        <v>6.8797773837352954E-3</v>
      </c>
    </row>
    <row r="9" spans="1:18" x14ac:dyDescent="0.25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24">
        <f>(1-G9/$G$11)*J9</f>
        <v>123.42857142857144</v>
      </c>
      <c r="O9" s="12">
        <f>N9/$N$11</f>
        <v>0.22922522074368862</v>
      </c>
      <c r="P9" s="12">
        <f>O9^2/(G9-1)</f>
        <v>7.5063145464275395E-3</v>
      </c>
    </row>
    <row r="10" spans="1:18" ht="15.75" thickBot="1" x14ac:dyDescent="0.3">
      <c r="A10" s="37">
        <v>53</v>
      </c>
      <c r="B10" s="37">
        <v>73</v>
      </c>
      <c r="C10" s="37">
        <v>85</v>
      </c>
      <c r="D10" s="37">
        <v>63</v>
      </c>
      <c r="F10" s="18" t="s">
        <v>41</v>
      </c>
      <c r="G10" s="18">
        <v>8</v>
      </c>
      <c r="H10" s="18">
        <v>575</v>
      </c>
      <c r="I10" s="18">
        <v>71.875</v>
      </c>
      <c r="J10" s="18">
        <v>181.55357142857142</v>
      </c>
      <c r="N10" s="67">
        <f>(1-G10/$G$11)*J10</f>
        <v>136.16517857142856</v>
      </c>
      <c r="O10" s="67">
        <f>N10/$N$11</f>
        <v>0.25287899514985696</v>
      </c>
      <c r="P10" s="67">
        <f>O10^2/(G10-1)</f>
        <v>9.1353980268573387E-3</v>
      </c>
    </row>
    <row r="11" spans="1:18" x14ac:dyDescent="0.25">
      <c r="A11" s="86">
        <v>54</v>
      </c>
      <c r="B11" s="86">
        <v>74</v>
      </c>
      <c r="C11" s="86">
        <v>58</v>
      </c>
      <c r="D11" s="86">
        <v>93</v>
      </c>
      <c r="E11" s="85"/>
      <c r="F11" s="17" t="s">
        <v>1</v>
      </c>
      <c r="G11">
        <f>SUM(G7:G10)</f>
        <v>32</v>
      </c>
      <c r="N11" s="17">
        <f>SUM(N7:N10)</f>
        <v>538.45982142857144</v>
      </c>
      <c r="P11" s="17">
        <f>1/SUM(P7:P10)</f>
        <v>27.589454954311066</v>
      </c>
    </row>
    <row r="13" spans="1:18" ht="15.75" thickBot="1" x14ac:dyDescent="0.3">
      <c r="F13" t="s">
        <v>101</v>
      </c>
    </row>
    <row r="14" spans="1:18" x14ac:dyDescent="0.25">
      <c r="F14" s="87" t="s">
        <v>135</v>
      </c>
      <c r="G14" s="87" t="s">
        <v>88</v>
      </c>
      <c r="H14" s="87" t="s">
        <v>51</v>
      </c>
      <c r="I14" s="87" t="s">
        <v>92</v>
      </c>
      <c r="J14" s="87" t="s">
        <v>82</v>
      </c>
      <c r="K14" s="87" t="s">
        <v>74</v>
      </c>
      <c r="L14" s="87" t="s">
        <v>136</v>
      </c>
      <c r="N14" s="87" t="s">
        <v>226</v>
      </c>
      <c r="O14" s="87" t="s">
        <v>51</v>
      </c>
      <c r="P14" s="87" t="s">
        <v>82</v>
      </c>
      <c r="Q14" s="87" t="s">
        <v>74</v>
      </c>
      <c r="R14" s="87" t="s">
        <v>136</v>
      </c>
    </row>
    <row r="15" spans="1:18" x14ac:dyDescent="0.25">
      <c r="F15" s="17" t="s">
        <v>131</v>
      </c>
      <c r="G15" s="17">
        <v>1645.34375</v>
      </c>
      <c r="H15" s="17">
        <v>3</v>
      </c>
      <c r="I15" s="17">
        <v>548.44791666666663</v>
      </c>
      <c r="J15" s="17">
        <v>3.0556481366330885</v>
      </c>
      <c r="K15" s="17">
        <v>4.4662597948147184E-2</v>
      </c>
      <c r="L15" s="17">
        <v>2.9466852660172647</v>
      </c>
      <c r="N15" s="17">
        <f>G15</f>
        <v>1645.34375</v>
      </c>
      <c r="O15" s="17">
        <v>3</v>
      </c>
      <c r="P15" s="17">
        <f>N15/N16</f>
        <v>3.0556481366330885</v>
      </c>
      <c r="Q15" s="17" t="e">
        <f ca="1">F_DIST_RT(P15,O15,O16)</f>
        <v>#NAME?</v>
      </c>
      <c r="R15" s="17">
        <f>FINV(0.05,O15,O16)</f>
        <v>2.9603513184112873</v>
      </c>
    </row>
    <row r="16" spans="1:18" ht="15.75" thickBot="1" x14ac:dyDescent="0.3">
      <c r="F16" s="17" t="s">
        <v>132</v>
      </c>
      <c r="G16" s="17">
        <v>5025.625</v>
      </c>
      <c r="H16" s="17">
        <v>28</v>
      </c>
      <c r="I16" s="17">
        <v>179.48660714285714</v>
      </c>
      <c r="J16" s="17"/>
      <c r="K16" s="17"/>
      <c r="L16" s="17"/>
      <c r="N16" s="18">
        <f>N11</f>
        <v>538.45982142857144</v>
      </c>
      <c r="O16" s="18">
        <f>P11</f>
        <v>27.589454954311066</v>
      </c>
      <c r="P16" s="18"/>
      <c r="Q16" s="18"/>
      <c r="R16" s="18"/>
    </row>
    <row r="17" spans="6:19" x14ac:dyDescent="0.25"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</row>
    <row r="18" spans="6:19" ht="15.75" thickBot="1" x14ac:dyDescent="0.3">
      <c r="F18" s="18" t="s">
        <v>1</v>
      </c>
      <c r="G18" s="18">
        <v>6670.96875</v>
      </c>
      <c r="H18" s="18">
        <v>31</v>
      </c>
      <c r="I18" s="18"/>
      <c r="J18" s="18"/>
      <c r="K18" s="18"/>
      <c r="L18" s="18"/>
      <c r="N18" s="17"/>
      <c r="O18" s="17"/>
      <c r="P18" s="17"/>
      <c r="Q18" s="17"/>
      <c r="R18" s="17"/>
    </row>
    <row r="19" spans="6:19" x14ac:dyDescent="0.25">
      <c r="N19" s="17" t="s">
        <v>596</v>
      </c>
      <c r="O19" s="17"/>
      <c r="P19" s="17"/>
      <c r="Q19" s="17"/>
      <c r="R19" s="17"/>
      <c r="S19" s="17"/>
    </row>
    <row r="21" spans="6:19" x14ac:dyDescent="0.25">
      <c r="N21" t="s">
        <v>404</v>
      </c>
      <c r="O21" s="197" t="e">
        <f ca="1">FSTAR(A4:D11)</f>
        <v>#NAME?</v>
      </c>
    </row>
    <row r="22" spans="6:19" x14ac:dyDescent="0.25">
      <c r="N22" t="s">
        <v>223</v>
      </c>
      <c r="O22" s="179" t="e">
        <f ca="1">DFSTAR(A4:D11)</f>
        <v>#NAME?</v>
      </c>
    </row>
    <row r="23" spans="6:19" x14ac:dyDescent="0.25">
      <c r="N23" t="s">
        <v>56</v>
      </c>
      <c r="O23" s="175" t="e">
        <f ca="1">BFTEST(A4:D11)</f>
        <v>#NAME?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U24"/>
  <sheetViews>
    <sheetView workbookViewId="0">
      <selection activeCell="O28" sqref="O28"/>
    </sheetView>
  </sheetViews>
  <sheetFormatPr defaultRowHeight="15" x14ac:dyDescent="0.25"/>
  <cols>
    <col min="5" max="5" width="7.710937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4.7109375" customWidth="1"/>
    <col min="14" max="14" width="10.5703125" customWidth="1"/>
  </cols>
  <sheetData>
    <row r="1" spans="1:21" x14ac:dyDescent="0.25">
      <c r="A1" s="1" t="s">
        <v>221</v>
      </c>
    </row>
    <row r="2" spans="1:21" x14ac:dyDescent="0.25">
      <c r="T2" t="s">
        <v>523</v>
      </c>
    </row>
    <row r="3" spans="1:21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224</v>
      </c>
    </row>
    <row r="4" spans="1:21" x14ac:dyDescent="0.25">
      <c r="A4" s="60">
        <v>51</v>
      </c>
      <c r="B4" s="60">
        <v>82</v>
      </c>
      <c r="C4" s="60">
        <v>79</v>
      </c>
      <c r="D4" s="60">
        <v>85</v>
      </c>
      <c r="T4" t="s">
        <v>572</v>
      </c>
    </row>
    <row r="5" spans="1:21" ht="15.75" thickBot="1" x14ac:dyDescent="0.3">
      <c r="A5" s="191">
        <v>87</v>
      </c>
      <c r="B5" s="191">
        <v>91</v>
      </c>
      <c r="C5" s="191">
        <v>84</v>
      </c>
      <c r="D5" s="191">
        <v>80</v>
      </c>
      <c r="F5" t="s">
        <v>52</v>
      </c>
    </row>
    <row r="6" spans="1:21" x14ac:dyDescent="0.25">
      <c r="A6" s="191">
        <v>50</v>
      </c>
      <c r="B6" s="191">
        <v>92</v>
      </c>
      <c r="C6" s="191">
        <v>74</v>
      </c>
      <c r="D6" s="191">
        <v>65</v>
      </c>
      <c r="F6" s="193" t="s">
        <v>61</v>
      </c>
      <c r="G6" s="193" t="s">
        <v>19</v>
      </c>
      <c r="H6" s="193" t="s">
        <v>18</v>
      </c>
      <c r="I6" s="193" t="s">
        <v>134</v>
      </c>
      <c r="J6" s="193" t="s">
        <v>62</v>
      </c>
      <c r="N6" s="109" t="s">
        <v>225</v>
      </c>
      <c r="O6" s="109" t="s">
        <v>222</v>
      </c>
      <c r="P6" s="109" t="s">
        <v>223</v>
      </c>
      <c r="T6" t="s">
        <v>31</v>
      </c>
      <c r="U6" s="249">
        <v>0.05</v>
      </c>
    </row>
    <row r="7" spans="1:21" x14ac:dyDescent="0.25">
      <c r="A7" s="191">
        <v>48</v>
      </c>
      <c r="B7" s="191">
        <v>80</v>
      </c>
      <c r="C7" s="191">
        <v>98</v>
      </c>
      <c r="D7" s="191">
        <v>71</v>
      </c>
      <c r="F7" s="17" t="s">
        <v>33</v>
      </c>
      <c r="G7" s="17">
        <v>7</v>
      </c>
      <c r="H7" s="17">
        <v>429</v>
      </c>
      <c r="I7" s="17">
        <v>61.285714285714285</v>
      </c>
      <c r="J7" s="17">
        <v>242.23809523809541</v>
      </c>
      <c r="N7" s="24">
        <f>(1-G7/$G$11)*J7</f>
        <v>183.76683087027928</v>
      </c>
      <c r="O7" s="12">
        <f>N7/$N$11</f>
        <v>0.34583666978390648</v>
      </c>
      <c r="P7" s="12">
        <f>O7^2/(G7-1)</f>
        <v>1.9933833694537131E-2</v>
      </c>
    </row>
    <row r="8" spans="1:21" x14ac:dyDescent="0.25">
      <c r="A8" s="191">
        <v>79</v>
      </c>
      <c r="B8" s="191">
        <v>52</v>
      </c>
      <c r="C8" s="191">
        <v>63</v>
      </c>
      <c r="D8" s="191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24">
        <f>(1-G8/$G$11)*J8</f>
        <v>114.0905172413793</v>
      </c>
      <c r="O8" s="12">
        <f>N8/$N$11</f>
        <v>0.21471058922779374</v>
      </c>
      <c r="P8" s="12">
        <f>O8^2/(G8-1)</f>
        <v>6.5858053037923395E-3</v>
      </c>
      <c r="T8" t="e">
        <f t="array" aca="1" ref="T8:U11" ca="1">FSTAR_TEST(A4:D11,TRUE)</f>
        <v>#NAME?</v>
      </c>
      <c r="U8" s="275" t="e">
        <f ca="1"/>
        <v>#NAME?</v>
      </c>
    </row>
    <row r="9" spans="1:21" x14ac:dyDescent="0.25">
      <c r="A9" s="191">
        <v>61</v>
      </c>
      <c r="B9" s="191">
        <v>79</v>
      </c>
      <c r="C9" s="191">
        <v>83</v>
      </c>
      <c r="D9" s="191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24">
        <f>(1-G9/$G$11)*J9</f>
        <v>119.17241379310346</v>
      </c>
      <c r="O9" s="12">
        <f>N9/$N$11</f>
        <v>0.22427437269900799</v>
      </c>
      <c r="P9" s="12">
        <f>O9^2/(G9-1)</f>
        <v>7.1855706070762197E-3</v>
      </c>
      <c r="T9" t="e">
        <f ca="1"/>
        <v>#NAME?</v>
      </c>
      <c r="U9" s="206" t="e">
        <f ca="1"/>
        <v>#NAME?</v>
      </c>
    </row>
    <row r="10" spans="1:21" ht="15.75" thickBot="1" x14ac:dyDescent="0.3">
      <c r="A10" s="191">
        <v>53</v>
      </c>
      <c r="B10" s="191">
        <v>73</v>
      </c>
      <c r="C10" s="191">
        <v>85</v>
      </c>
      <c r="D10" s="191"/>
      <c r="F10" s="18" t="s">
        <v>41</v>
      </c>
      <c r="G10" s="18">
        <v>6</v>
      </c>
      <c r="H10" s="18">
        <v>419</v>
      </c>
      <c r="I10" s="18">
        <v>69.833333333333329</v>
      </c>
      <c r="J10" s="18">
        <v>144.16666666666643</v>
      </c>
      <c r="N10" s="67">
        <f>(1-G10/$G$11)*J10</f>
        <v>114.33908045976993</v>
      </c>
      <c r="O10" s="67">
        <f>N10/$N$11</f>
        <v>0.21517836828929188</v>
      </c>
      <c r="P10" s="67">
        <f>O10^2/(G10-1)</f>
        <v>9.2603460359284261E-3</v>
      </c>
      <c r="T10" t="e">
        <f ca="1"/>
        <v>#NAME?</v>
      </c>
      <c r="U10" s="206" t="e">
        <f ca="1"/>
        <v>#NAME?</v>
      </c>
    </row>
    <row r="11" spans="1:21" x14ac:dyDescent="0.25">
      <c r="A11" s="192"/>
      <c r="B11" s="192">
        <v>74</v>
      </c>
      <c r="C11" s="192">
        <v>58</v>
      </c>
      <c r="D11" s="192"/>
      <c r="E11" s="85"/>
      <c r="G11">
        <f>SUM(G7:G10)</f>
        <v>29</v>
      </c>
      <c r="N11" s="17">
        <f>SUM(N7:N10)</f>
        <v>531.36884236453193</v>
      </c>
      <c r="P11" s="17">
        <f>1/SUM(P7:P10)</f>
        <v>23.274457529369663</v>
      </c>
      <c r="T11" t="e">
        <f ca="1"/>
        <v>#NAME?</v>
      </c>
      <c r="U11" s="206" t="e">
        <f ca="1"/>
        <v>#NAME?</v>
      </c>
    </row>
    <row r="12" spans="1:21" x14ac:dyDescent="0.25">
      <c r="T12" t="s">
        <v>188</v>
      </c>
      <c r="U12" s="220" t="e">
        <f ca="1">IF(U11&lt;U6,"yes","no")</f>
        <v>#NAME?</v>
      </c>
    </row>
    <row r="13" spans="1:21" ht="15.75" thickBot="1" x14ac:dyDescent="0.3">
      <c r="F13" t="s">
        <v>101</v>
      </c>
    </row>
    <row r="14" spans="1:21" x14ac:dyDescent="0.25">
      <c r="F14" s="193" t="s">
        <v>135</v>
      </c>
      <c r="G14" s="193" t="s">
        <v>88</v>
      </c>
      <c r="H14" s="193" t="s">
        <v>51</v>
      </c>
      <c r="I14" s="193" t="s">
        <v>92</v>
      </c>
      <c r="J14" s="193" t="s">
        <v>82</v>
      </c>
      <c r="K14" s="193" t="s">
        <v>74</v>
      </c>
      <c r="L14" s="193" t="s">
        <v>136</v>
      </c>
      <c r="N14" s="87" t="s">
        <v>226</v>
      </c>
      <c r="O14" s="87" t="s">
        <v>51</v>
      </c>
      <c r="P14" s="87" t="s">
        <v>82</v>
      </c>
      <c r="Q14" s="87" t="s">
        <v>74</v>
      </c>
      <c r="R14" s="87" t="s">
        <v>136</v>
      </c>
    </row>
    <row r="15" spans="1:21" x14ac:dyDescent="0.25">
      <c r="F15" s="17" t="s">
        <v>131</v>
      </c>
      <c r="G15" s="17">
        <v>1394.1734400656824</v>
      </c>
      <c r="H15" s="17">
        <v>3</v>
      </c>
      <c r="I15" s="17">
        <v>464.72448002189412</v>
      </c>
      <c r="J15" s="17">
        <v>2.6231097052015611</v>
      </c>
      <c r="K15" s="17">
        <v>7.2760576413978123E-2</v>
      </c>
      <c r="L15" s="17">
        <v>2.9912409095499513</v>
      </c>
      <c r="N15" s="17">
        <f>G15</f>
        <v>1394.1734400656824</v>
      </c>
      <c r="O15" s="17">
        <f>COUNTA(A3:D3)-1</f>
        <v>3</v>
      </c>
      <c r="P15" s="17">
        <f>N15/N16</f>
        <v>2.6237395362922795</v>
      </c>
      <c r="Q15" s="17" t="e">
        <f ca="1">F_DIST_RT(P15,O15,O16)</f>
        <v>#NAME?</v>
      </c>
      <c r="R15" s="17">
        <f>FINV(0.05,O15,O16)</f>
        <v>3.0279983823321985</v>
      </c>
    </row>
    <row r="16" spans="1:21" ht="15.75" thickBot="1" x14ac:dyDescent="0.3">
      <c r="F16" s="17" t="s">
        <v>132</v>
      </c>
      <c r="G16" s="17">
        <v>4429.1369047619046</v>
      </c>
      <c r="H16" s="17">
        <v>25</v>
      </c>
      <c r="I16" s="17">
        <v>177.16547619047617</v>
      </c>
      <c r="J16" s="17"/>
      <c r="K16" s="17"/>
      <c r="L16" s="17"/>
      <c r="N16" s="18">
        <f>N11</f>
        <v>531.36884236453193</v>
      </c>
      <c r="O16" s="18">
        <f>P11</f>
        <v>23.274457529369663</v>
      </c>
      <c r="P16" s="18"/>
      <c r="Q16" s="18"/>
      <c r="R16" s="18"/>
    </row>
    <row r="17" spans="6:19" x14ac:dyDescent="0.25"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</row>
    <row r="18" spans="6:19" ht="15.75" thickBot="1" x14ac:dyDescent="0.3">
      <c r="F18" s="18" t="s">
        <v>1</v>
      </c>
      <c r="G18" s="18">
        <v>5823.310344827587</v>
      </c>
      <c r="H18" s="18">
        <v>28</v>
      </c>
      <c r="I18" s="18"/>
      <c r="J18" s="18"/>
      <c r="K18" s="18"/>
      <c r="L18" s="18"/>
      <c r="N18" s="17"/>
      <c r="O18" s="17"/>
      <c r="P18" s="17"/>
      <c r="Q18" s="17"/>
      <c r="R18" s="17"/>
    </row>
    <row r="19" spans="6:19" x14ac:dyDescent="0.25">
      <c r="N19" s="17" t="s">
        <v>596</v>
      </c>
      <c r="O19" s="17"/>
      <c r="P19" s="17"/>
      <c r="Q19" s="17"/>
      <c r="R19" s="17"/>
      <c r="S19" s="17"/>
    </row>
    <row r="21" spans="6:19" x14ac:dyDescent="0.25">
      <c r="N21" t="s">
        <v>404</v>
      </c>
      <c r="O21" s="197" t="e">
        <f ca="1">FSTAR(A4:D11)</f>
        <v>#NAME?</v>
      </c>
      <c r="Q21" t="e">
        <f t="array" aca="1" ref="Q21:R24" ca="1">FSTAR_TEST(A4:D11,TRUE)</f>
        <v>#NAME?</v>
      </c>
      <c r="R21" s="258" t="e">
        <f ca="1"/>
        <v>#NAME?</v>
      </c>
    </row>
    <row r="22" spans="6:19" x14ac:dyDescent="0.25">
      <c r="N22" t="s">
        <v>223</v>
      </c>
      <c r="O22" s="179" t="e">
        <f ca="1">DFSTAR(A4:D11)</f>
        <v>#NAME?</v>
      </c>
      <c r="Q22" t="e">
        <f ca="1"/>
        <v>#NAME?</v>
      </c>
      <c r="R22" s="179" t="e">
        <f ca="1"/>
        <v>#NAME?</v>
      </c>
    </row>
    <row r="23" spans="6:19" x14ac:dyDescent="0.25">
      <c r="N23" t="s">
        <v>56</v>
      </c>
      <c r="O23" s="175" t="e">
        <f ca="1">BFTEST(A4:D11)</f>
        <v>#NAME?</v>
      </c>
      <c r="Q23" t="e">
        <f ca="1"/>
        <v>#NAME?</v>
      </c>
      <c r="R23" s="179" t="e">
        <f ca="1"/>
        <v>#NAME?</v>
      </c>
    </row>
    <row r="24" spans="6:19" x14ac:dyDescent="0.25">
      <c r="Q24" t="e">
        <f ca="1"/>
        <v>#NAME?</v>
      </c>
      <c r="R24" s="175" t="e">
        <f ca="1"/>
        <v>#NAME?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3"/>
  <dimension ref="A1:X43"/>
  <sheetViews>
    <sheetView topLeftCell="M7" workbookViewId="0">
      <selection activeCell="AA24" sqref="AA24"/>
    </sheetView>
  </sheetViews>
  <sheetFormatPr defaultRowHeight="15" x14ac:dyDescent="0.25"/>
  <cols>
    <col min="9" max="9" width="3" customWidth="1"/>
    <col min="10" max="10" width="30.7109375" customWidth="1"/>
    <col min="11" max="11" width="2.7109375" customWidth="1"/>
    <col min="12" max="12" width="21.5703125" customWidth="1"/>
    <col min="13" max="13" width="15.42578125" customWidth="1"/>
    <col min="15" max="15" width="6.85546875" customWidth="1"/>
  </cols>
  <sheetData>
    <row r="1" spans="1:24" x14ac:dyDescent="0.25">
      <c r="A1" s="1" t="s">
        <v>565</v>
      </c>
      <c r="W1" t="s">
        <v>523</v>
      </c>
    </row>
    <row r="3" spans="1:24" x14ac:dyDescent="0.25">
      <c r="B3" s="279" t="s">
        <v>59</v>
      </c>
      <c r="C3" s="279" t="s">
        <v>60</v>
      </c>
      <c r="D3" s="279" t="s">
        <v>65</v>
      </c>
      <c r="F3" s="39" t="s">
        <v>565</v>
      </c>
      <c r="M3" t="s">
        <v>570</v>
      </c>
      <c r="W3" t="s">
        <v>565</v>
      </c>
    </row>
    <row r="4" spans="1:24" x14ac:dyDescent="0.25">
      <c r="B4" s="199">
        <v>50</v>
      </c>
      <c r="C4" s="200">
        <v>44</v>
      </c>
      <c r="D4" s="201">
        <v>16</v>
      </c>
    </row>
    <row r="5" spans="1:24" x14ac:dyDescent="0.25">
      <c r="B5" s="182">
        <v>39</v>
      </c>
      <c r="C5" s="280">
        <v>31</v>
      </c>
      <c r="D5" s="177">
        <v>60</v>
      </c>
      <c r="F5" t="e">
        <f t="array" aca="1" ref="F5:G8" ca="1">WELCH_TEST(B4:D13,TRUE)</f>
        <v>#NAME?</v>
      </c>
      <c r="G5" s="258" t="e">
        <f ca="1"/>
        <v>#NAME?</v>
      </c>
      <c r="M5" s="187" t="e">
        <f ca="1">LEVENE(B4:D13,1)</f>
        <v>#NAME?</v>
      </c>
      <c r="W5" t="s">
        <v>31</v>
      </c>
      <c r="X5" s="249">
        <v>0.05</v>
      </c>
    </row>
    <row r="6" spans="1:24" x14ac:dyDescent="0.25">
      <c r="B6" s="182">
        <v>42</v>
      </c>
      <c r="C6" s="280">
        <v>50</v>
      </c>
      <c r="D6" s="177">
        <v>24</v>
      </c>
      <c r="F6" t="e">
        <f ca="1"/>
        <v>#NAME?</v>
      </c>
      <c r="G6" s="179" t="e">
        <f ca="1"/>
        <v>#NAME?</v>
      </c>
    </row>
    <row r="7" spans="1:24" x14ac:dyDescent="0.25">
      <c r="B7" s="182">
        <v>45</v>
      </c>
      <c r="C7" s="280">
        <v>22</v>
      </c>
      <c r="D7" s="177">
        <v>19</v>
      </c>
      <c r="F7" t="e">
        <f ca="1"/>
        <v>#NAME?</v>
      </c>
      <c r="G7" s="179" t="e">
        <f ca="1"/>
        <v>#NAME?</v>
      </c>
      <c r="M7" t="s">
        <v>126</v>
      </c>
      <c r="W7" t="e">
        <f t="array" aca="1" ref="W7:X10" ca="1">WELCH_TEST(B4:D13,TRUE)</f>
        <v>#NAME?</v>
      </c>
      <c r="X7" s="275" t="e">
        <f ca="1"/>
        <v>#NAME?</v>
      </c>
    </row>
    <row r="8" spans="1:24" x14ac:dyDescent="0.25">
      <c r="B8" s="182">
        <v>38</v>
      </c>
      <c r="C8" s="280">
        <v>30</v>
      </c>
      <c r="D8" s="177">
        <v>31</v>
      </c>
      <c r="F8" t="e">
        <f ca="1"/>
        <v>#NAME?</v>
      </c>
      <c r="G8" s="175" t="e">
        <f ca="1"/>
        <v>#NAME?</v>
      </c>
      <c r="W8" t="e">
        <f ca="1"/>
        <v>#NAME?</v>
      </c>
      <c r="X8" s="206" t="e">
        <f ca="1"/>
        <v>#NAME?</v>
      </c>
    </row>
    <row r="9" spans="1:24" ht="15.75" thickBot="1" x14ac:dyDescent="0.3">
      <c r="B9" s="182">
        <v>44</v>
      </c>
      <c r="C9" s="280">
        <v>27</v>
      </c>
      <c r="D9" s="177">
        <v>37</v>
      </c>
      <c r="M9" t="s">
        <v>127</v>
      </c>
      <c r="R9" t="s">
        <v>31</v>
      </c>
      <c r="S9">
        <v>0.05</v>
      </c>
      <c r="W9" t="e">
        <f ca="1"/>
        <v>#NAME?</v>
      </c>
      <c r="X9" s="206" t="e">
        <f ca="1"/>
        <v>#NAME?</v>
      </c>
    </row>
    <row r="10" spans="1:24" ht="15.75" thickTop="1" x14ac:dyDescent="0.25">
      <c r="B10" s="182">
        <v>40</v>
      </c>
      <c r="C10" s="280">
        <v>32</v>
      </c>
      <c r="D10" s="177">
        <v>44</v>
      </c>
      <c r="M10" s="251" t="s">
        <v>61</v>
      </c>
      <c r="N10" s="251" t="s">
        <v>19</v>
      </c>
      <c r="O10" s="251" t="s">
        <v>18</v>
      </c>
      <c r="P10" s="251" t="s">
        <v>7</v>
      </c>
      <c r="Q10" s="251" t="s">
        <v>62</v>
      </c>
      <c r="R10" s="251" t="s">
        <v>88</v>
      </c>
      <c r="S10" s="251" t="s">
        <v>50</v>
      </c>
      <c r="T10" s="251" t="s">
        <v>110</v>
      </c>
      <c r="U10" s="251" t="s">
        <v>111</v>
      </c>
      <c r="W10" t="e">
        <f ca="1"/>
        <v>#NAME?</v>
      </c>
      <c r="X10" s="206" t="e">
        <f ca="1"/>
        <v>#NAME?</v>
      </c>
    </row>
    <row r="11" spans="1:24" x14ac:dyDescent="0.25">
      <c r="B11" s="182">
        <v>49</v>
      </c>
      <c r="C11" s="280">
        <v>25</v>
      </c>
      <c r="D11" s="177">
        <v>55</v>
      </c>
      <c r="M11" t="str">
        <f>B3</f>
        <v>New</v>
      </c>
      <c r="N11">
        <f>COUNT(B4:B13)</f>
        <v>10</v>
      </c>
      <c r="O11">
        <f>SUM(B4:B13)</f>
        <v>430</v>
      </c>
      <c r="P11">
        <f>AVERAGE(B4:B13)</f>
        <v>43</v>
      </c>
      <c r="Q11">
        <f>VAR(B4:B13)</f>
        <v>16.222222222222221</v>
      </c>
      <c r="R11">
        <f>DEVSQ(B4:B13)</f>
        <v>146</v>
      </c>
      <c r="S11">
        <f>SQRT(P18/N11)</f>
        <v>3.3526868716388143</v>
      </c>
      <c r="T11">
        <f>P11-S11*TINV(S9,N11-1)</f>
        <v>35.41569537870275</v>
      </c>
      <c r="U11">
        <f>P11+S11*TINV(S9,N11-1)</f>
        <v>50.58430462129725</v>
      </c>
      <c r="W11" t="s">
        <v>188</v>
      </c>
      <c r="X11" s="220" t="e">
        <f ca="1">IF(X10&lt;X5,"yes","no")</f>
        <v>#NAME?</v>
      </c>
    </row>
    <row r="12" spans="1:24" x14ac:dyDescent="0.25">
      <c r="B12" s="182">
        <v>42</v>
      </c>
      <c r="C12" s="280">
        <v>40</v>
      </c>
      <c r="D12" s="177"/>
      <c r="M12" t="str">
        <f>C3</f>
        <v>Old</v>
      </c>
      <c r="N12">
        <f>COUNT(C4:C13)</f>
        <v>9</v>
      </c>
      <c r="O12">
        <f>SUM(C4:C13)</f>
        <v>301</v>
      </c>
      <c r="P12">
        <f>AVERAGE(C4:C13)</f>
        <v>33.444444444444443</v>
      </c>
      <c r="Q12">
        <f>VAR(C4:C13)</f>
        <v>86.527777777777828</v>
      </c>
      <c r="R12">
        <f>DEVSQ(C4:C13)</f>
        <v>692.22222222222217</v>
      </c>
      <c r="S12">
        <f>SQRT(P18/N12)</f>
        <v>3.5340422652410779</v>
      </c>
      <c r="T12">
        <f>P12-S12*TINV(S9,N12-1)</f>
        <v>25.294928366812215</v>
      </c>
      <c r="U12">
        <f>P12+S12*TINV(S9,N12-1)</f>
        <v>41.593960522076671</v>
      </c>
    </row>
    <row r="13" spans="1:24" x14ac:dyDescent="0.25">
      <c r="B13" s="176">
        <v>41</v>
      </c>
      <c r="C13" s="283"/>
      <c r="D13" s="34"/>
      <c r="M13" t="str">
        <f>D3</f>
        <v>Control</v>
      </c>
      <c r="N13">
        <f>COUNT(D4:D13)</f>
        <v>8</v>
      </c>
      <c r="O13">
        <f>SUM(D4:D13)</f>
        <v>286</v>
      </c>
      <c r="P13">
        <f>AVERAGE(D4:D13)</f>
        <v>35.75</v>
      </c>
      <c r="Q13">
        <f>VAR(D4:D13)</f>
        <v>265.64285714285717</v>
      </c>
      <c r="R13">
        <f>DEVSQ(D4:D13)</f>
        <v>1859.5</v>
      </c>
      <c r="S13">
        <f>SQRT(P18/N13)</f>
        <v>3.7484178761277502</v>
      </c>
      <c r="T13">
        <f>P13-S13*TINV(S9,N13-1)</f>
        <v>26.886400185004405</v>
      </c>
      <c r="U13">
        <f>P13+S13*TINV(S9,N13-1)</f>
        <v>44.613599814995595</v>
      </c>
    </row>
    <row r="14" spans="1:24" x14ac:dyDescent="0.25">
      <c r="A14" t="s">
        <v>4</v>
      </c>
      <c r="B14">
        <f>AVERAGE(B4:B13)</f>
        <v>43</v>
      </c>
      <c r="C14">
        <f>AVERAGE(C4:C13)</f>
        <v>33.444444444444443</v>
      </c>
      <c r="D14">
        <f>AVERAGE(D4:D13)</f>
        <v>35.75</v>
      </c>
      <c r="M14" s="252"/>
      <c r="N14" s="252"/>
      <c r="O14" s="252"/>
      <c r="P14" s="252"/>
      <c r="Q14" s="252"/>
      <c r="R14" s="252"/>
      <c r="S14" s="252"/>
      <c r="T14" s="252"/>
      <c r="U14" s="252"/>
    </row>
    <row r="15" spans="1:24" ht="15.75" thickBot="1" x14ac:dyDescent="0.3">
      <c r="A15" t="s">
        <v>376</v>
      </c>
      <c r="B15">
        <f>VAR(B4:B13)</f>
        <v>16.222222222222221</v>
      </c>
      <c r="C15">
        <f>VAR(C4:C13)</f>
        <v>86.527777777777828</v>
      </c>
      <c r="D15">
        <f>VAR(D4:D13)</f>
        <v>265.64285714285717</v>
      </c>
      <c r="M15" t="s">
        <v>101</v>
      </c>
    </row>
    <row r="16" spans="1:24" ht="15.75" thickTop="1" x14ac:dyDescent="0.25">
      <c r="M16" s="251" t="s">
        <v>128</v>
      </c>
      <c r="N16" s="251" t="s">
        <v>88</v>
      </c>
      <c r="O16" s="251" t="s">
        <v>51</v>
      </c>
      <c r="P16" s="251" t="s">
        <v>92</v>
      </c>
      <c r="Q16" s="251" t="s">
        <v>82</v>
      </c>
      <c r="R16" s="251" t="s">
        <v>129</v>
      </c>
      <c r="S16" s="251" t="s">
        <v>878</v>
      </c>
      <c r="T16" s="251" t="s">
        <v>383</v>
      </c>
      <c r="U16" s="251" t="s">
        <v>384</v>
      </c>
    </row>
    <row r="17" spans="4:21" x14ac:dyDescent="0.25">
      <c r="M17" t="s">
        <v>131</v>
      </c>
      <c r="N17">
        <f>N19-N18</f>
        <v>474.27777777777828</v>
      </c>
      <c r="O17">
        <f>COUNTA(M11:M13)-1</f>
        <v>2</v>
      </c>
      <c r="P17">
        <f>N17/O17</f>
        <v>237.13888888888914</v>
      </c>
      <c r="Q17">
        <f>P17/P18</f>
        <v>2.1096810066105172</v>
      </c>
      <c r="R17">
        <f>FDIST(Q17,O17,O18)</f>
        <v>0.14320843844209949</v>
      </c>
      <c r="S17">
        <f>N17/N19</f>
        <v>0.14952010648731973</v>
      </c>
      <c r="T17">
        <f>SQRT(DEVSQ(P11:P13)/(P18*O17))</f>
        <v>0.47032328011464403</v>
      </c>
      <c r="U17">
        <f>(N19-O19*P18)/(N19+P18)</f>
        <v>7.5955183833816359E-2</v>
      </c>
    </row>
    <row r="18" spans="4:21" x14ac:dyDescent="0.25">
      <c r="M18" t="s">
        <v>132</v>
      </c>
      <c r="N18">
        <f>SUM(R11:R13)</f>
        <v>2697.7222222222222</v>
      </c>
      <c r="O18">
        <f>O19-O17</f>
        <v>24</v>
      </c>
      <c r="P18">
        <f>N18/O18</f>
        <v>112.4050925925926</v>
      </c>
    </row>
    <row r="19" spans="4:21" x14ac:dyDescent="0.25">
      <c r="E19" s="12" t="s">
        <v>59</v>
      </c>
      <c r="F19" s="12" t="s">
        <v>60</v>
      </c>
      <c r="G19" s="12" t="s">
        <v>65</v>
      </c>
      <c r="M19" s="224" t="s">
        <v>1</v>
      </c>
      <c r="N19" s="224">
        <f>DEVSQ(B4:D13)</f>
        <v>3172.0000000000005</v>
      </c>
      <c r="O19" s="224">
        <f>COUNT(B4:D13)-1</f>
        <v>26</v>
      </c>
      <c r="P19" s="224">
        <f>N19/O19</f>
        <v>122.00000000000001</v>
      </c>
      <c r="Q19" s="224"/>
      <c r="R19" s="224"/>
      <c r="S19" s="224"/>
      <c r="T19" s="224"/>
      <c r="U19" s="224"/>
    </row>
    <row r="20" spans="4:21" x14ac:dyDescent="0.25">
      <c r="E20" s="284">
        <v>50</v>
      </c>
      <c r="F20" s="285">
        <v>44</v>
      </c>
      <c r="G20" s="198">
        <v>16</v>
      </c>
    </row>
    <row r="21" spans="4:21" x14ac:dyDescent="0.25">
      <c r="E21" s="185">
        <v>39</v>
      </c>
      <c r="F21" s="23">
        <v>31</v>
      </c>
      <c r="G21" s="190">
        <v>60</v>
      </c>
    </row>
    <row r="22" spans="4:21" x14ac:dyDescent="0.25">
      <c r="E22" s="185">
        <v>42</v>
      </c>
      <c r="F22" s="23">
        <v>50</v>
      </c>
      <c r="G22" s="190">
        <v>24</v>
      </c>
    </row>
    <row r="23" spans="4:21" x14ac:dyDescent="0.25">
      <c r="E23" s="185">
        <v>45</v>
      </c>
      <c r="F23" s="23">
        <v>22</v>
      </c>
      <c r="G23" s="190">
        <v>19</v>
      </c>
    </row>
    <row r="24" spans="4:21" x14ac:dyDescent="0.25">
      <c r="E24" s="185">
        <v>38</v>
      </c>
      <c r="F24" s="23">
        <v>30</v>
      </c>
      <c r="G24" s="190">
        <v>31</v>
      </c>
    </row>
    <row r="25" spans="4:21" x14ac:dyDescent="0.25">
      <c r="E25" s="185">
        <v>44</v>
      </c>
      <c r="F25" s="23">
        <v>27</v>
      </c>
      <c r="G25" s="190">
        <v>37</v>
      </c>
    </row>
    <row r="26" spans="4:21" x14ac:dyDescent="0.25">
      <c r="E26" s="185">
        <v>40</v>
      </c>
      <c r="F26" s="23">
        <v>32</v>
      </c>
      <c r="G26" s="190">
        <v>44</v>
      </c>
    </row>
    <row r="27" spans="4:21" x14ac:dyDescent="0.25">
      <c r="E27" s="185">
        <v>49</v>
      </c>
      <c r="F27" s="23">
        <v>25</v>
      </c>
      <c r="G27" s="190">
        <v>55</v>
      </c>
    </row>
    <row r="28" spans="4:21" x14ac:dyDescent="0.25">
      <c r="E28" s="185">
        <v>42</v>
      </c>
      <c r="F28" s="23">
        <v>40</v>
      </c>
      <c r="G28" s="190"/>
    </row>
    <row r="29" spans="4:21" x14ac:dyDescent="0.25">
      <c r="E29" s="263">
        <v>41</v>
      </c>
      <c r="F29" s="166"/>
      <c r="G29" s="186"/>
      <c r="J29" t="s">
        <v>568</v>
      </c>
      <c r="L29" t="s">
        <v>569</v>
      </c>
    </row>
    <row r="30" spans="4:21" ht="3.75" customHeight="1" x14ac:dyDescent="0.25"/>
    <row r="31" spans="4:21" x14ac:dyDescent="0.25">
      <c r="D31" t="s">
        <v>87</v>
      </c>
      <c r="E31" s="259">
        <f>COUNT(E20:E29)</f>
        <v>10</v>
      </c>
      <c r="F31" s="252">
        <f>COUNT(F20:F29)</f>
        <v>9</v>
      </c>
      <c r="G31" s="260">
        <f>COUNT(G20:G29)</f>
        <v>8</v>
      </c>
      <c r="J31" t="e">
        <f t="shared" ref="J31:J37" ca="1" si="0">FTEXT(E31)</f>
        <v>#NAME?</v>
      </c>
    </row>
    <row r="32" spans="4:21" x14ac:dyDescent="0.25">
      <c r="D32" t="s">
        <v>4</v>
      </c>
      <c r="E32" s="180">
        <f>AVERAGE(E20:E29)</f>
        <v>43</v>
      </c>
      <c r="F32" s="7">
        <f>AVERAGE(F20:F29)</f>
        <v>33.444444444444443</v>
      </c>
      <c r="G32" s="181">
        <f>AVERAGE(G20:G29)</f>
        <v>35.75</v>
      </c>
      <c r="J32" t="e">
        <f t="shared" ca="1" si="0"/>
        <v>#NAME?</v>
      </c>
    </row>
    <row r="33" spans="4:12" x14ac:dyDescent="0.25">
      <c r="D33" t="s">
        <v>376</v>
      </c>
      <c r="E33" s="170">
        <f>VAR(E20:E29)</f>
        <v>16.222222222222221</v>
      </c>
      <c r="F33" s="224">
        <f>VAR(F20:F29)</f>
        <v>86.527777777777828</v>
      </c>
      <c r="G33" s="174">
        <f>VAR(G20:G29)</f>
        <v>265.64285714285717</v>
      </c>
      <c r="J33" t="e">
        <f t="shared" ca="1" si="0"/>
        <v>#NAME?</v>
      </c>
    </row>
    <row r="34" spans="4:12" x14ac:dyDescent="0.25">
      <c r="D34" t="s">
        <v>522</v>
      </c>
      <c r="E34" s="180">
        <f>E31/E33</f>
        <v>0.61643835616438358</v>
      </c>
      <c r="F34" s="7">
        <f>F31/F33</f>
        <v>0.10401284109149271</v>
      </c>
      <c r="G34" s="181">
        <f>G31/G33</f>
        <v>3.0115622479161063E-2</v>
      </c>
      <c r="H34" s="258">
        <f>SUM(E34:G34)</f>
        <v>0.75056681973503736</v>
      </c>
      <c r="J34" t="e">
        <f t="shared" ca="1" si="0"/>
        <v>#NAME?</v>
      </c>
      <c r="L34" t="e">
        <f ca="1">FTEXT(H34)</f>
        <v>#NAME?</v>
      </c>
    </row>
    <row r="35" spans="4:12" x14ac:dyDescent="0.25">
      <c r="D35" t="s">
        <v>567</v>
      </c>
      <c r="E35" s="180">
        <f>E34*E32</f>
        <v>26.506849315068493</v>
      </c>
      <c r="F35" s="7">
        <f>F34*F32</f>
        <v>3.4786516853932561</v>
      </c>
      <c r="G35" s="181">
        <f>G34*G32</f>
        <v>1.0766335036300081</v>
      </c>
      <c r="H35" s="179">
        <f>SUM(E35:G35)/H34</f>
        <v>41.384902299647635</v>
      </c>
      <c r="J35" t="e">
        <f t="shared" ca="1" si="0"/>
        <v>#NAME?</v>
      </c>
      <c r="L35" t="e">
        <f ca="1">FTEXT(H35)</f>
        <v>#NAME?</v>
      </c>
    </row>
    <row r="36" spans="4:12" x14ac:dyDescent="0.25">
      <c r="D36" t="s">
        <v>35</v>
      </c>
      <c r="E36" s="180">
        <f>E34*(E32-H35)^2</f>
        <v>1.6080044681610604</v>
      </c>
      <c r="F36" s="7">
        <f>F34*(F32-H35)^2</f>
        <v>6.5581002208294077</v>
      </c>
      <c r="G36" s="181">
        <f>G34*(G32-H35)^2</f>
        <v>0.95623497708424599</v>
      </c>
      <c r="H36" s="179">
        <f>SUM(E36:G36)/(E39-1)</f>
        <v>4.5611698330373578</v>
      </c>
      <c r="J36" t="e">
        <f t="shared" ca="1" si="0"/>
        <v>#NAME?</v>
      </c>
      <c r="L36" t="e">
        <f ca="1">FTEXT(H36)</f>
        <v>#NAME?</v>
      </c>
    </row>
    <row r="37" spans="4:12" x14ac:dyDescent="0.25">
      <c r="D37" t="s">
        <v>36</v>
      </c>
      <c r="E37" s="170">
        <f>(1-E34/H34)^2/(E31-1)</f>
        <v>3.548302742008454E-3</v>
      </c>
      <c r="F37" s="224">
        <f>(1-F34/H34)^2/(F31-1)</f>
        <v>9.2755755417625332E-2</v>
      </c>
      <c r="G37" s="174">
        <f>(1-G34/H34)^2/(G31-1)</f>
        <v>0.13162317768978643</v>
      </c>
      <c r="H37" s="175">
        <f>SUM(E37:G37)</f>
        <v>0.22792723584942021</v>
      </c>
      <c r="J37" t="e">
        <f t="shared" ca="1" si="0"/>
        <v>#NAME?</v>
      </c>
      <c r="L37" t="e">
        <f ca="1">FTEXT(H37)</f>
        <v>#NAME?</v>
      </c>
    </row>
    <row r="38" spans="4:12" ht="3.75" customHeight="1" x14ac:dyDescent="0.25"/>
    <row r="39" spans="4:12" x14ac:dyDescent="0.25">
      <c r="D39" s="49" t="s">
        <v>48</v>
      </c>
      <c r="E39" s="258">
        <f>COUNT(E20:G20)</f>
        <v>3</v>
      </c>
      <c r="J39" t="e">
        <f ca="1">FTEXT(E39)</f>
        <v>#NAME?</v>
      </c>
    </row>
    <row r="40" spans="4:12" x14ac:dyDescent="0.25">
      <c r="D40" t="s">
        <v>82</v>
      </c>
      <c r="E40" s="179">
        <f>H36/(1+2*H37*(E39-2)/(E39^2-1))</f>
        <v>4.3152775141088604</v>
      </c>
      <c r="J40" t="e">
        <f ca="1">FTEXT(E40)</f>
        <v>#NAME?</v>
      </c>
    </row>
    <row r="41" spans="4:12" x14ac:dyDescent="0.25">
      <c r="D41" t="s">
        <v>117</v>
      </c>
      <c r="E41" s="179">
        <f>E39-1</f>
        <v>2</v>
      </c>
      <c r="J41" t="e">
        <f ca="1">FTEXT(E41)</f>
        <v>#NAME?</v>
      </c>
    </row>
    <row r="42" spans="4:12" x14ac:dyDescent="0.25">
      <c r="D42" t="s">
        <v>118</v>
      </c>
      <c r="E42" s="179">
        <f>(E39^2-1)/(3*H37)</f>
        <v>11.699640267775615</v>
      </c>
      <c r="J42" t="e">
        <f ca="1">FTEXT(E42)</f>
        <v>#NAME?</v>
      </c>
    </row>
    <row r="43" spans="4:12" x14ac:dyDescent="0.25">
      <c r="D43" t="s">
        <v>56</v>
      </c>
      <c r="E43" s="175" t="e">
        <f ca="1">F_DIST_RT(E40,E41,E42)</f>
        <v>#NAME?</v>
      </c>
      <c r="J43" t="e">
        <f ca="1">FTEXT(E43)</f>
        <v>#NAME?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5"/>
  <dimension ref="A1:I29"/>
  <sheetViews>
    <sheetView workbookViewId="0"/>
  </sheetViews>
  <sheetFormatPr defaultRowHeight="15" x14ac:dyDescent="0.25"/>
  <sheetData>
    <row r="1" spans="1:9" x14ac:dyDescent="0.25">
      <c r="A1" s="1" t="s">
        <v>573</v>
      </c>
    </row>
    <row r="3" spans="1:9" x14ac:dyDescent="0.25">
      <c r="A3" s="286" t="s">
        <v>59</v>
      </c>
      <c r="B3" s="287">
        <v>50</v>
      </c>
      <c r="D3" t="s">
        <v>495</v>
      </c>
    </row>
    <row r="4" spans="1:9" x14ac:dyDescent="0.25">
      <c r="A4" s="288" t="s">
        <v>59</v>
      </c>
      <c r="B4" s="289">
        <v>39</v>
      </c>
    </row>
    <row r="5" spans="1:9" x14ac:dyDescent="0.25">
      <c r="A5" s="288" t="s">
        <v>59</v>
      </c>
      <c r="B5" s="289">
        <v>42</v>
      </c>
      <c r="D5" t="e">
        <f t="array" aca="1" ref="D5:F15" ca="1">StdAnova1(A3:B29)</f>
        <v>#NAME?</v>
      </c>
      <c r="E5" t="e">
        <f ca="1"/>
        <v>#NAME?</v>
      </c>
      <c r="F5" t="e">
        <f ca="1"/>
        <v>#NAME?</v>
      </c>
      <c r="H5" t="s">
        <v>565</v>
      </c>
    </row>
    <row r="6" spans="1:9" x14ac:dyDescent="0.25">
      <c r="A6" s="288" t="s">
        <v>59</v>
      </c>
      <c r="B6" s="289">
        <v>45</v>
      </c>
      <c r="D6" s="256" t="e">
        <f ca="1"/>
        <v>#NAME?</v>
      </c>
      <c r="E6" s="247" t="e">
        <f ca="1"/>
        <v>#NAME?</v>
      </c>
      <c r="F6" s="257" t="e">
        <f ca="1"/>
        <v>#NAME?</v>
      </c>
    </row>
    <row r="7" spans="1:9" x14ac:dyDescent="0.25">
      <c r="A7" s="288" t="s">
        <v>59</v>
      </c>
      <c r="B7" s="289">
        <v>38</v>
      </c>
      <c r="D7" s="178" t="e">
        <f ca="1"/>
        <v>#NAME?</v>
      </c>
      <c r="E7" s="7" t="e">
        <f ca="1"/>
        <v>#NAME?</v>
      </c>
      <c r="F7" s="40" t="e">
        <f ca="1"/>
        <v>#NAME?</v>
      </c>
      <c r="H7" t="s">
        <v>31</v>
      </c>
      <c r="I7" s="249">
        <v>0.05</v>
      </c>
    </row>
    <row r="8" spans="1:9" x14ac:dyDescent="0.25">
      <c r="A8" s="288" t="s">
        <v>59</v>
      </c>
      <c r="B8" s="289">
        <v>44</v>
      </c>
      <c r="D8" s="178" t="e">
        <f ca="1"/>
        <v>#NAME?</v>
      </c>
      <c r="E8" s="7" t="e">
        <f ca="1"/>
        <v>#NAME?</v>
      </c>
      <c r="F8" s="40" t="e">
        <f ca="1"/>
        <v>#NAME?</v>
      </c>
    </row>
    <row r="9" spans="1:9" x14ac:dyDescent="0.25">
      <c r="A9" s="288" t="s">
        <v>59</v>
      </c>
      <c r="B9" s="289">
        <v>40</v>
      </c>
      <c r="D9" s="178" t="e">
        <f ca="1"/>
        <v>#NAME?</v>
      </c>
      <c r="E9" s="7" t="e">
        <f ca="1"/>
        <v>#NAME?</v>
      </c>
      <c r="F9" s="40" t="e">
        <f ca="1"/>
        <v>#NAME?</v>
      </c>
      <c r="H9" t="e">
        <f t="array" aca="1" ref="H9:I12" ca="1">WELCH_TEST(D6:F15,TRUE)</f>
        <v>#NAME?</v>
      </c>
      <c r="I9" s="275" t="e">
        <f ca="1"/>
        <v>#NAME?</v>
      </c>
    </row>
    <row r="10" spans="1:9" x14ac:dyDescent="0.25">
      <c r="A10" s="288" t="s">
        <v>59</v>
      </c>
      <c r="B10" s="289">
        <v>49</v>
      </c>
      <c r="D10" s="178" t="e">
        <f ca="1"/>
        <v>#NAME?</v>
      </c>
      <c r="E10" s="7" t="e">
        <f ca="1"/>
        <v>#NAME?</v>
      </c>
      <c r="F10" s="40" t="e">
        <f ca="1"/>
        <v>#NAME?</v>
      </c>
      <c r="H10" t="e">
        <f ca="1"/>
        <v>#NAME?</v>
      </c>
      <c r="I10" s="206" t="e">
        <f ca="1"/>
        <v>#NAME?</v>
      </c>
    </row>
    <row r="11" spans="1:9" x14ac:dyDescent="0.25">
      <c r="A11" s="288" t="s">
        <v>59</v>
      </c>
      <c r="B11" s="289">
        <v>42</v>
      </c>
      <c r="D11" s="178" t="e">
        <f ca="1"/>
        <v>#NAME?</v>
      </c>
      <c r="E11" s="7" t="e">
        <f ca="1"/>
        <v>#NAME?</v>
      </c>
      <c r="F11" s="40" t="e">
        <f ca="1"/>
        <v>#NAME?</v>
      </c>
      <c r="H11" t="e">
        <f ca="1"/>
        <v>#NAME?</v>
      </c>
      <c r="I11" s="206" t="e">
        <f ca="1"/>
        <v>#NAME?</v>
      </c>
    </row>
    <row r="12" spans="1:9" x14ac:dyDescent="0.25">
      <c r="A12" s="288" t="s">
        <v>59</v>
      </c>
      <c r="B12" s="289">
        <v>41</v>
      </c>
      <c r="D12" s="178" t="e">
        <f ca="1"/>
        <v>#NAME?</v>
      </c>
      <c r="E12" s="7" t="e">
        <f ca="1"/>
        <v>#NAME?</v>
      </c>
      <c r="F12" s="40" t="e">
        <f ca="1"/>
        <v>#NAME?</v>
      </c>
      <c r="H12" t="e">
        <f ca="1"/>
        <v>#NAME?</v>
      </c>
      <c r="I12" s="206" t="e">
        <f ca="1"/>
        <v>#NAME?</v>
      </c>
    </row>
    <row r="13" spans="1:9" x14ac:dyDescent="0.25">
      <c r="A13" s="288" t="s">
        <v>60</v>
      </c>
      <c r="B13" s="289">
        <v>44</v>
      </c>
      <c r="D13" s="178" t="e">
        <f ca="1"/>
        <v>#NAME?</v>
      </c>
      <c r="E13" s="7" t="e">
        <f ca="1"/>
        <v>#NAME?</v>
      </c>
      <c r="F13" s="40" t="e">
        <f ca="1"/>
        <v>#NAME?</v>
      </c>
      <c r="H13" t="s">
        <v>188</v>
      </c>
      <c r="I13" s="220" t="e">
        <f ca="1">IF(I12&lt;I7,"yes","no")</f>
        <v>#NAME?</v>
      </c>
    </row>
    <row r="14" spans="1:9" x14ac:dyDescent="0.25">
      <c r="A14" s="288" t="s">
        <v>60</v>
      </c>
      <c r="B14" s="289">
        <v>31</v>
      </c>
      <c r="D14" s="178" t="e">
        <f ca="1"/>
        <v>#NAME?</v>
      </c>
      <c r="E14" s="7" t="e">
        <f ca="1"/>
        <v>#NAME?</v>
      </c>
      <c r="F14" s="40" t="e">
        <f ca="1"/>
        <v>#NAME?</v>
      </c>
    </row>
    <row r="15" spans="1:9" x14ac:dyDescent="0.25">
      <c r="A15" s="288" t="s">
        <v>60</v>
      </c>
      <c r="B15" s="289">
        <v>50</v>
      </c>
      <c r="D15" s="221" t="e">
        <f ca="1"/>
        <v>#NAME?</v>
      </c>
      <c r="E15" s="222" t="e">
        <f ca="1"/>
        <v>#NAME?</v>
      </c>
      <c r="F15" s="223" t="e">
        <f ca="1"/>
        <v>#NAME?</v>
      </c>
    </row>
    <row r="16" spans="1:9" x14ac:dyDescent="0.25">
      <c r="A16" s="288" t="s">
        <v>60</v>
      </c>
      <c r="B16" s="289">
        <v>22</v>
      </c>
    </row>
    <row r="17" spans="1:2" x14ac:dyDescent="0.25">
      <c r="A17" s="288" t="s">
        <v>60</v>
      </c>
      <c r="B17" s="289">
        <v>30</v>
      </c>
    </row>
    <row r="18" spans="1:2" x14ac:dyDescent="0.25">
      <c r="A18" s="288" t="s">
        <v>60</v>
      </c>
      <c r="B18" s="289">
        <v>27</v>
      </c>
    </row>
    <row r="19" spans="1:2" x14ac:dyDescent="0.25">
      <c r="A19" s="288" t="s">
        <v>60</v>
      </c>
      <c r="B19" s="289">
        <v>32</v>
      </c>
    </row>
    <row r="20" spans="1:2" x14ac:dyDescent="0.25">
      <c r="A20" s="288" t="s">
        <v>60</v>
      </c>
      <c r="B20" s="289">
        <v>25</v>
      </c>
    </row>
    <row r="21" spans="1:2" x14ac:dyDescent="0.25">
      <c r="A21" s="288" t="s">
        <v>60</v>
      </c>
      <c r="B21" s="289">
        <v>40</v>
      </c>
    </row>
    <row r="22" spans="1:2" x14ac:dyDescent="0.25">
      <c r="A22" s="288" t="s">
        <v>65</v>
      </c>
      <c r="B22" s="289">
        <v>16</v>
      </c>
    </row>
    <row r="23" spans="1:2" x14ac:dyDescent="0.25">
      <c r="A23" s="288" t="s">
        <v>65</v>
      </c>
      <c r="B23" s="289">
        <v>60</v>
      </c>
    </row>
    <row r="24" spans="1:2" x14ac:dyDescent="0.25">
      <c r="A24" s="288" t="s">
        <v>65</v>
      </c>
      <c r="B24" s="289">
        <v>24</v>
      </c>
    </row>
    <row r="25" spans="1:2" x14ac:dyDescent="0.25">
      <c r="A25" s="288" t="s">
        <v>65</v>
      </c>
      <c r="B25" s="289">
        <v>19</v>
      </c>
    </row>
    <row r="26" spans="1:2" x14ac:dyDescent="0.25">
      <c r="A26" s="288" t="s">
        <v>65</v>
      </c>
      <c r="B26" s="289">
        <v>31</v>
      </c>
    </row>
    <row r="27" spans="1:2" x14ac:dyDescent="0.25">
      <c r="A27" s="288" t="s">
        <v>65</v>
      </c>
      <c r="B27" s="289">
        <v>37</v>
      </c>
    </row>
    <row r="28" spans="1:2" x14ac:dyDescent="0.25">
      <c r="A28" s="288" t="s">
        <v>65</v>
      </c>
      <c r="B28" s="289">
        <v>44</v>
      </c>
    </row>
    <row r="29" spans="1:2" x14ac:dyDescent="0.25">
      <c r="A29" s="290" t="s">
        <v>65</v>
      </c>
      <c r="B29" s="291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4"/>
  <dimension ref="A1:Z37"/>
  <sheetViews>
    <sheetView workbookViewId="0"/>
  </sheetViews>
  <sheetFormatPr defaultRowHeight="15" x14ac:dyDescent="0.25"/>
  <sheetData>
    <row r="1" spans="1:26" x14ac:dyDescent="0.25">
      <c r="A1" s="1" t="s">
        <v>565</v>
      </c>
    </row>
    <row r="3" spans="1:26" x14ac:dyDescent="0.25">
      <c r="A3" s="48" t="s">
        <v>122</v>
      </c>
      <c r="B3" s="48" t="s">
        <v>123</v>
      </c>
      <c r="C3" s="48" t="s">
        <v>124</v>
      </c>
      <c r="E3" t="s">
        <v>126</v>
      </c>
      <c r="O3" t="s">
        <v>565</v>
      </c>
      <c r="T3" s="60" t="s">
        <v>33</v>
      </c>
      <c r="U3" s="60" t="s">
        <v>34</v>
      </c>
      <c r="V3" s="60" t="s">
        <v>40</v>
      </c>
      <c r="W3" s="60" t="s">
        <v>41</v>
      </c>
      <c r="Y3" s="49" t="s">
        <v>565</v>
      </c>
    </row>
    <row r="4" spans="1:26" x14ac:dyDescent="0.25">
      <c r="A4" s="46">
        <v>13</v>
      </c>
      <c r="B4" s="46">
        <v>12</v>
      </c>
      <c r="C4" s="279">
        <v>7</v>
      </c>
      <c r="T4" s="60">
        <v>51</v>
      </c>
      <c r="U4" s="60">
        <v>82</v>
      </c>
      <c r="V4" s="60">
        <v>79</v>
      </c>
      <c r="W4" s="60">
        <v>85</v>
      </c>
    </row>
    <row r="5" spans="1:26" ht="15.75" thickBot="1" x14ac:dyDescent="0.3">
      <c r="A5" s="280">
        <v>17</v>
      </c>
      <c r="B5" s="280">
        <v>8</v>
      </c>
      <c r="C5" s="279">
        <v>19</v>
      </c>
      <c r="E5" t="s">
        <v>127</v>
      </c>
      <c r="J5" t="s">
        <v>31</v>
      </c>
      <c r="K5">
        <v>0.05</v>
      </c>
      <c r="O5" t="e">
        <f t="array" aca="1" ref="O5:P8" ca="1">WELCH_TEST(A4:C13,TRUE)</f>
        <v>#NAME?</v>
      </c>
      <c r="P5" s="258" t="e">
        <f ca="1"/>
        <v>#NAME?</v>
      </c>
      <c r="T5" s="280">
        <v>87</v>
      </c>
      <c r="U5" s="280">
        <v>91</v>
      </c>
      <c r="V5" s="280">
        <v>84</v>
      </c>
      <c r="W5" s="280">
        <v>80</v>
      </c>
      <c r="Y5" t="e">
        <f t="array" aca="1" ref="Y5:Z8" ca="1">WELCH_TEST(T4:W11,TRUE)</f>
        <v>#NAME?</v>
      </c>
      <c r="Z5" s="258" t="e">
        <f ca="1"/>
        <v>#NAME?</v>
      </c>
    </row>
    <row r="6" spans="1:26" ht="15.75" thickTop="1" x14ac:dyDescent="0.25">
      <c r="A6" s="280">
        <v>19</v>
      </c>
      <c r="B6" s="280">
        <v>6</v>
      </c>
      <c r="C6" s="279">
        <v>15</v>
      </c>
      <c r="E6" s="251" t="s">
        <v>61</v>
      </c>
      <c r="F6" s="251" t="s">
        <v>19</v>
      </c>
      <c r="G6" s="251" t="s">
        <v>18</v>
      </c>
      <c r="H6" s="251" t="s">
        <v>7</v>
      </c>
      <c r="I6" s="251" t="s">
        <v>62</v>
      </c>
      <c r="J6" s="251" t="s">
        <v>88</v>
      </c>
      <c r="K6" s="251" t="s">
        <v>50</v>
      </c>
      <c r="L6" s="251" t="s">
        <v>110</v>
      </c>
      <c r="M6" s="251" t="s">
        <v>111</v>
      </c>
      <c r="O6" t="e">
        <f ca="1"/>
        <v>#NAME?</v>
      </c>
      <c r="P6" s="179" t="e">
        <f ca="1"/>
        <v>#NAME?</v>
      </c>
      <c r="T6" s="280">
        <v>50</v>
      </c>
      <c r="U6" s="280">
        <v>92</v>
      </c>
      <c r="V6" s="280">
        <v>74</v>
      </c>
      <c r="W6" s="280">
        <v>65</v>
      </c>
      <c r="Y6" t="e">
        <f ca="1"/>
        <v>#NAME?</v>
      </c>
      <c r="Z6" s="179" t="e">
        <f ca="1"/>
        <v>#NAME?</v>
      </c>
    </row>
    <row r="7" spans="1:26" x14ac:dyDescent="0.25">
      <c r="A7" s="280">
        <v>11</v>
      </c>
      <c r="B7" s="280">
        <v>16</v>
      </c>
      <c r="C7" s="279">
        <v>14</v>
      </c>
      <c r="E7" t="str">
        <f>A3</f>
        <v>Flavor 1</v>
      </c>
      <c r="F7">
        <f>COUNT(A4:A13)</f>
        <v>10</v>
      </c>
      <c r="G7">
        <f>SUM(A4:A13)</f>
        <v>150</v>
      </c>
      <c r="H7">
        <f>AVERAGE(A4:A13)</f>
        <v>15</v>
      </c>
      <c r="I7">
        <f>VAR(A4:A13)</f>
        <v>13.333333333333334</v>
      </c>
      <c r="J7">
        <f>DEVSQ(A4:A13)</f>
        <v>120</v>
      </c>
      <c r="K7">
        <f>SQRT(H14/F7)</f>
        <v>1.1548609023184149</v>
      </c>
      <c r="L7">
        <f>H7-K7*TINV(K5,F7-1)</f>
        <v>12.3875231377848</v>
      </c>
      <c r="M7">
        <f>H7+K7*TINV(K5,F7-1)</f>
        <v>17.6124768622152</v>
      </c>
      <c r="O7" t="e">
        <f ca="1"/>
        <v>#NAME?</v>
      </c>
      <c r="P7" s="179" t="e">
        <f ca="1"/>
        <v>#NAME?</v>
      </c>
      <c r="T7" s="280">
        <v>48</v>
      </c>
      <c r="U7" s="280">
        <v>80</v>
      </c>
      <c r="V7" s="280">
        <v>98</v>
      </c>
      <c r="W7" s="280">
        <v>71</v>
      </c>
      <c r="Y7" t="e">
        <f ca="1"/>
        <v>#NAME?</v>
      </c>
      <c r="Z7" s="179" t="e">
        <f ca="1"/>
        <v>#NAME?</v>
      </c>
    </row>
    <row r="8" spans="1:26" x14ac:dyDescent="0.25">
      <c r="A8" s="280">
        <v>20</v>
      </c>
      <c r="B8" s="280">
        <v>12</v>
      </c>
      <c r="C8" s="279">
        <v>10</v>
      </c>
      <c r="E8" t="str">
        <f>B3</f>
        <v>Flavor 2</v>
      </c>
      <c r="F8">
        <f>COUNT(B4:B13)</f>
        <v>10</v>
      </c>
      <c r="G8">
        <f>SUM(B4:B13)</f>
        <v>118</v>
      </c>
      <c r="H8">
        <f>AVERAGE(B4:B13)</f>
        <v>11.8</v>
      </c>
      <c r="I8">
        <f>VAR(B4:B13)</f>
        <v>12.622222222222213</v>
      </c>
      <c r="J8">
        <f>DEVSQ(B4:B13)</f>
        <v>113.60000000000002</v>
      </c>
      <c r="K8">
        <f>SQRT(H14/F8)</f>
        <v>1.1548609023184149</v>
      </c>
      <c r="L8">
        <f>H8-K8*TINV(K5,F8-1)</f>
        <v>9.187523137784801</v>
      </c>
      <c r="M8">
        <f>H8+K8*TINV(K5,F8-1)</f>
        <v>14.4124768622152</v>
      </c>
      <c r="O8" t="e">
        <f ca="1"/>
        <v>#NAME?</v>
      </c>
      <c r="P8" s="175" t="e">
        <f ca="1"/>
        <v>#NAME?</v>
      </c>
      <c r="T8" s="280">
        <v>79</v>
      </c>
      <c r="U8" s="280">
        <v>52</v>
      </c>
      <c r="V8" s="280">
        <v>63</v>
      </c>
      <c r="W8" s="280">
        <v>67</v>
      </c>
      <c r="Y8" t="e">
        <f ca="1"/>
        <v>#NAME?</v>
      </c>
      <c r="Z8" s="175" t="e">
        <f ca="1"/>
        <v>#NAME?</v>
      </c>
    </row>
    <row r="9" spans="1:26" x14ac:dyDescent="0.25">
      <c r="A9" s="280">
        <v>15</v>
      </c>
      <c r="B9" s="280">
        <v>14</v>
      </c>
      <c r="C9" s="279">
        <v>16</v>
      </c>
      <c r="E9" t="str">
        <f>C3</f>
        <v>Flavor 3</v>
      </c>
      <c r="F9">
        <f>COUNT(C4:C13)</f>
        <v>10</v>
      </c>
      <c r="G9">
        <f>SUM(C4:C13)</f>
        <v>135</v>
      </c>
      <c r="H9">
        <f>AVERAGE(C4:C13)</f>
        <v>13.5</v>
      </c>
      <c r="I9">
        <f>VAR(C4:C13)</f>
        <v>14.055555555555555</v>
      </c>
      <c r="J9">
        <f>DEVSQ(C4:C13)</f>
        <v>126.5</v>
      </c>
      <c r="K9">
        <f>SQRT(H14/F9)</f>
        <v>1.1548609023184149</v>
      </c>
      <c r="L9">
        <f>H9-K9*TINV(K5,F9-1)</f>
        <v>10.8875231377848</v>
      </c>
      <c r="M9">
        <f>H9+K9*TINV(K5,F9-1)</f>
        <v>16.1124768622152</v>
      </c>
      <c r="T9" s="280">
        <v>61</v>
      </c>
      <c r="U9" s="280">
        <v>79</v>
      </c>
      <c r="V9" s="280">
        <v>83</v>
      </c>
      <c r="W9" s="280">
        <v>51</v>
      </c>
    </row>
    <row r="10" spans="1:26" x14ac:dyDescent="0.25">
      <c r="A10" s="280">
        <v>18</v>
      </c>
      <c r="B10" s="280">
        <v>10</v>
      </c>
      <c r="C10" s="279">
        <v>18</v>
      </c>
      <c r="E10" s="252"/>
      <c r="F10" s="252"/>
      <c r="G10" s="252"/>
      <c r="H10" s="252"/>
      <c r="I10" s="252"/>
      <c r="J10" s="252"/>
      <c r="K10" s="252"/>
      <c r="L10" s="252"/>
      <c r="M10" s="252"/>
      <c r="T10" s="280">
        <v>53</v>
      </c>
      <c r="U10" s="280">
        <v>73</v>
      </c>
      <c r="V10" s="280">
        <v>85</v>
      </c>
      <c r="W10" s="280">
        <v>63</v>
      </c>
    </row>
    <row r="11" spans="1:26" ht="15.75" thickBot="1" x14ac:dyDescent="0.3">
      <c r="A11" s="280">
        <v>9</v>
      </c>
      <c r="B11" s="280">
        <v>18</v>
      </c>
      <c r="C11" s="279">
        <v>11</v>
      </c>
      <c r="E11" t="s">
        <v>101</v>
      </c>
      <c r="T11" s="281">
        <v>54</v>
      </c>
      <c r="U11" s="281">
        <v>74</v>
      </c>
      <c r="V11" s="281">
        <v>58</v>
      </c>
      <c r="W11" s="281">
        <v>93</v>
      </c>
    </row>
    <row r="12" spans="1:26" ht="15.75" thickTop="1" x14ac:dyDescent="0.25">
      <c r="A12" s="280">
        <v>12</v>
      </c>
      <c r="B12" s="280">
        <v>11</v>
      </c>
      <c r="C12" s="279">
        <v>14</v>
      </c>
      <c r="E12" s="251" t="s">
        <v>128</v>
      </c>
      <c r="F12" s="251" t="s">
        <v>88</v>
      </c>
      <c r="G12" s="251" t="s">
        <v>51</v>
      </c>
      <c r="H12" s="251" t="s">
        <v>92</v>
      </c>
      <c r="I12" s="251" t="s">
        <v>82</v>
      </c>
      <c r="J12" s="251" t="s">
        <v>129</v>
      </c>
      <c r="K12" s="251" t="s">
        <v>878</v>
      </c>
      <c r="L12" s="251" t="s">
        <v>383</v>
      </c>
      <c r="M12" s="251" t="s">
        <v>384</v>
      </c>
      <c r="S12" t="s">
        <v>4</v>
      </c>
      <c r="T12" s="279" t="e">
        <f t="array" aca="1" ref="T12:W12" ca="1">MEANCOL(T4:W11)</f>
        <v>#NAME?</v>
      </c>
      <c r="U12" s="279" t="e">
        <f ca="1"/>
        <v>#NAME?</v>
      </c>
      <c r="V12" s="279" t="e">
        <f ca="1"/>
        <v>#NAME?</v>
      </c>
      <c r="W12" s="279" t="e">
        <f ca="1"/>
        <v>#NAME?</v>
      </c>
    </row>
    <row r="13" spans="1:26" x14ac:dyDescent="0.25">
      <c r="A13" s="282">
        <v>16</v>
      </c>
      <c r="B13" s="282">
        <v>11</v>
      </c>
      <c r="C13" s="282">
        <v>11</v>
      </c>
      <c r="E13" t="s">
        <v>131</v>
      </c>
      <c r="F13">
        <f>F15-F14</f>
        <v>51.266666666666538</v>
      </c>
      <c r="G13">
        <f>COUNTA(E7:E9)-1</f>
        <v>2</v>
      </c>
      <c r="H13">
        <f>F13/G13</f>
        <v>25.633333333333269</v>
      </c>
      <c r="I13">
        <f>H13/H14</f>
        <v>1.9219661205220724</v>
      </c>
      <c r="J13">
        <f>FDIST(I13,G13,G14)</f>
        <v>0.16581328408696724</v>
      </c>
      <c r="K13">
        <f>F13/F15</f>
        <v>0.12462523296329281</v>
      </c>
      <c r="L13">
        <f>SQRT(DEVSQ(H7:H9)/(H14*G13))</f>
        <v>0.43840234038176351</v>
      </c>
      <c r="M13">
        <f>(F15-G15*H14)/(F15+H14)</f>
        <v>5.7905293450771569E-2</v>
      </c>
      <c r="S13" t="s">
        <v>376</v>
      </c>
      <c r="T13" s="279" t="e">
        <f t="array" aca="1" ref="T13:W13" ca="1">VARCOL(T4:W11)</f>
        <v>#NAME?</v>
      </c>
      <c r="U13" s="279" t="e">
        <f ca="1"/>
        <v>#NAME?</v>
      </c>
      <c r="V13" s="279" t="e">
        <f ca="1"/>
        <v>#NAME?</v>
      </c>
      <c r="W13" s="279" t="e">
        <f ca="1"/>
        <v>#NAME?</v>
      </c>
    </row>
    <row r="14" spans="1:26" x14ac:dyDescent="0.25">
      <c r="E14" t="s">
        <v>132</v>
      </c>
      <c r="F14">
        <f>SUM(J7:J9)</f>
        <v>360.1</v>
      </c>
      <c r="G14">
        <f>G15-G13</f>
        <v>27</v>
      </c>
      <c r="H14">
        <f>F14/G14</f>
        <v>13.337037037037037</v>
      </c>
    </row>
    <row r="15" spans="1:26" x14ac:dyDescent="0.25">
      <c r="E15" s="224" t="s">
        <v>1</v>
      </c>
      <c r="F15" s="224">
        <f>DEVSQ(A4:C13)</f>
        <v>411.36666666666656</v>
      </c>
      <c r="G15" s="224">
        <f>COUNT(A4:C13)-1</f>
        <v>29</v>
      </c>
      <c r="H15" s="224">
        <f>F15/G15</f>
        <v>14.185057471264365</v>
      </c>
      <c r="I15" s="224"/>
      <c r="J15" s="224"/>
      <c r="K15" s="224"/>
      <c r="L15" s="224"/>
      <c r="M15" s="224"/>
    </row>
    <row r="19" spans="4:10" x14ac:dyDescent="0.25">
      <c r="E19" s="23" t="s">
        <v>122</v>
      </c>
      <c r="F19" s="23" t="s">
        <v>123</v>
      </c>
      <c r="G19" s="23" t="s">
        <v>124</v>
      </c>
    </row>
    <row r="20" spans="4:10" x14ac:dyDescent="0.25">
      <c r="E20" s="261">
        <v>13</v>
      </c>
      <c r="F20" s="266">
        <v>12</v>
      </c>
      <c r="G20" s="262">
        <v>7</v>
      </c>
      <c r="I20" s="49" t="s">
        <v>48</v>
      </c>
      <c r="J20" s="258">
        <f>COUNT(E20:G20)</f>
        <v>3</v>
      </c>
    </row>
    <row r="21" spans="4:10" x14ac:dyDescent="0.25">
      <c r="E21" s="185">
        <v>17</v>
      </c>
      <c r="F21" s="23">
        <v>8</v>
      </c>
      <c r="G21" s="190">
        <v>19</v>
      </c>
      <c r="I21" t="s">
        <v>82</v>
      </c>
      <c r="J21" s="179">
        <f>H35/(1+2*H36*(J20-2)/(J20^2-1))</f>
        <v>1.9069762287077523</v>
      </c>
    </row>
    <row r="22" spans="4:10" x14ac:dyDescent="0.25">
      <c r="E22" s="185">
        <v>19</v>
      </c>
      <c r="F22" s="23">
        <v>6</v>
      </c>
      <c r="G22" s="190">
        <v>15</v>
      </c>
      <c r="I22" t="s">
        <v>117</v>
      </c>
      <c r="J22" s="179">
        <f>J20-1</f>
        <v>2</v>
      </c>
    </row>
    <row r="23" spans="4:10" x14ac:dyDescent="0.25">
      <c r="E23" s="185">
        <v>11</v>
      </c>
      <c r="F23" s="23">
        <v>16</v>
      </c>
      <c r="G23" s="190">
        <v>14</v>
      </c>
      <c r="I23" t="s">
        <v>118</v>
      </c>
      <c r="J23" s="179">
        <f>(J20^2-1)/(3*H36)</f>
        <v>17.991323813192135</v>
      </c>
    </row>
    <row r="24" spans="4:10" x14ac:dyDescent="0.25">
      <c r="E24" s="185">
        <v>20</v>
      </c>
      <c r="F24" s="23">
        <v>12</v>
      </c>
      <c r="G24" s="190">
        <v>10</v>
      </c>
      <c r="I24" t="s">
        <v>56</v>
      </c>
      <c r="J24" s="175">
        <f>FDIST(J21,J22,J23)</f>
        <v>0.17897900394080904</v>
      </c>
    </row>
    <row r="25" spans="4:10" x14ac:dyDescent="0.25">
      <c r="E25" s="185">
        <v>15</v>
      </c>
      <c r="F25" s="23">
        <v>14</v>
      </c>
      <c r="G25" s="190">
        <v>16</v>
      </c>
    </row>
    <row r="26" spans="4:10" x14ac:dyDescent="0.25">
      <c r="E26" s="185">
        <v>18</v>
      </c>
      <c r="F26" s="23">
        <v>10</v>
      </c>
      <c r="G26" s="190">
        <v>18</v>
      </c>
    </row>
    <row r="27" spans="4:10" x14ac:dyDescent="0.25">
      <c r="E27" s="185">
        <v>9</v>
      </c>
      <c r="F27" s="23">
        <v>18</v>
      </c>
      <c r="G27" s="190">
        <v>11</v>
      </c>
    </row>
    <row r="28" spans="4:10" x14ac:dyDescent="0.25">
      <c r="E28" s="185">
        <v>12</v>
      </c>
      <c r="F28" s="23">
        <v>11</v>
      </c>
      <c r="G28" s="190">
        <v>14</v>
      </c>
    </row>
    <row r="29" spans="4:10" x14ac:dyDescent="0.25">
      <c r="E29" s="263">
        <v>16</v>
      </c>
      <c r="F29" s="265">
        <v>11</v>
      </c>
      <c r="G29" s="264">
        <v>11</v>
      </c>
    </row>
    <row r="30" spans="4:10" x14ac:dyDescent="0.25">
      <c r="D30" t="s">
        <v>87</v>
      </c>
      <c r="E30" s="259">
        <f>COUNT(E20:E29)</f>
        <v>10</v>
      </c>
      <c r="F30" s="252">
        <f>COUNT(F20:F29)</f>
        <v>10</v>
      </c>
      <c r="G30" s="260">
        <f>COUNT(G20:G29)</f>
        <v>10</v>
      </c>
    </row>
    <row r="31" spans="4:10" x14ac:dyDescent="0.25">
      <c r="D31" t="s">
        <v>4</v>
      </c>
      <c r="E31" s="180">
        <f>AVERAGE(E20:E29)</f>
        <v>15</v>
      </c>
      <c r="F31" s="7">
        <f>AVERAGE(F20:F29)</f>
        <v>11.8</v>
      </c>
      <c r="G31" s="181">
        <f>AVERAGE(G20:G29)</f>
        <v>13.5</v>
      </c>
    </row>
    <row r="32" spans="4:10" x14ac:dyDescent="0.25">
      <c r="D32" t="s">
        <v>376</v>
      </c>
      <c r="E32" s="170">
        <f>VAR(E20:E29)</f>
        <v>13.333333333333334</v>
      </c>
      <c r="F32" s="224">
        <f>VAR(F20:F29)</f>
        <v>12.622222222222213</v>
      </c>
      <c r="G32" s="174">
        <f>VAR(G20:G29)</f>
        <v>14.055555555555555</v>
      </c>
    </row>
    <row r="33" spans="4:8" x14ac:dyDescent="0.25">
      <c r="D33" t="s">
        <v>522</v>
      </c>
      <c r="E33" s="180">
        <f>E30/E32</f>
        <v>0.75</v>
      </c>
      <c r="F33" s="7">
        <f>F30/F32</f>
        <v>0.79225352112676117</v>
      </c>
      <c r="G33" s="181">
        <f>G30/G32</f>
        <v>0.71146245059288538</v>
      </c>
      <c r="H33" s="258">
        <f>SUM(E33:G33)</f>
        <v>2.2537159717196467</v>
      </c>
    </row>
    <row r="34" spans="4:8" x14ac:dyDescent="0.25">
      <c r="D34" t="s">
        <v>567</v>
      </c>
      <c r="E34" s="180">
        <f>E33*E31</f>
        <v>11.25</v>
      </c>
      <c r="F34" s="7">
        <f>F33*F31</f>
        <v>9.348591549295783</v>
      </c>
      <c r="G34" s="181">
        <f>G33*G31</f>
        <v>9.6047430830039531</v>
      </c>
      <c r="H34" s="179">
        <f>SUM(E34:G34)/H33</f>
        <v>13.401571010411649</v>
      </c>
    </row>
    <row r="35" spans="4:8" x14ac:dyDescent="0.25">
      <c r="D35" t="s">
        <v>35</v>
      </c>
      <c r="E35" s="180">
        <f>E33*(E31-$H34)^2</f>
        <v>1.9162314260673274</v>
      </c>
      <c r="F35" s="7">
        <f>F33*(F31-$H34)^2</f>
        <v>2.0321538127217349</v>
      </c>
      <c r="G35" s="181">
        <f>G33*(G31-$H34)^2</f>
        <v>6.892837464225564E-3</v>
      </c>
      <c r="H35" s="179">
        <f>SUM(E35:G35)/(J20-1)</f>
        <v>1.977639038126644</v>
      </c>
    </row>
    <row r="36" spans="4:8" x14ac:dyDescent="0.25">
      <c r="D36" t="s">
        <v>36</v>
      </c>
      <c r="E36" s="170">
        <f>(1-E33/$H33)^2/(E30-1)</f>
        <v>4.9464172816856396E-2</v>
      </c>
      <c r="F36" s="224">
        <f>(1-F33/$H33)^2/(F30-1)</f>
        <v>4.6723401108145123E-2</v>
      </c>
      <c r="G36" s="174">
        <f>(1-G33/$H33)^2/(G30-1)</f>
        <v>5.2032017604518623E-2</v>
      </c>
      <c r="H36" s="175">
        <f>SUM(E36:G36)</f>
        <v>0.14821959152952013</v>
      </c>
    </row>
    <row r="37" spans="4:8" x14ac:dyDescent="0.25">
      <c r="E37" s="7"/>
      <c r="F37" s="7"/>
      <c r="G37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5"/>
  <dimension ref="A1:AC25"/>
  <sheetViews>
    <sheetView topLeftCell="A2" workbookViewId="0">
      <selection activeCell="S19" sqref="S19"/>
    </sheetView>
  </sheetViews>
  <sheetFormatPr defaultRowHeight="15" x14ac:dyDescent="0.25"/>
  <cols>
    <col min="5" max="5" width="4.42578125" customWidth="1"/>
    <col min="6" max="6" width="16" customWidth="1"/>
    <col min="8" max="8" width="6.28515625" customWidth="1"/>
    <col min="18" max="18" width="4" customWidth="1"/>
    <col min="19" max="19" width="31.5703125" customWidth="1"/>
    <col min="23" max="23" width="4.140625" customWidth="1"/>
    <col min="24" max="24" width="29.42578125" customWidth="1"/>
    <col min="26" max="26" width="12.42578125" customWidth="1"/>
    <col min="27" max="27" width="9.140625" customWidth="1"/>
    <col min="28" max="28" width="3.42578125" customWidth="1"/>
    <col min="29" max="29" width="39.7109375" customWidth="1"/>
  </cols>
  <sheetData>
    <row r="1" spans="1:29" x14ac:dyDescent="0.25">
      <c r="A1" s="1" t="s">
        <v>526</v>
      </c>
    </row>
    <row r="3" spans="1:29" x14ac:dyDescent="0.25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  <c r="P3" t="s">
        <v>30</v>
      </c>
      <c r="U3" t="s">
        <v>364</v>
      </c>
      <c r="Z3" s="253" t="s">
        <v>579</v>
      </c>
      <c r="AB3" s="295"/>
      <c r="AC3" s="295"/>
    </row>
    <row r="4" spans="1:29" x14ac:dyDescent="0.25">
      <c r="A4" s="60">
        <v>51</v>
      </c>
      <c r="B4" s="60">
        <v>82</v>
      </c>
      <c r="C4" s="60">
        <v>79</v>
      </c>
      <c r="D4" s="60">
        <v>85</v>
      </c>
    </row>
    <row r="5" spans="1:29" ht="15.75" thickBot="1" x14ac:dyDescent="0.3">
      <c r="A5" s="268">
        <v>87</v>
      </c>
      <c r="B5" s="268">
        <v>91</v>
      </c>
      <c r="C5" s="268">
        <v>84</v>
      </c>
      <c r="D5" s="268">
        <v>80</v>
      </c>
      <c r="F5" t="s">
        <v>127</v>
      </c>
      <c r="K5" t="s">
        <v>31</v>
      </c>
      <c r="L5">
        <v>0.05</v>
      </c>
      <c r="P5" s="167" t="s">
        <v>212</v>
      </c>
      <c r="Q5" s="258">
        <f>H14</f>
        <v>3</v>
      </c>
      <c r="R5" s="7"/>
      <c r="S5" s="7" t="s">
        <v>528</v>
      </c>
      <c r="U5" s="167" t="s">
        <v>212</v>
      </c>
      <c r="V5" s="258">
        <f>V8-1</f>
        <v>3</v>
      </c>
      <c r="X5" t="s">
        <v>541</v>
      </c>
      <c r="Z5" s="27" t="s">
        <v>82</v>
      </c>
      <c r="AA5" s="294">
        <f>J14</f>
        <v>3.0556481366330885</v>
      </c>
      <c r="AC5" t="e">
        <f t="shared" ref="AC5:AC11" ca="1" si="0">FTEXT(AA5)</f>
        <v>#NAME?</v>
      </c>
    </row>
    <row r="6" spans="1:29" ht="15.75" thickTop="1" x14ac:dyDescent="0.25">
      <c r="A6" s="268">
        <v>50</v>
      </c>
      <c r="B6" s="268">
        <v>92</v>
      </c>
      <c r="C6" s="268">
        <v>74</v>
      </c>
      <c r="D6" s="268">
        <v>65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s="27" t="s">
        <v>365</v>
      </c>
      <c r="Q6" s="179">
        <f>H15</f>
        <v>28</v>
      </c>
      <c r="R6" s="7"/>
      <c r="S6" s="7" t="s">
        <v>529</v>
      </c>
      <c r="U6" s="27" t="s">
        <v>365</v>
      </c>
      <c r="V6" s="179">
        <f>V7-V8</f>
        <v>120.86610708920045</v>
      </c>
      <c r="X6" t="s">
        <v>542</v>
      </c>
      <c r="Z6" s="167" t="s">
        <v>212</v>
      </c>
      <c r="AA6" s="179">
        <f>H14</f>
        <v>3</v>
      </c>
      <c r="AC6" t="e">
        <f t="shared" ca="1" si="0"/>
        <v>#NAME?</v>
      </c>
    </row>
    <row r="7" spans="1:29" x14ac:dyDescent="0.25">
      <c r="A7" s="268">
        <v>48</v>
      </c>
      <c r="B7" s="268">
        <v>80</v>
      </c>
      <c r="C7" s="268">
        <v>98</v>
      </c>
      <c r="D7" s="268">
        <v>71</v>
      </c>
      <c r="F7" t="str">
        <f>A3</f>
        <v>Method 1</v>
      </c>
      <c r="G7">
        <f>COUNT(A4:A11)</f>
        <v>8</v>
      </c>
      <c r="H7">
        <f>SUM(A4:A11)</f>
        <v>483</v>
      </c>
      <c r="I7">
        <f>AVERAGE(A4:A11)</f>
        <v>60.375</v>
      </c>
      <c r="J7">
        <f>VAR(A4:A11)</f>
        <v>214.26785714285714</v>
      </c>
      <c r="K7">
        <f>DEVSQ(A4:A11)</f>
        <v>1499.875</v>
      </c>
      <c r="L7">
        <f>SQRT(I15/G7)</f>
        <v>4.7366471150864875</v>
      </c>
      <c r="M7">
        <f>I7-L7*TINV(L5,G7-1)</f>
        <v>49.174609360429493</v>
      </c>
      <c r="N7">
        <f>I7+L7*TINV(L5,G7-1)</f>
        <v>71.575390639570514</v>
      </c>
      <c r="P7" t="s">
        <v>527</v>
      </c>
      <c r="Q7" s="179">
        <f>G14</f>
        <v>1645.34375</v>
      </c>
      <c r="R7" s="7"/>
      <c r="S7" s="7" t="s">
        <v>530</v>
      </c>
      <c r="U7" t="s">
        <v>28</v>
      </c>
      <c r="V7" s="179">
        <v>124.86610708920045</v>
      </c>
      <c r="Z7" s="168" t="s">
        <v>365</v>
      </c>
      <c r="AA7" s="179">
        <f>H15</f>
        <v>28</v>
      </c>
      <c r="AC7" t="e">
        <f t="shared" ca="1" si="0"/>
        <v>#NAME?</v>
      </c>
    </row>
    <row r="8" spans="1:29" x14ac:dyDescent="0.25">
      <c r="A8" s="268">
        <v>79</v>
      </c>
      <c r="B8" s="268">
        <v>52</v>
      </c>
      <c r="C8" s="268">
        <v>63</v>
      </c>
      <c r="D8" s="268">
        <v>67</v>
      </c>
      <c r="F8" t="str">
        <f>B3</f>
        <v>Method 2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4.7366471150864875</v>
      </c>
      <c r="M8">
        <f>I8-L8*TINV(L5,G8-1)</f>
        <v>66.674609360429486</v>
      </c>
      <c r="N8">
        <f>I8+L8*TINV(L5,G8-1)</f>
        <v>89.075390639570514</v>
      </c>
      <c r="P8" t="s">
        <v>366</v>
      </c>
      <c r="Q8" s="179">
        <f>I15</f>
        <v>179.48660714285714</v>
      </c>
      <c r="R8" s="7"/>
      <c r="S8" s="7" t="s">
        <v>531</v>
      </c>
      <c r="U8" t="s">
        <v>48</v>
      </c>
      <c r="V8" s="179">
        <v>4</v>
      </c>
      <c r="Z8" s="168" t="s">
        <v>527</v>
      </c>
      <c r="AA8" s="179">
        <f>G14</f>
        <v>1645.34375</v>
      </c>
      <c r="AC8" t="e">
        <f t="shared" ca="1" si="0"/>
        <v>#NAME?</v>
      </c>
    </row>
    <row r="9" spans="1:29" x14ac:dyDescent="0.25">
      <c r="A9" s="268">
        <v>61</v>
      </c>
      <c r="B9" s="268">
        <v>79</v>
      </c>
      <c r="C9" s="268">
        <v>83</v>
      </c>
      <c r="D9" s="268">
        <v>51</v>
      </c>
      <c r="F9" t="str">
        <f>C3</f>
        <v>Method 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4.7366471150864875</v>
      </c>
      <c r="M9">
        <f>I9-L9*TINV(L5,G9-1)</f>
        <v>66.799609360429486</v>
      </c>
      <c r="N9">
        <f>I9+L9*TINV(L5,G9-1)</f>
        <v>89.200390639570514</v>
      </c>
      <c r="P9" t="s">
        <v>28</v>
      </c>
      <c r="Q9" s="179">
        <f>Q6+Q5+1</f>
        <v>32</v>
      </c>
      <c r="R9" s="7"/>
      <c r="S9" s="7" t="s">
        <v>532</v>
      </c>
      <c r="U9" s="167" t="s">
        <v>2</v>
      </c>
      <c r="V9" s="179">
        <v>0.3</v>
      </c>
      <c r="Z9" s="168" t="s">
        <v>366</v>
      </c>
      <c r="AA9" s="179">
        <f>I15</f>
        <v>179.48660714285714</v>
      </c>
      <c r="AC9" t="e">
        <f t="shared" ca="1" si="0"/>
        <v>#NAME?</v>
      </c>
    </row>
    <row r="10" spans="1:29" x14ac:dyDescent="0.25">
      <c r="A10" s="268">
        <v>53</v>
      </c>
      <c r="B10" s="268">
        <v>73</v>
      </c>
      <c r="C10" s="268">
        <v>85</v>
      </c>
      <c r="D10" s="268">
        <v>63</v>
      </c>
      <c r="F10" t="str">
        <f>D3</f>
        <v>Method 4</v>
      </c>
      <c r="G10">
        <f>COUNT(D4:D11)</f>
        <v>8</v>
      </c>
      <c r="H10">
        <f>SUM(D4:D11)</f>
        <v>575</v>
      </c>
      <c r="I10">
        <f>AVERAGE(D4:D11)</f>
        <v>71.875</v>
      </c>
      <c r="J10">
        <f>VAR(D4:D11)</f>
        <v>181.55357142857142</v>
      </c>
      <c r="K10">
        <f>DEVSQ(D4:D11)</f>
        <v>1270.875</v>
      </c>
      <c r="L10">
        <f>SQRT(I15/G10)</f>
        <v>4.7366471150864875</v>
      </c>
      <c r="M10">
        <f>I10-L10*TINV(L5,G10-1)</f>
        <v>60.674609360429493</v>
      </c>
      <c r="N10">
        <f>I10+L10*TINV(L5,G10-1)</f>
        <v>83.075390639570514</v>
      </c>
      <c r="P10" t="s">
        <v>48</v>
      </c>
      <c r="Q10" s="179">
        <f>Q5+1</f>
        <v>4</v>
      </c>
      <c r="R10" s="7"/>
      <c r="S10" s="7" t="s">
        <v>533</v>
      </c>
      <c r="U10" t="s">
        <v>383</v>
      </c>
      <c r="V10" s="179">
        <f>V9*SQRT(V8/(V8-1))</f>
        <v>0.34641016151377541</v>
      </c>
      <c r="X10" t="s">
        <v>543</v>
      </c>
      <c r="Z10" s="168" t="s">
        <v>48</v>
      </c>
      <c r="AA10" s="179">
        <f>AA6+1</f>
        <v>4</v>
      </c>
      <c r="AC10" t="e">
        <f t="shared" ca="1" si="0"/>
        <v>#NAME?</v>
      </c>
    </row>
    <row r="11" spans="1:29" x14ac:dyDescent="0.25">
      <c r="A11" s="269">
        <v>54</v>
      </c>
      <c r="B11" s="269">
        <v>74</v>
      </c>
      <c r="C11" s="269">
        <v>58</v>
      </c>
      <c r="D11" s="269">
        <v>93</v>
      </c>
      <c r="F11" s="252"/>
      <c r="G11" s="252"/>
      <c r="H11" s="252"/>
      <c r="I11" s="252"/>
      <c r="J11" s="252"/>
      <c r="K11" s="252"/>
      <c r="L11" s="252"/>
      <c r="M11" s="252"/>
      <c r="N11" s="252"/>
      <c r="P11" s="167" t="s">
        <v>2</v>
      </c>
      <c r="Q11" s="179">
        <f>SQRT(Q7/(Q8*Q9))</f>
        <v>0.5352261324051284</v>
      </c>
      <c r="R11" s="7"/>
      <c r="S11" s="7" t="s">
        <v>534</v>
      </c>
      <c r="U11" s="27" t="s">
        <v>369</v>
      </c>
      <c r="V11" s="175">
        <f>V9^2*V7</f>
        <v>11.23794963802804</v>
      </c>
      <c r="X11" t="s">
        <v>544</v>
      </c>
      <c r="Z11" t="s">
        <v>28</v>
      </c>
      <c r="AA11" s="179">
        <f>AA6+AA7+1</f>
        <v>32</v>
      </c>
      <c r="AC11" t="e">
        <f t="shared" ca="1" si="0"/>
        <v>#NAME?</v>
      </c>
    </row>
    <row r="12" spans="1:29" ht="15.75" thickBot="1" x14ac:dyDescent="0.3">
      <c r="F12" t="s">
        <v>101</v>
      </c>
      <c r="P12" t="s">
        <v>383</v>
      </c>
      <c r="Q12" s="179">
        <f>Q11*SQRT(Q10/(Q10-1))</f>
        <v>0.61802590324284634</v>
      </c>
      <c r="R12" s="7"/>
      <c r="S12" s="7" t="s">
        <v>535</v>
      </c>
      <c r="X12" t="s">
        <v>405</v>
      </c>
      <c r="Z12" t="s">
        <v>70</v>
      </c>
      <c r="AA12" s="294">
        <v>0.05</v>
      </c>
    </row>
    <row r="13" spans="1:29" ht="15.75" thickTop="1" x14ac:dyDescent="0.25"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878</v>
      </c>
      <c r="M13" s="251" t="s">
        <v>383</v>
      </c>
      <c r="N13" s="251" t="s">
        <v>384</v>
      </c>
      <c r="P13" s="27" t="s">
        <v>369</v>
      </c>
      <c r="Q13" s="175">
        <f>Q11^2*Q9</f>
        <v>9.1669444098992656</v>
      </c>
      <c r="R13" s="7"/>
      <c r="S13" s="7" t="s">
        <v>536</v>
      </c>
      <c r="U13" s="27" t="s">
        <v>42</v>
      </c>
      <c r="V13" s="258">
        <f>L5</f>
        <v>0.05</v>
      </c>
      <c r="X13" t="s">
        <v>537</v>
      </c>
      <c r="Z13" s="278" t="s">
        <v>369</v>
      </c>
      <c r="AA13" s="179">
        <f>AA16^2*AA11</f>
        <v>9.1669444098992656</v>
      </c>
      <c r="AC13" t="e">
        <f t="shared" ref="AC13:AC21" ca="1" si="1">FTEXT(AA13)</f>
        <v>#NAME?</v>
      </c>
    </row>
    <row r="14" spans="1:29" x14ac:dyDescent="0.25">
      <c r="F14" t="s">
        <v>131</v>
      </c>
      <c r="G14">
        <f>G16-G15</f>
        <v>1645.34375</v>
      </c>
      <c r="H14">
        <f>COUNTA(F7:F10)-1</f>
        <v>3</v>
      </c>
      <c r="I14">
        <f>G14/H14</f>
        <v>548.44791666666663</v>
      </c>
      <c r="J14">
        <f>I14/I15</f>
        <v>3.0556481366330885</v>
      </c>
      <c r="K14">
        <f>FDIST(J14,H14,H15)</f>
        <v>4.4662597948147184E-2</v>
      </c>
      <c r="L14">
        <f>G14/G16</f>
        <v>0.24664240107555593</v>
      </c>
      <c r="M14">
        <f>SQRT(DEVSQ(I7:I10)/(I15*H14))</f>
        <v>0.61802590324284634</v>
      </c>
      <c r="N14">
        <f>(G16-H16*I15)/(G16+I15)</f>
        <v>0.16157815369416265</v>
      </c>
      <c r="S14" s="7" t="s">
        <v>405</v>
      </c>
      <c r="U14" s="27" t="s">
        <v>94</v>
      </c>
      <c r="V14" s="179">
        <f>FINV(V13,V5,V6)</f>
        <v>2.6801675698502416</v>
      </c>
      <c r="X14" t="s">
        <v>545</v>
      </c>
      <c r="Z14" s="278" t="s">
        <v>580</v>
      </c>
      <c r="AA14" s="179" t="e">
        <f ca="1">NF_NCP(1-AA12/2,AA6,AA7,AA5)</f>
        <v>#NAME?</v>
      </c>
      <c r="AC14" t="e">
        <f t="shared" ca="1" si="1"/>
        <v>#NAME?</v>
      </c>
    </row>
    <row r="15" spans="1:29" x14ac:dyDescent="0.25">
      <c r="F15" t="s">
        <v>132</v>
      </c>
      <c r="G15">
        <f>SUM(K7:K10)</f>
        <v>5025.625</v>
      </c>
      <c r="H15">
        <f>H16-H14</f>
        <v>28</v>
      </c>
      <c r="I15">
        <f>G15/H15</f>
        <v>179.48660714285714</v>
      </c>
      <c r="P15" s="27" t="s">
        <v>42</v>
      </c>
      <c r="Q15" s="258">
        <f>L5</f>
        <v>0.05</v>
      </c>
      <c r="R15" s="7"/>
      <c r="S15" s="7" t="s">
        <v>537</v>
      </c>
      <c r="U15" s="168" t="s">
        <v>382</v>
      </c>
      <c r="V15" s="179" t="e">
        <f ca="1">NF_DIST(V14,V5,V6,V11,TRUE)</f>
        <v>#NAME?</v>
      </c>
      <c r="X15" t="s">
        <v>546</v>
      </c>
      <c r="Z15" s="278" t="s">
        <v>581</v>
      </c>
      <c r="AA15" s="175" t="e">
        <f ca="1">NF_NCP(AA12/2,AA6,AA7,AA5)</f>
        <v>#NAME?</v>
      </c>
      <c r="AC15" t="e">
        <f t="shared" ca="1" si="1"/>
        <v>#NAME?</v>
      </c>
    </row>
    <row r="16" spans="1:29" x14ac:dyDescent="0.25">
      <c r="F16" s="224" t="s">
        <v>1</v>
      </c>
      <c r="G16" s="224">
        <f>DEVSQ(A4:D11)</f>
        <v>6670.96875</v>
      </c>
      <c r="H16" s="224">
        <f>COUNT(A4:D11)-1</f>
        <v>31</v>
      </c>
      <c r="I16" s="224">
        <f>G16/H16</f>
        <v>215.19254032258064</v>
      </c>
      <c r="J16" s="224"/>
      <c r="K16" s="224"/>
      <c r="L16" s="224"/>
      <c r="M16" s="224"/>
      <c r="N16" s="224"/>
      <c r="P16" s="27" t="s">
        <v>94</v>
      </c>
      <c r="Q16" s="179">
        <f>FINV(Q15,Q5,Q6)</f>
        <v>2.9466852660172647</v>
      </c>
      <c r="R16" s="7"/>
      <c r="S16" s="7" t="s">
        <v>538</v>
      </c>
      <c r="U16" s="168" t="s">
        <v>524</v>
      </c>
      <c r="V16" s="175" t="e">
        <f ca="1">1-V15</f>
        <v>#NAME?</v>
      </c>
      <c r="X16" t="s">
        <v>547</v>
      </c>
      <c r="Z16" s="278" t="s">
        <v>2</v>
      </c>
      <c r="AA16" s="294">
        <f>SQRT(AA8/(AA9*AA11))</f>
        <v>0.5352261324051284</v>
      </c>
      <c r="AC16" t="e">
        <f t="shared" ca="1" si="1"/>
        <v>#NAME?</v>
      </c>
    </row>
    <row r="17" spans="16:29" x14ac:dyDescent="0.25">
      <c r="P17" s="168" t="s">
        <v>382</v>
      </c>
      <c r="Q17" s="179" t="e">
        <f ca="1">NF_DIST(Q16,Q5,Q6,Q13,TRUE)</f>
        <v>#NAME?</v>
      </c>
      <c r="R17" s="7"/>
      <c r="S17" s="7" t="s">
        <v>539</v>
      </c>
      <c r="Z17" s="278" t="s">
        <v>584</v>
      </c>
      <c r="AA17" s="179" t="e">
        <f ca="1">SQRT(AA14/AA11)</f>
        <v>#NAME?</v>
      </c>
      <c r="AC17" t="e">
        <f t="shared" ca="1" si="1"/>
        <v>#NAME?</v>
      </c>
    </row>
    <row r="18" spans="16:29" x14ac:dyDescent="0.25">
      <c r="P18" s="168" t="s">
        <v>524</v>
      </c>
      <c r="Q18" s="175" t="e">
        <f ca="1">1-Q17</f>
        <v>#NAME?</v>
      </c>
      <c r="R18" s="7"/>
      <c r="S18" s="7" t="s">
        <v>540</v>
      </c>
      <c r="U18" t="s">
        <v>525</v>
      </c>
      <c r="V18" s="187" t="e">
        <f ca="1">ANOVA1_SIZE(V9,V8)</f>
        <v>#NAME?</v>
      </c>
      <c r="X18" s="14" t="s">
        <v>548</v>
      </c>
      <c r="Z18" s="278" t="s">
        <v>585</v>
      </c>
      <c r="AA18" s="179" t="e">
        <f ca="1">SQRT(AA15/AA11)</f>
        <v>#NAME?</v>
      </c>
      <c r="AC18" t="e">
        <f t="shared" ca="1" si="1"/>
        <v>#NAME?</v>
      </c>
    </row>
    <row r="19" spans="16:29" x14ac:dyDescent="0.25">
      <c r="Z19" s="278" t="s">
        <v>383</v>
      </c>
      <c r="AA19" s="294">
        <f>AA16*SQRT(AA10/AA6)</f>
        <v>0.61802590324284634</v>
      </c>
      <c r="AC19" t="e">
        <f t="shared" ca="1" si="1"/>
        <v>#NAME?</v>
      </c>
    </row>
    <row r="20" spans="16:29" x14ac:dyDescent="0.25">
      <c r="P20" t="s">
        <v>525</v>
      </c>
      <c r="Q20" s="258" t="e">
        <f ca="1">ANOVA1_POWER(Q11,Q9,Q10)</f>
        <v>#NAME?</v>
      </c>
      <c r="S20" t="s">
        <v>549</v>
      </c>
      <c r="Z20" s="278" t="s">
        <v>582</v>
      </c>
      <c r="AA20" s="179" t="e">
        <f ca="1">AA17*SQRT(AA10/AA6)</f>
        <v>#NAME?</v>
      </c>
      <c r="AC20" t="e">
        <f t="shared" ca="1" si="1"/>
        <v>#NAME?</v>
      </c>
    </row>
    <row r="21" spans="16:29" x14ac:dyDescent="0.25">
      <c r="Q21" s="179" t="e">
        <f ca="1">ANOVA1_POWER(Q12,Q9,Q10,2)</f>
        <v>#NAME?</v>
      </c>
      <c r="S21" t="s">
        <v>550</v>
      </c>
      <c r="Z21" s="278" t="s">
        <v>583</v>
      </c>
      <c r="AA21" s="175" t="e">
        <f ca="1">AA18*SQRT(AA10/AA6)</f>
        <v>#NAME?</v>
      </c>
      <c r="AC21" t="e">
        <f t="shared" ca="1" si="1"/>
        <v>#NAME?</v>
      </c>
    </row>
    <row r="22" spans="16:29" x14ac:dyDescent="0.25">
      <c r="Q22" s="175" t="e">
        <f ca="1">ANOVA1_POWER(Q13,Q9,Q10,0)</f>
        <v>#NAME?</v>
      </c>
      <c r="S22" t="s">
        <v>551</v>
      </c>
      <c r="Z22" s="278" t="s">
        <v>42</v>
      </c>
      <c r="AA22" s="294">
        <v>0.05</v>
      </c>
    </row>
    <row r="23" spans="16:29" x14ac:dyDescent="0.25">
      <c r="Z23" t="s">
        <v>554</v>
      </c>
      <c r="AA23" s="179" t="e">
        <f ca="1">ANOVA1_POWER(AA16,AA11,AA10,,AA22)</f>
        <v>#NAME?</v>
      </c>
      <c r="AC23" t="e">
        <f ca="1">FTEXT(AA23)</f>
        <v>#NAME?</v>
      </c>
    </row>
    <row r="24" spans="16:29" x14ac:dyDescent="0.25">
      <c r="Z24" t="s">
        <v>577</v>
      </c>
      <c r="AA24" s="179" t="e">
        <f ca="1">ANOVA1_POWER(AA17,AA11,AA10,,AA22)</f>
        <v>#NAME?</v>
      </c>
      <c r="AC24" t="e">
        <f ca="1">FTEXT(AA24)</f>
        <v>#NAME?</v>
      </c>
    </row>
    <row r="25" spans="16:29" x14ac:dyDescent="0.25">
      <c r="Z25" t="s">
        <v>578</v>
      </c>
      <c r="AA25" s="175" t="e">
        <f ca="1">ANOVA1_POWER(AA18,AA11,AA10,,AA22)</f>
        <v>#NAME?</v>
      </c>
      <c r="AC25" t="e">
        <f ca="1">FTEXT(AA25)</f>
        <v>#NAME?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19"/>
  <sheetViews>
    <sheetView workbookViewId="0">
      <selection activeCell="O22" sqref="O22"/>
    </sheetView>
  </sheetViews>
  <sheetFormatPr defaultRowHeight="15" x14ac:dyDescent="0.25"/>
  <cols>
    <col min="1" max="1" width="4.28515625" customWidth="1"/>
    <col min="5" max="5" width="5.28515625" customWidth="1"/>
    <col min="6" max="7" width="8" customWidth="1"/>
    <col min="9" max="9" width="3.140625" customWidth="1"/>
    <col min="10" max="12" width="9.140625" customWidth="1"/>
    <col min="13" max="13" width="9.85546875" customWidth="1"/>
  </cols>
  <sheetData>
    <row r="1" spans="1:12" x14ac:dyDescent="0.25">
      <c r="B1" s="485">
        <v>0.2</v>
      </c>
      <c r="C1" s="485">
        <v>0.4</v>
      </c>
      <c r="D1" s="485">
        <v>0.7</v>
      </c>
    </row>
    <row r="2" spans="1:12" x14ac:dyDescent="0.25">
      <c r="A2">
        <v>1</v>
      </c>
      <c r="B2" s="487">
        <v>1.0587803985811366</v>
      </c>
      <c r="C2" s="252">
        <v>-0.22133756278766736</v>
      </c>
      <c r="D2" s="488">
        <v>-2.3138867144558706E-3</v>
      </c>
    </row>
    <row r="3" spans="1:12" x14ac:dyDescent="0.25">
      <c r="A3">
        <f>A2+1</f>
        <v>2</v>
      </c>
      <c r="B3" s="180">
        <v>-0.32804620406165491</v>
      </c>
      <c r="C3" s="7">
        <v>-0.66806337581128628</v>
      </c>
      <c r="D3" s="181">
        <v>1.1765197547946455</v>
      </c>
      <c r="F3" s="485" t="s">
        <v>731</v>
      </c>
      <c r="G3" s="485" t="s">
        <v>732</v>
      </c>
      <c r="H3" s="485" t="s">
        <v>56</v>
      </c>
      <c r="J3" s="487" t="s">
        <v>405</v>
      </c>
      <c r="K3" s="266" t="s">
        <v>806</v>
      </c>
      <c r="L3" s="488">
        <v>0.21</v>
      </c>
    </row>
    <row r="4" spans="1:12" x14ac:dyDescent="0.25">
      <c r="A4">
        <f t="shared" ref="A4:A16" si="0">A3+1</f>
        <v>3</v>
      </c>
      <c r="B4" s="180">
        <v>-0.36331115095820593</v>
      </c>
      <c r="C4" s="7">
        <v>-1.4721617715165012</v>
      </c>
      <c r="D4" s="181">
        <v>1.1724325472673354</v>
      </c>
      <c r="F4" s="489" t="e">
        <f t="array" aca="1" ref="F4:H6" ca="1">TUKEY(B2:D16)</f>
        <v>#NAME?</v>
      </c>
      <c r="G4" s="255" t="e">
        <f ca="1"/>
        <v>#NAME?</v>
      </c>
      <c r="H4" s="488" t="e">
        <f ca="1"/>
        <v>#NAME?</v>
      </c>
      <c r="J4" s="180">
        <v>1</v>
      </c>
      <c r="K4" s="7">
        <v>2</v>
      </c>
      <c r="L4" s="181">
        <v>0.05</v>
      </c>
    </row>
    <row r="5" spans="1:12" x14ac:dyDescent="0.25">
      <c r="A5">
        <f t="shared" si="0"/>
        <v>4</v>
      </c>
      <c r="B5" s="180">
        <v>1.0008758257374386</v>
      </c>
      <c r="C5" s="7">
        <v>1.1694664765726457</v>
      </c>
      <c r="D5" s="181">
        <v>1.5160180039102871</v>
      </c>
      <c r="F5" s="182" t="e">
        <f ca="1"/>
        <v>#NAME?</v>
      </c>
      <c r="G5" s="406" t="e">
        <f ca="1"/>
        <v>#NAME?</v>
      </c>
      <c r="H5" s="181" t="e">
        <f ca="1"/>
        <v>#NAME?</v>
      </c>
      <c r="J5" s="180">
        <v>1</v>
      </c>
      <c r="K5" s="7">
        <v>3</v>
      </c>
      <c r="L5" s="181">
        <v>0.15</v>
      </c>
    </row>
    <row r="6" spans="1:12" x14ac:dyDescent="0.25">
      <c r="A6">
        <f t="shared" si="0"/>
        <v>5</v>
      </c>
      <c r="B6" s="180">
        <v>6.6058294239583842E-2</v>
      </c>
      <c r="C6" s="7">
        <v>-0.41633176447819098</v>
      </c>
      <c r="D6" s="181">
        <v>0.77517654779131107</v>
      </c>
      <c r="F6" s="490" t="e">
        <f ca="1"/>
        <v>#NAME?</v>
      </c>
      <c r="G6" s="486" t="e">
        <f ca="1"/>
        <v>#NAME?</v>
      </c>
      <c r="H6" s="480" t="e">
        <f ca="1"/>
        <v>#NAME?</v>
      </c>
      <c r="J6" s="479">
        <v>2</v>
      </c>
      <c r="K6" s="469">
        <v>3</v>
      </c>
      <c r="L6" s="480">
        <v>0.09</v>
      </c>
    </row>
    <row r="7" spans="1:12" x14ac:dyDescent="0.25">
      <c r="A7">
        <f t="shared" si="0"/>
        <v>6</v>
      </c>
      <c r="B7" s="180">
        <v>0.20785392343548956</v>
      </c>
      <c r="C7" s="7">
        <v>0.43720751039462974</v>
      </c>
      <c r="D7" s="181">
        <v>0.62931894582087633</v>
      </c>
      <c r="J7" s="14" t="s">
        <v>807</v>
      </c>
    </row>
    <row r="8" spans="1:12" x14ac:dyDescent="0.25">
      <c r="A8">
        <f t="shared" si="0"/>
        <v>7</v>
      </c>
      <c r="B8" s="180">
        <v>-1.2676773422682669E-2</v>
      </c>
      <c r="C8" s="7">
        <v>-0.26846076161167054</v>
      </c>
      <c r="D8" s="181">
        <v>0.1345609090125276</v>
      </c>
      <c r="G8" t="s">
        <v>808</v>
      </c>
      <c r="H8" s="187" t="e">
        <f ca="1">ATEST(B2:D16)</f>
        <v>#NAME?</v>
      </c>
    </row>
    <row r="9" spans="1:12" x14ac:dyDescent="0.25">
      <c r="A9">
        <f t="shared" si="0"/>
        <v>8</v>
      </c>
      <c r="B9" s="180">
        <v>0.29701480405337949</v>
      </c>
      <c r="C9" s="7">
        <v>-0.48509334126308046</v>
      </c>
      <c r="D9" s="181">
        <v>0.8274643052551458</v>
      </c>
      <c r="J9" s="487">
        <v>83.0703125</v>
      </c>
      <c r="K9" s="266" t="s">
        <v>806</v>
      </c>
      <c r="L9" s="488">
        <v>0.19400000000000001</v>
      </c>
    </row>
    <row r="10" spans="1:12" x14ac:dyDescent="0.25">
      <c r="A10">
        <f t="shared" si="0"/>
        <v>9</v>
      </c>
      <c r="B10" s="180">
        <v>0.43070101229613067</v>
      </c>
      <c r="C10" s="7">
        <v>-0.13743243313245812</v>
      </c>
      <c r="D10" s="181">
        <v>0.87103314369442142</v>
      </c>
      <c r="J10" s="180">
        <v>1</v>
      </c>
      <c r="K10" s="7">
        <v>2</v>
      </c>
      <c r="L10" s="181">
        <v>3.2000000000000001E-2</v>
      </c>
    </row>
    <row r="11" spans="1:12" x14ac:dyDescent="0.25">
      <c r="A11">
        <f t="shared" si="0"/>
        <v>10</v>
      </c>
      <c r="B11" s="180">
        <v>-0.69343292847184257</v>
      </c>
      <c r="C11" s="7">
        <v>1.5154186775366196</v>
      </c>
      <c r="D11" s="181">
        <v>0.39035690425438607</v>
      </c>
      <c r="J11" s="180">
        <v>1</v>
      </c>
      <c r="K11" s="7">
        <v>3</v>
      </c>
      <c r="L11" s="181">
        <v>0.14899999999999999</v>
      </c>
    </row>
    <row r="12" spans="1:12" x14ac:dyDescent="0.25">
      <c r="A12">
        <f t="shared" si="0"/>
        <v>11</v>
      </c>
      <c r="B12" s="180">
        <v>-0.85250251487196715</v>
      </c>
      <c r="C12" s="7">
        <v>-0.76626583508907375</v>
      </c>
      <c r="D12" s="181">
        <v>0.28419846517640446</v>
      </c>
      <c r="J12" s="479">
        <v>2</v>
      </c>
      <c r="K12" s="469">
        <v>3</v>
      </c>
      <c r="L12" s="480">
        <v>7.0999999999999994E-2</v>
      </c>
    </row>
    <row r="13" spans="1:12" x14ac:dyDescent="0.25">
      <c r="A13">
        <f t="shared" si="0"/>
        <v>12</v>
      </c>
      <c r="B13" s="180">
        <v>1.251223791271503</v>
      </c>
      <c r="C13" s="7">
        <v>0.3551189934389784</v>
      </c>
      <c r="D13" s="181">
        <v>1.8325246996875346</v>
      </c>
      <c r="J13" s="14" t="s">
        <v>809</v>
      </c>
    </row>
    <row r="14" spans="1:12" x14ac:dyDescent="0.25">
      <c r="A14">
        <f t="shared" si="0"/>
        <v>13</v>
      </c>
      <c r="B14" s="180">
        <v>2.7369632737847849</v>
      </c>
      <c r="C14" s="7">
        <v>-0.36191070008696336</v>
      </c>
      <c r="D14" s="181">
        <v>1.1805519174954244</v>
      </c>
    </row>
    <row r="15" spans="1:12" x14ac:dyDescent="0.25">
      <c r="A15">
        <f t="shared" si="0"/>
        <v>14</v>
      </c>
      <c r="B15" s="180">
        <v>0.13157458868353933</v>
      </c>
      <c r="C15" s="7">
        <v>-1.5021690309830857</v>
      </c>
      <c r="D15" s="181">
        <v>2.6235669628123084</v>
      </c>
    </row>
    <row r="16" spans="1:12" x14ac:dyDescent="0.25">
      <c r="A16">
        <f t="shared" si="0"/>
        <v>15</v>
      </c>
      <c r="B16" s="479">
        <v>4.5031358993318504E-2</v>
      </c>
      <c r="C16" s="469">
        <v>0.76460012958287349</v>
      </c>
      <c r="D16" s="480">
        <v>0.54781974090810537</v>
      </c>
    </row>
    <row r="19" spans="2:2" x14ac:dyDescent="0.25">
      <c r="B19" s="14" t="s">
        <v>810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I24"/>
  <sheetViews>
    <sheetView workbookViewId="0"/>
  </sheetViews>
  <sheetFormatPr defaultRowHeight="15" x14ac:dyDescent="0.25"/>
  <cols>
    <col min="1" max="1" width="5.42578125" customWidth="1"/>
    <col min="2" max="2" width="4.5703125" customWidth="1"/>
    <col min="4" max="4" width="9.140625" style="12"/>
  </cols>
  <sheetData>
    <row r="2" spans="1:9" x14ac:dyDescent="0.25">
      <c r="A2">
        <v>0.2</v>
      </c>
      <c r="C2" s="487" t="s">
        <v>405</v>
      </c>
      <c r="D2" s="266" t="s">
        <v>806</v>
      </c>
      <c r="E2" s="488">
        <v>0.78</v>
      </c>
      <c r="G2" s="487" t="e">
        <f t="array" aca="1" ref="G2:I5" ca="1">TUKEY_POWER(A2:A4,75,1000)</f>
        <v>#NAME?</v>
      </c>
      <c r="H2" s="252" t="e">
        <f ca="1"/>
        <v>#NAME?</v>
      </c>
      <c r="I2" s="488" t="e">
        <f ca="1"/>
        <v>#NAME?</v>
      </c>
    </row>
    <row r="3" spans="1:9" x14ac:dyDescent="0.25">
      <c r="A3">
        <v>0.4</v>
      </c>
      <c r="C3" s="180">
        <v>1</v>
      </c>
      <c r="D3" s="23">
        <v>2</v>
      </c>
      <c r="E3" s="181">
        <v>0.12</v>
      </c>
      <c r="G3" s="180" t="e">
        <f ca="1"/>
        <v>#NAME?</v>
      </c>
      <c r="H3" s="7" t="e">
        <f ca="1"/>
        <v>#NAME?</v>
      </c>
      <c r="I3" s="181" t="e">
        <f ca="1"/>
        <v>#NAME?</v>
      </c>
    </row>
    <row r="4" spans="1:9" x14ac:dyDescent="0.25">
      <c r="A4">
        <v>0.7</v>
      </c>
      <c r="C4" s="180">
        <v>1</v>
      </c>
      <c r="D4" s="23">
        <v>3</v>
      </c>
      <c r="E4" s="181">
        <v>0.74</v>
      </c>
      <c r="G4" s="180" t="e">
        <f ca="1"/>
        <v>#NAME?</v>
      </c>
      <c r="H4" s="7" t="e">
        <f ca="1"/>
        <v>#NAME?</v>
      </c>
      <c r="I4" s="181" t="e">
        <f ca="1"/>
        <v>#NAME?</v>
      </c>
    </row>
    <row r="5" spans="1:9" x14ac:dyDescent="0.25">
      <c r="C5" s="479">
        <v>2</v>
      </c>
      <c r="D5" s="491">
        <v>3</v>
      </c>
      <c r="E5" s="480">
        <v>0.25</v>
      </c>
      <c r="G5" s="479" t="e">
        <f ca="1"/>
        <v>#NAME?</v>
      </c>
      <c r="H5" s="469" t="e">
        <f ca="1"/>
        <v>#NAME?</v>
      </c>
      <c r="I5" s="480" t="e">
        <f ca="1"/>
        <v>#NAME?</v>
      </c>
    </row>
    <row r="6" spans="1:9" x14ac:dyDescent="0.25">
      <c r="C6" s="14" t="s">
        <v>811</v>
      </c>
      <c r="G6" s="14" t="s">
        <v>812</v>
      </c>
    </row>
    <row r="8" spans="1:9" x14ac:dyDescent="0.25">
      <c r="C8" s="487" t="s">
        <v>405</v>
      </c>
      <c r="D8" s="266" t="s">
        <v>806</v>
      </c>
      <c r="E8" s="488">
        <v>0.82</v>
      </c>
      <c r="G8" s="487" t="s">
        <v>405</v>
      </c>
      <c r="H8" s="252" t="s">
        <v>806</v>
      </c>
      <c r="I8" s="488">
        <v>0.82799999999999996</v>
      </c>
    </row>
    <row r="9" spans="1:9" x14ac:dyDescent="0.25">
      <c r="C9" s="180">
        <v>1</v>
      </c>
      <c r="D9" s="23">
        <v>2</v>
      </c>
      <c r="E9" s="181">
        <v>0.13</v>
      </c>
      <c r="G9" s="180">
        <v>1</v>
      </c>
      <c r="H9" s="7">
        <v>2</v>
      </c>
      <c r="I9" s="181">
        <v>0.14699999999999999</v>
      </c>
    </row>
    <row r="10" spans="1:9" x14ac:dyDescent="0.25">
      <c r="C10" s="180">
        <v>1</v>
      </c>
      <c r="D10" s="23">
        <v>3</v>
      </c>
      <c r="E10" s="181">
        <v>0.8</v>
      </c>
      <c r="G10" s="180">
        <v>1</v>
      </c>
      <c r="H10" s="7">
        <v>3</v>
      </c>
      <c r="I10" s="181">
        <v>0.80800000000000005</v>
      </c>
    </row>
    <row r="11" spans="1:9" x14ac:dyDescent="0.25">
      <c r="C11" s="479">
        <v>2</v>
      </c>
      <c r="D11" s="491">
        <v>3</v>
      </c>
      <c r="E11" s="480">
        <v>0.39</v>
      </c>
      <c r="G11" s="479">
        <v>2</v>
      </c>
      <c r="H11" s="469">
        <v>3</v>
      </c>
      <c r="I11" s="480">
        <v>0.35399999999999998</v>
      </c>
    </row>
    <row r="12" spans="1:9" x14ac:dyDescent="0.25">
      <c r="C12" s="14" t="s">
        <v>813</v>
      </c>
      <c r="G12" s="14" t="s">
        <v>814</v>
      </c>
      <c r="H12" s="14"/>
    </row>
    <row r="14" spans="1:9" x14ac:dyDescent="0.25">
      <c r="C14" s="492" t="s">
        <v>405</v>
      </c>
      <c r="D14" s="493" t="s">
        <v>806</v>
      </c>
      <c r="E14" s="494">
        <v>1</v>
      </c>
      <c r="G14" s="487" t="s">
        <v>405</v>
      </c>
      <c r="H14" s="252" t="s">
        <v>806</v>
      </c>
      <c r="I14" s="488">
        <v>0.999</v>
      </c>
    </row>
    <row r="15" spans="1:9" x14ac:dyDescent="0.25">
      <c r="C15" s="495">
        <v>1</v>
      </c>
      <c r="D15" s="496">
        <v>2</v>
      </c>
      <c r="E15" s="497">
        <v>0.37</v>
      </c>
      <c r="G15" s="180">
        <v>1</v>
      </c>
      <c r="H15" s="7">
        <v>2</v>
      </c>
      <c r="I15" s="181">
        <v>0.40899999999999997</v>
      </c>
    </row>
    <row r="16" spans="1:9" x14ac:dyDescent="0.25">
      <c r="C16" s="495">
        <v>1</v>
      </c>
      <c r="D16" s="496">
        <v>3</v>
      </c>
      <c r="E16" s="497">
        <v>1</v>
      </c>
      <c r="G16" s="180">
        <v>1</v>
      </c>
      <c r="H16" s="7">
        <v>3</v>
      </c>
      <c r="I16" s="181">
        <v>1</v>
      </c>
    </row>
    <row r="17" spans="3:9" x14ac:dyDescent="0.25">
      <c r="C17" s="498">
        <v>2</v>
      </c>
      <c r="D17" s="499">
        <v>3</v>
      </c>
      <c r="E17" s="500">
        <v>0.8</v>
      </c>
      <c r="G17" s="479">
        <v>2</v>
      </c>
      <c r="H17" s="469">
        <v>3</v>
      </c>
      <c r="I17" s="480">
        <v>0.81100000000000005</v>
      </c>
    </row>
    <row r="18" spans="3:9" x14ac:dyDescent="0.25">
      <c r="C18" s="14" t="s">
        <v>815</v>
      </c>
      <c r="G18" s="14" t="s">
        <v>816</v>
      </c>
    </row>
    <row r="20" spans="3:9" x14ac:dyDescent="0.25">
      <c r="C20" s="487" t="s">
        <v>405</v>
      </c>
      <c r="D20" s="266" t="s">
        <v>806</v>
      </c>
      <c r="E20" s="488">
        <v>1</v>
      </c>
      <c r="G20" s="487" t="s">
        <v>405</v>
      </c>
      <c r="H20" s="252" t="s">
        <v>806</v>
      </c>
      <c r="I20" s="488">
        <v>1</v>
      </c>
    </row>
    <row r="21" spans="3:9" x14ac:dyDescent="0.25">
      <c r="C21" s="180">
        <v>1</v>
      </c>
      <c r="D21" s="23">
        <v>2</v>
      </c>
      <c r="E21" s="181">
        <v>0.82</v>
      </c>
      <c r="G21" s="180">
        <v>1</v>
      </c>
      <c r="H21" s="7">
        <v>2</v>
      </c>
      <c r="I21" s="181">
        <v>0.78900000000000003</v>
      </c>
    </row>
    <row r="22" spans="3:9" x14ac:dyDescent="0.25">
      <c r="C22" s="180">
        <v>1</v>
      </c>
      <c r="D22" s="23">
        <v>3</v>
      </c>
      <c r="E22" s="181">
        <v>1</v>
      </c>
      <c r="G22" s="180">
        <v>1</v>
      </c>
      <c r="H22" s="7">
        <v>3</v>
      </c>
      <c r="I22" s="181">
        <v>1</v>
      </c>
    </row>
    <row r="23" spans="3:9" x14ac:dyDescent="0.25">
      <c r="C23" s="479">
        <v>2</v>
      </c>
      <c r="D23" s="491">
        <v>3</v>
      </c>
      <c r="E23" s="480">
        <v>0.99</v>
      </c>
      <c r="G23" s="479">
        <v>2</v>
      </c>
      <c r="H23" s="469">
        <v>3</v>
      </c>
      <c r="I23" s="480">
        <v>0.98799999999999999</v>
      </c>
    </row>
    <row r="24" spans="3:9" x14ac:dyDescent="0.25">
      <c r="C24" s="14" t="s">
        <v>817</v>
      </c>
      <c r="G24" s="14" t="s">
        <v>818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M44"/>
  <sheetViews>
    <sheetView workbookViewId="0"/>
  </sheetViews>
  <sheetFormatPr defaultRowHeight="15" x14ac:dyDescent="0.25"/>
  <sheetData>
    <row r="1" spans="1:39" x14ac:dyDescent="0.25">
      <c r="A1" s="1" t="s">
        <v>704</v>
      </c>
    </row>
    <row r="3" spans="1:39" x14ac:dyDescent="0.25">
      <c r="A3" s="388" t="s">
        <v>59</v>
      </c>
      <c r="B3" s="388" t="s">
        <v>60</v>
      </c>
      <c r="C3" s="388" t="s">
        <v>65</v>
      </c>
      <c r="E3" t="s">
        <v>126</v>
      </c>
      <c r="O3" t="s">
        <v>705</v>
      </c>
      <c r="AC3" t="s">
        <v>705</v>
      </c>
      <c r="AI3" t="s">
        <v>706</v>
      </c>
    </row>
    <row r="4" spans="1:39" ht="15.75" thickBot="1" x14ac:dyDescent="0.3">
      <c r="A4" s="389">
        <v>50</v>
      </c>
      <c r="B4" s="389">
        <v>44</v>
      </c>
      <c r="C4" s="389">
        <v>16</v>
      </c>
    </row>
    <row r="5" spans="1:39" ht="16.5" thickTop="1" thickBot="1" x14ac:dyDescent="0.3">
      <c r="A5" s="389">
        <v>39</v>
      </c>
      <c r="B5" s="389">
        <v>31</v>
      </c>
      <c r="C5" s="389">
        <v>60</v>
      </c>
      <c r="E5" t="s">
        <v>127</v>
      </c>
      <c r="J5" t="s">
        <v>31</v>
      </c>
      <c r="K5">
        <v>0.05</v>
      </c>
      <c r="O5" s="251" t="s">
        <v>599</v>
      </c>
      <c r="P5" s="251" t="s">
        <v>25</v>
      </c>
      <c r="Q5" s="251" t="s">
        <v>521</v>
      </c>
      <c r="R5" s="251" t="s">
        <v>377</v>
      </c>
      <c r="S5" s="251" t="s">
        <v>600</v>
      </c>
      <c r="AC5" s="251" t="s">
        <v>599</v>
      </c>
      <c r="AD5" s="251" t="s">
        <v>25</v>
      </c>
      <c r="AE5" s="251" t="s">
        <v>521</v>
      </c>
      <c r="AF5" s="251" t="s">
        <v>377</v>
      </c>
      <c r="AG5" s="251" t="s">
        <v>600</v>
      </c>
      <c r="AI5" s="251" t="s">
        <v>599</v>
      </c>
      <c r="AJ5" s="251" t="s">
        <v>25</v>
      </c>
      <c r="AK5" s="251" t="s">
        <v>521</v>
      </c>
      <c r="AL5" s="251" t="s">
        <v>377</v>
      </c>
      <c r="AM5" s="251" t="s">
        <v>600</v>
      </c>
    </row>
    <row r="6" spans="1:39" ht="15.75" thickTop="1" x14ac:dyDescent="0.25">
      <c r="A6" s="389">
        <v>42</v>
      </c>
      <c r="B6" s="389">
        <v>50</v>
      </c>
      <c r="C6" s="389">
        <v>24</v>
      </c>
      <c r="E6" s="251" t="s">
        <v>61</v>
      </c>
      <c r="F6" s="251" t="s">
        <v>19</v>
      </c>
      <c r="G6" s="251" t="s">
        <v>18</v>
      </c>
      <c r="H6" s="251" t="s">
        <v>7</v>
      </c>
      <c r="I6" s="251" t="s">
        <v>62</v>
      </c>
      <c r="J6" s="251" t="s">
        <v>88</v>
      </c>
      <c r="K6" s="251" t="s">
        <v>50</v>
      </c>
      <c r="L6" s="251" t="s">
        <v>110</v>
      </c>
      <c r="M6" s="251" t="s">
        <v>111</v>
      </c>
      <c r="O6">
        <v>0</v>
      </c>
      <c r="P6">
        <v>0</v>
      </c>
      <c r="Q6">
        <f>P6</f>
        <v>0</v>
      </c>
      <c r="R6">
        <f>P6/P$20</f>
        <v>0</v>
      </c>
      <c r="S6">
        <f>Q6/P$20</f>
        <v>0</v>
      </c>
      <c r="AC6">
        <v>0</v>
      </c>
      <c r="AD6">
        <v>0</v>
      </c>
      <c r="AE6">
        <f>AD6</f>
        <v>0</v>
      </c>
      <c r="AF6">
        <f>AD6/AD$38</f>
        <v>0</v>
      </c>
      <c r="AG6">
        <f>AE6/AD$38</f>
        <v>0</v>
      </c>
      <c r="AI6">
        <v>0</v>
      </c>
      <c r="AJ6">
        <v>0</v>
      </c>
      <c r="AK6">
        <f>AJ6</f>
        <v>0</v>
      </c>
      <c r="AL6">
        <f>AJ6/AJ$20</f>
        <v>0</v>
      </c>
      <c r="AM6">
        <f>AK6/AJ$20</f>
        <v>0</v>
      </c>
    </row>
    <row r="7" spans="1:39" x14ac:dyDescent="0.25">
      <c r="A7" s="389">
        <v>45</v>
      </c>
      <c r="B7" s="389">
        <v>22</v>
      </c>
      <c r="C7" s="389">
        <v>19</v>
      </c>
      <c r="E7" t="str">
        <f>A3</f>
        <v>New</v>
      </c>
      <c r="F7">
        <f>COUNT(A4:A13)</f>
        <v>10</v>
      </c>
      <c r="G7">
        <f>SUM(A4:A13)</f>
        <v>430</v>
      </c>
      <c r="H7">
        <f>AVERAGE(A4:A13)</f>
        <v>43</v>
      </c>
      <c r="I7">
        <f>VAR(A4:A13)</f>
        <v>16.222222222222221</v>
      </c>
      <c r="J7">
        <f>DEVSQ(A4:A13)</f>
        <v>146</v>
      </c>
      <c r="K7">
        <f>SQRT(H14/F7)</f>
        <v>3.3526868716388143</v>
      </c>
      <c r="L7">
        <f>H7-K7*TINV(K5,F7-1)</f>
        <v>35.41569537870275</v>
      </c>
      <c r="M7">
        <f>H7+K7*TINV(K5,F7-1)</f>
        <v>50.58430462129725</v>
      </c>
      <c r="O7">
        <f>O6+0.5</f>
        <v>0.5</v>
      </c>
      <c r="P7">
        <v>3879</v>
      </c>
      <c r="Q7">
        <f>Q6+P7</f>
        <v>3879</v>
      </c>
      <c r="R7">
        <f t="shared" ref="R7:R19" si="0">P7/P$20</f>
        <v>0.38790000000000002</v>
      </c>
      <c r="S7">
        <f t="shared" ref="S7:S19" si="1">Q7/P$20</f>
        <v>0.38790000000000002</v>
      </c>
      <c r="AC7">
        <f>AC6+0.2</f>
        <v>0.2</v>
      </c>
      <c r="AD7">
        <v>357</v>
      </c>
      <c r="AE7">
        <f>AE6+AD7</f>
        <v>357</v>
      </c>
      <c r="AF7">
        <f t="shared" ref="AF7:AF37" si="2">AD7/AD$38</f>
        <v>0.17849999999999999</v>
      </c>
      <c r="AG7">
        <f t="shared" ref="AG7:AG37" si="3">AE7/AD$38</f>
        <v>0.17849999999999999</v>
      </c>
      <c r="AI7">
        <f>AI6+0.5</f>
        <v>0.5</v>
      </c>
      <c r="AJ7">
        <v>3927</v>
      </c>
      <c r="AK7">
        <f>AK6+AJ7</f>
        <v>3927</v>
      </c>
      <c r="AL7">
        <f t="shared" ref="AL7:AL19" si="4">AJ7/AJ$20</f>
        <v>0.39269999999999999</v>
      </c>
      <c r="AM7">
        <f t="shared" ref="AM7:AM19" si="5">AK7/AJ$20</f>
        <v>0.39269999999999999</v>
      </c>
    </row>
    <row r="8" spans="1:39" x14ac:dyDescent="0.25">
      <c r="A8" s="389">
        <v>38</v>
      </c>
      <c r="B8" s="389">
        <v>30</v>
      </c>
      <c r="C8" s="389">
        <v>31</v>
      </c>
      <c r="E8" t="str">
        <f>B3</f>
        <v>Old</v>
      </c>
      <c r="F8">
        <f>COUNT(B4:B13)</f>
        <v>9</v>
      </c>
      <c r="G8">
        <f>SUM(B4:B13)</f>
        <v>301</v>
      </c>
      <c r="H8">
        <f>AVERAGE(B4:B13)</f>
        <v>33.444444444444443</v>
      </c>
      <c r="I8">
        <f>VAR(B4:B13)</f>
        <v>86.527777777777828</v>
      </c>
      <c r="J8">
        <f>DEVSQ(B4:B13)</f>
        <v>692.22222222222217</v>
      </c>
      <c r="K8">
        <f>SQRT(H14/F8)</f>
        <v>3.5340422652410779</v>
      </c>
      <c r="L8">
        <f>H8-K8*TINV(K5,F8-1)</f>
        <v>25.294928366812215</v>
      </c>
      <c r="M8">
        <f>H8+K8*TINV(K5,F8-1)</f>
        <v>41.593960522076671</v>
      </c>
      <c r="O8">
        <f t="shared" ref="O8:O18" si="6">O7+0.5</f>
        <v>1</v>
      </c>
      <c r="P8">
        <v>2281</v>
      </c>
      <c r="Q8">
        <f t="shared" ref="Q8:Q19" si="7">Q7+P8</f>
        <v>6160</v>
      </c>
      <c r="R8">
        <f t="shared" si="0"/>
        <v>0.2281</v>
      </c>
      <c r="S8">
        <f t="shared" si="1"/>
        <v>0.61599999999999999</v>
      </c>
      <c r="AC8">
        <f t="shared" ref="AC8:AC36" si="8">AC7+0.2</f>
        <v>0.4</v>
      </c>
      <c r="AD8">
        <v>314</v>
      </c>
      <c r="AE8">
        <f t="shared" ref="AE8:AE37" si="9">AE7+AD8</f>
        <v>671</v>
      </c>
      <c r="AF8">
        <f t="shared" si="2"/>
        <v>0.157</v>
      </c>
      <c r="AG8">
        <f t="shared" si="3"/>
        <v>0.33550000000000002</v>
      </c>
      <c r="AI8">
        <f t="shared" ref="AI8:AI18" si="10">AI7+0.5</f>
        <v>1</v>
      </c>
      <c r="AJ8">
        <v>2310</v>
      </c>
      <c r="AK8">
        <f t="shared" ref="AK8:AK19" si="11">AK7+AJ8</f>
        <v>6237</v>
      </c>
      <c r="AL8">
        <f t="shared" si="4"/>
        <v>0.23100000000000001</v>
      </c>
      <c r="AM8">
        <f t="shared" si="5"/>
        <v>0.62370000000000003</v>
      </c>
    </row>
    <row r="9" spans="1:39" x14ac:dyDescent="0.25">
      <c r="A9" s="389">
        <v>44</v>
      </c>
      <c r="B9" s="389">
        <v>27</v>
      </c>
      <c r="C9" s="389">
        <v>37</v>
      </c>
      <c r="E9" t="str">
        <f>C3</f>
        <v>Control</v>
      </c>
      <c r="F9">
        <f>COUNT(C4:C13)</f>
        <v>8</v>
      </c>
      <c r="G9">
        <f>SUM(C4:C13)</f>
        <v>286</v>
      </c>
      <c r="H9">
        <f>AVERAGE(C4:C13)</f>
        <v>35.75</v>
      </c>
      <c r="I9">
        <f>VAR(C4:C13)</f>
        <v>265.64285714285717</v>
      </c>
      <c r="J9">
        <f>DEVSQ(C4:C13)</f>
        <v>1859.5</v>
      </c>
      <c r="K9">
        <f>SQRT(H14/F9)</f>
        <v>3.7484178761277502</v>
      </c>
      <c r="L9">
        <f>H9-K9*TINV(K5,F9-1)</f>
        <v>26.886400185004405</v>
      </c>
      <c r="M9">
        <f>H9+K9*TINV(K5,F9-1)</f>
        <v>44.613599814995595</v>
      </c>
      <c r="O9">
        <f t="shared" si="6"/>
        <v>1.5</v>
      </c>
      <c r="P9">
        <v>1402</v>
      </c>
      <c r="Q9">
        <f t="shared" si="7"/>
        <v>7562</v>
      </c>
      <c r="R9">
        <f t="shared" si="0"/>
        <v>0.14019999999999999</v>
      </c>
      <c r="S9">
        <f t="shared" si="1"/>
        <v>0.75619999999999998</v>
      </c>
      <c r="AC9">
        <f t="shared" si="8"/>
        <v>0.60000000000000009</v>
      </c>
      <c r="AD9">
        <v>245</v>
      </c>
      <c r="AE9">
        <f t="shared" si="9"/>
        <v>916</v>
      </c>
      <c r="AF9">
        <f t="shared" si="2"/>
        <v>0.1225</v>
      </c>
      <c r="AG9">
        <f t="shared" si="3"/>
        <v>0.45800000000000002</v>
      </c>
      <c r="AI9">
        <f t="shared" si="10"/>
        <v>1.5</v>
      </c>
      <c r="AJ9">
        <v>1382</v>
      </c>
      <c r="AK9">
        <f t="shared" si="11"/>
        <v>7619</v>
      </c>
      <c r="AL9">
        <f t="shared" si="4"/>
        <v>0.13819999999999999</v>
      </c>
      <c r="AM9">
        <f t="shared" si="5"/>
        <v>0.76190000000000002</v>
      </c>
    </row>
    <row r="10" spans="1:39" x14ac:dyDescent="0.25">
      <c r="A10" s="389">
        <v>40</v>
      </c>
      <c r="B10" s="389">
        <v>32</v>
      </c>
      <c r="C10" s="389">
        <v>44</v>
      </c>
      <c r="E10" s="385"/>
      <c r="F10" s="385"/>
      <c r="G10" s="385"/>
      <c r="H10" s="385"/>
      <c r="I10" s="385"/>
      <c r="J10" s="385"/>
      <c r="K10" s="385"/>
      <c r="L10" s="385"/>
      <c r="M10" s="385"/>
      <c r="O10">
        <f t="shared" si="6"/>
        <v>2</v>
      </c>
      <c r="P10">
        <v>858</v>
      </c>
      <c r="Q10">
        <f t="shared" si="7"/>
        <v>8420</v>
      </c>
      <c r="R10">
        <f t="shared" si="0"/>
        <v>8.5800000000000001E-2</v>
      </c>
      <c r="S10">
        <f t="shared" si="1"/>
        <v>0.84199999999999997</v>
      </c>
      <c r="AC10">
        <f t="shared" si="8"/>
        <v>0.8</v>
      </c>
      <c r="AD10">
        <v>168</v>
      </c>
      <c r="AE10">
        <f t="shared" si="9"/>
        <v>1084</v>
      </c>
      <c r="AF10">
        <f t="shared" si="2"/>
        <v>8.4000000000000005E-2</v>
      </c>
      <c r="AG10">
        <f t="shared" si="3"/>
        <v>0.54200000000000004</v>
      </c>
      <c r="AI10">
        <f t="shared" si="10"/>
        <v>2</v>
      </c>
      <c r="AJ10">
        <v>872</v>
      </c>
      <c r="AK10">
        <f t="shared" si="11"/>
        <v>8491</v>
      </c>
      <c r="AL10">
        <f t="shared" si="4"/>
        <v>8.72E-2</v>
      </c>
      <c r="AM10">
        <f t="shared" si="5"/>
        <v>0.84909999999999997</v>
      </c>
    </row>
    <row r="11" spans="1:39" ht="15.75" thickBot="1" x14ac:dyDescent="0.3">
      <c r="A11" s="389">
        <v>49</v>
      </c>
      <c r="B11" s="389">
        <v>25</v>
      </c>
      <c r="C11" s="389">
        <v>55</v>
      </c>
      <c r="E11" t="s">
        <v>101</v>
      </c>
      <c r="O11">
        <f t="shared" si="6"/>
        <v>2.5</v>
      </c>
      <c r="P11">
        <v>562</v>
      </c>
      <c r="Q11">
        <f t="shared" si="7"/>
        <v>8982</v>
      </c>
      <c r="R11">
        <f t="shared" si="0"/>
        <v>5.62E-2</v>
      </c>
      <c r="S11">
        <f t="shared" si="1"/>
        <v>0.8982</v>
      </c>
      <c r="AC11">
        <f t="shared" si="8"/>
        <v>1</v>
      </c>
      <c r="AD11">
        <v>155</v>
      </c>
      <c r="AE11">
        <f t="shared" si="9"/>
        <v>1239</v>
      </c>
      <c r="AF11">
        <f t="shared" si="2"/>
        <v>7.7499999999999999E-2</v>
      </c>
      <c r="AG11">
        <f t="shared" si="3"/>
        <v>0.61950000000000005</v>
      </c>
      <c r="AI11">
        <f t="shared" si="10"/>
        <v>2.5</v>
      </c>
      <c r="AJ11">
        <v>556</v>
      </c>
      <c r="AK11">
        <f t="shared" si="11"/>
        <v>9047</v>
      </c>
      <c r="AL11">
        <f t="shared" si="4"/>
        <v>5.5599999999999997E-2</v>
      </c>
      <c r="AM11">
        <f t="shared" si="5"/>
        <v>0.90469999999999995</v>
      </c>
    </row>
    <row r="12" spans="1:39" ht="15.75" thickTop="1" x14ac:dyDescent="0.25">
      <c r="A12" s="389">
        <v>42</v>
      </c>
      <c r="B12" s="389">
        <v>40</v>
      </c>
      <c r="C12" s="389"/>
      <c r="E12" s="251" t="s">
        <v>128</v>
      </c>
      <c r="F12" s="251" t="s">
        <v>88</v>
      </c>
      <c r="G12" s="251" t="s">
        <v>51</v>
      </c>
      <c r="H12" s="251" t="s">
        <v>92</v>
      </c>
      <c r="I12" s="251" t="s">
        <v>82</v>
      </c>
      <c r="J12" s="251" t="s">
        <v>129</v>
      </c>
      <c r="K12" s="251" t="s">
        <v>878</v>
      </c>
      <c r="L12" s="251" t="s">
        <v>383</v>
      </c>
      <c r="M12" s="251" t="s">
        <v>384</v>
      </c>
      <c r="O12">
        <f t="shared" si="6"/>
        <v>3</v>
      </c>
      <c r="P12">
        <v>348</v>
      </c>
      <c r="Q12">
        <f t="shared" si="7"/>
        <v>9330</v>
      </c>
      <c r="R12">
        <f t="shared" si="0"/>
        <v>3.4799999999999998E-2</v>
      </c>
      <c r="S12">
        <f t="shared" si="1"/>
        <v>0.93300000000000005</v>
      </c>
      <c r="AC12">
        <f t="shared" si="8"/>
        <v>1.2</v>
      </c>
      <c r="AD12">
        <v>130</v>
      </c>
      <c r="AE12">
        <f t="shared" si="9"/>
        <v>1369</v>
      </c>
      <c r="AF12">
        <f t="shared" si="2"/>
        <v>6.5000000000000002E-2</v>
      </c>
      <c r="AG12">
        <f t="shared" si="3"/>
        <v>0.6845</v>
      </c>
      <c r="AI12">
        <f t="shared" si="10"/>
        <v>3</v>
      </c>
      <c r="AJ12">
        <v>312</v>
      </c>
      <c r="AK12">
        <f t="shared" si="11"/>
        <v>9359</v>
      </c>
      <c r="AL12">
        <f t="shared" si="4"/>
        <v>3.1199999999999999E-2</v>
      </c>
      <c r="AM12">
        <f t="shared" si="5"/>
        <v>0.93589999999999995</v>
      </c>
    </row>
    <row r="13" spans="1:39" x14ac:dyDescent="0.25">
      <c r="A13" s="390">
        <v>41</v>
      </c>
      <c r="B13" s="390"/>
      <c r="C13" s="390"/>
      <c r="E13" t="s">
        <v>131</v>
      </c>
      <c r="F13">
        <f>F15-F14</f>
        <v>474.27777777777828</v>
      </c>
      <c r="G13">
        <f>COUNTA(E7:E9)-1</f>
        <v>2</v>
      </c>
      <c r="H13">
        <f>F13/G13</f>
        <v>237.13888888888914</v>
      </c>
      <c r="I13">
        <f>H13/H14</f>
        <v>2.1096810066105172</v>
      </c>
      <c r="J13">
        <f>FDIST(I13,G13,G14)</f>
        <v>0.14320843844209949</v>
      </c>
      <c r="K13">
        <f>F13/F15</f>
        <v>0.14952010648731973</v>
      </c>
      <c r="L13">
        <f>SQRT(DEVSQ(H7:H9)/(H14*G13))</f>
        <v>0.47032328011464403</v>
      </c>
      <c r="M13">
        <f>(F15-G15*H14)/(F15+H14)</f>
        <v>7.5955183833816359E-2</v>
      </c>
      <c r="O13">
        <f t="shared" si="6"/>
        <v>3.5</v>
      </c>
      <c r="P13">
        <v>220</v>
      </c>
      <c r="Q13">
        <f t="shared" si="7"/>
        <v>9550</v>
      </c>
      <c r="R13">
        <f t="shared" si="0"/>
        <v>2.1999999999999999E-2</v>
      </c>
      <c r="S13">
        <f t="shared" si="1"/>
        <v>0.95499999999999996</v>
      </c>
      <c r="AC13">
        <f t="shared" si="8"/>
        <v>1.4</v>
      </c>
      <c r="AD13">
        <v>109</v>
      </c>
      <c r="AE13">
        <f t="shared" si="9"/>
        <v>1478</v>
      </c>
      <c r="AF13">
        <f t="shared" si="2"/>
        <v>5.45E-2</v>
      </c>
      <c r="AG13">
        <f t="shared" si="3"/>
        <v>0.73899999999999999</v>
      </c>
      <c r="AI13">
        <f t="shared" si="10"/>
        <v>3.5</v>
      </c>
      <c r="AJ13">
        <v>213</v>
      </c>
      <c r="AK13">
        <f t="shared" si="11"/>
        <v>9572</v>
      </c>
      <c r="AL13">
        <f t="shared" si="4"/>
        <v>2.1299999999999999E-2</v>
      </c>
      <c r="AM13">
        <f t="shared" si="5"/>
        <v>0.95720000000000005</v>
      </c>
    </row>
    <row r="14" spans="1:39" x14ac:dyDescent="0.25">
      <c r="E14" t="s">
        <v>132</v>
      </c>
      <c r="F14">
        <f>SUM(J7:J9)</f>
        <v>2697.7222222222222</v>
      </c>
      <c r="G14">
        <f>G15-G13</f>
        <v>24</v>
      </c>
      <c r="H14">
        <f>F14/G14</f>
        <v>112.4050925925926</v>
      </c>
      <c r="O14">
        <f t="shared" si="6"/>
        <v>4</v>
      </c>
      <c r="P14">
        <v>141</v>
      </c>
      <c r="Q14">
        <f t="shared" si="7"/>
        <v>9691</v>
      </c>
      <c r="R14">
        <f t="shared" si="0"/>
        <v>1.41E-2</v>
      </c>
      <c r="S14">
        <f t="shared" si="1"/>
        <v>0.96909999999999996</v>
      </c>
      <c r="AC14">
        <f t="shared" si="8"/>
        <v>1.5999999999999999</v>
      </c>
      <c r="AD14">
        <v>80</v>
      </c>
      <c r="AE14">
        <f t="shared" si="9"/>
        <v>1558</v>
      </c>
      <c r="AF14">
        <f t="shared" si="2"/>
        <v>0.04</v>
      </c>
      <c r="AG14">
        <f t="shared" si="3"/>
        <v>0.77900000000000003</v>
      </c>
      <c r="AI14">
        <f t="shared" si="10"/>
        <v>4</v>
      </c>
      <c r="AJ14">
        <v>139</v>
      </c>
      <c r="AK14">
        <f t="shared" si="11"/>
        <v>9711</v>
      </c>
      <c r="AL14">
        <f t="shared" si="4"/>
        <v>1.3899999999999999E-2</v>
      </c>
      <c r="AM14">
        <f t="shared" si="5"/>
        <v>0.97109999999999996</v>
      </c>
    </row>
    <row r="15" spans="1:39" x14ac:dyDescent="0.25">
      <c r="E15" s="224" t="s">
        <v>1</v>
      </c>
      <c r="F15" s="224">
        <f>DEVSQ(A4:C13)</f>
        <v>3172.0000000000005</v>
      </c>
      <c r="G15" s="224">
        <f>COUNT(A4:C13)-1</f>
        <v>26</v>
      </c>
      <c r="H15" s="224">
        <f>F15/G15</f>
        <v>122.00000000000001</v>
      </c>
      <c r="I15" s="224"/>
      <c r="J15" s="224"/>
      <c r="K15" s="224"/>
      <c r="L15" s="224"/>
      <c r="M15" s="224"/>
      <c r="O15">
        <f t="shared" si="6"/>
        <v>4.5</v>
      </c>
      <c r="P15">
        <v>83</v>
      </c>
      <c r="Q15">
        <f t="shared" si="7"/>
        <v>9774</v>
      </c>
      <c r="R15">
        <f t="shared" si="0"/>
        <v>8.3000000000000001E-3</v>
      </c>
      <c r="S15">
        <f t="shared" si="1"/>
        <v>0.97740000000000005</v>
      </c>
      <c r="AC15">
        <f t="shared" si="8"/>
        <v>1.7999999999999998</v>
      </c>
      <c r="AD15">
        <v>60</v>
      </c>
      <c r="AE15">
        <f t="shared" si="9"/>
        <v>1618</v>
      </c>
      <c r="AF15">
        <f t="shared" si="2"/>
        <v>0.03</v>
      </c>
      <c r="AG15">
        <f t="shared" si="3"/>
        <v>0.80900000000000005</v>
      </c>
      <c r="AI15">
        <f t="shared" si="10"/>
        <v>4.5</v>
      </c>
      <c r="AJ15">
        <v>87</v>
      </c>
      <c r="AK15">
        <f t="shared" si="11"/>
        <v>9798</v>
      </c>
      <c r="AL15">
        <f t="shared" si="4"/>
        <v>8.6999999999999994E-3</v>
      </c>
      <c r="AM15">
        <f t="shared" si="5"/>
        <v>0.9798</v>
      </c>
    </row>
    <row r="16" spans="1:39" x14ac:dyDescent="0.25">
      <c r="O16">
        <f t="shared" si="6"/>
        <v>5</v>
      </c>
      <c r="P16">
        <v>72</v>
      </c>
      <c r="Q16">
        <f t="shared" si="7"/>
        <v>9846</v>
      </c>
      <c r="R16">
        <f t="shared" si="0"/>
        <v>7.1999999999999998E-3</v>
      </c>
      <c r="S16">
        <f t="shared" si="1"/>
        <v>0.98460000000000003</v>
      </c>
      <c r="AC16">
        <f t="shared" si="8"/>
        <v>1.9999999999999998</v>
      </c>
      <c r="AD16">
        <v>80</v>
      </c>
      <c r="AE16">
        <f t="shared" si="9"/>
        <v>1698</v>
      </c>
      <c r="AF16">
        <f t="shared" si="2"/>
        <v>0.04</v>
      </c>
      <c r="AG16">
        <f t="shared" si="3"/>
        <v>0.84899999999999998</v>
      </c>
      <c r="AI16">
        <f t="shared" si="10"/>
        <v>5</v>
      </c>
      <c r="AJ16">
        <v>58</v>
      </c>
      <c r="AK16">
        <f t="shared" si="11"/>
        <v>9856</v>
      </c>
      <c r="AL16">
        <f t="shared" si="4"/>
        <v>5.7999999999999996E-3</v>
      </c>
      <c r="AM16">
        <f t="shared" si="5"/>
        <v>0.98560000000000003</v>
      </c>
    </row>
    <row r="17" spans="15:39" x14ac:dyDescent="0.25">
      <c r="O17">
        <f t="shared" si="6"/>
        <v>5.5</v>
      </c>
      <c r="P17">
        <v>55</v>
      </c>
      <c r="Q17">
        <f t="shared" si="7"/>
        <v>9901</v>
      </c>
      <c r="R17">
        <f t="shared" si="0"/>
        <v>5.4999999999999997E-3</v>
      </c>
      <c r="S17">
        <f t="shared" si="1"/>
        <v>0.99009999999999998</v>
      </c>
      <c r="AC17">
        <f t="shared" si="8"/>
        <v>2.1999999999999997</v>
      </c>
      <c r="AD17">
        <v>56</v>
      </c>
      <c r="AE17">
        <f t="shared" si="9"/>
        <v>1754</v>
      </c>
      <c r="AF17">
        <f t="shared" si="2"/>
        <v>2.8000000000000001E-2</v>
      </c>
      <c r="AG17">
        <f t="shared" si="3"/>
        <v>0.877</v>
      </c>
      <c r="AI17">
        <f t="shared" si="10"/>
        <v>5.5</v>
      </c>
      <c r="AJ17">
        <v>37</v>
      </c>
      <c r="AK17">
        <f t="shared" si="11"/>
        <v>9893</v>
      </c>
      <c r="AL17">
        <f t="shared" si="4"/>
        <v>3.7000000000000002E-3</v>
      </c>
      <c r="AM17">
        <f t="shared" si="5"/>
        <v>0.98929999999999996</v>
      </c>
    </row>
    <row r="18" spans="15:39" x14ac:dyDescent="0.25">
      <c r="O18">
        <f t="shared" si="6"/>
        <v>6</v>
      </c>
      <c r="P18">
        <v>28</v>
      </c>
      <c r="Q18">
        <f t="shared" si="7"/>
        <v>9929</v>
      </c>
      <c r="R18">
        <f t="shared" si="0"/>
        <v>2.8E-3</v>
      </c>
      <c r="S18">
        <f t="shared" si="1"/>
        <v>0.9929</v>
      </c>
      <c r="AC18">
        <f t="shared" si="8"/>
        <v>2.4</v>
      </c>
      <c r="AD18">
        <v>40</v>
      </c>
      <c r="AE18">
        <f t="shared" si="9"/>
        <v>1794</v>
      </c>
      <c r="AF18">
        <f t="shared" si="2"/>
        <v>0.02</v>
      </c>
      <c r="AG18">
        <f t="shared" si="3"/>
        <v>0.89700000000000002</v>
      </c>
      <c r="AI18">
        <f t="shared" si="10"/>
        <v>6</v>
      </c>
      <c r="AJ18">
        <v>28</v>
      </c>
      <c r="AK18">
        <f t="shared" si="11"/>
        <v>9921</v>
      </c>
      <c r="AL18">
        <f t="shared" si="4"/>
        <v>2.8E-3</v>
      </c>
      <c r="AM18">
        <f t="shared" si="5"/>
        <v>0.99209999999999998</v>
      </c>
    </row>
    <row r="19" spans="15:39" x14ac:dyDescent="0.25">
      <c r="O19" s="224" t="s">
        <v>29</v>
      </c>
      <c r="P19" s="224">
        <v>71</v>
      </c>
      <c r="Q19" s="224">
        <f t="shared" si="7"/>
        <v>10000</v>
      </c>
      <c r="R19" s="224">
        <f t="shared" si="0"/>
        <v>7.1000000000000004E-3</v>
      </c>
      <c r="S19" s="224">
        <f t="shared" si="1"/>
        <v>1</v>
      </c>
      <c r="AC19">
        <f t="shared" si="8"/>
        <v>2.6</v>
      </c>
      <c r="AD19">
        <v>33</v>
      </c>
      <c r="AE19">
        <f t="shared" si="9"/>
        <v>1827</v>
      </c>
      <c r="AF19">
        <f t="shared" si="2"/>
        <v>1.6500000000000001E-2</v>
      </c>
      <c r="AG19">
        <f t="shared" si="3"/>
        <v>0.91349999999999998</v>
      </c>
      <c r="AI19" s="224" t="s">
        <v>29</v>
      </c>
      <c r="AJ19" s="224">
        <v>79</v>
      </c>
      <c r="AK19" s="224">
        <f t="shared" si="11"/>
        <v>10000</v>
      </c>
      <c r="AL19" s="224">
        <f t="shared" si="4"/>
        <v>7.9000000000000008E-3</v>
      </c>
      <c r="AM19" s="224">
        <f t="shared" si="5"/>
        <v>1</v>
      </c>
    </row>
    <row r="20" spans="15:39" x14ac:dyDescent="0.25">
      <c r="P20">
        <f>SUM(P6:P19)</f>
        <v>10000</v>
      </c>
      <c r="AC20">
        <f t="shared" si="8"/>
        <v>2.8000000000000003</v>
      </c>
      <c r="AD20">
        <v>22</v>
      </c>
      <c r="AE20">
        <f t="shared" si="9"/>
        <v>1849</v>
      </c>
      <c r="AF20">
        <f t="shared" si="2"/>
        <v>1.0999999999999999E-2</v>
      </c>
      <c r="AG20">
        <f t="shared" si="3"/>
        <v>0.92449999999999999</v>
      </c>
      <c r="AJ20">
        <f>SUM(AJ6:AJ19)</f>
        <v>10000</v>
      </c>
    </row>
    <row r="21" spans="15:39" x14ac:dyDescent="0.25">
      <c r="AC21">
        <f t="shared" si="8"/>
        <v>3.0000000000000004</v>
      </c>
      <c r="AD21">
        <v>14</v>
      </c>
      <c r="AE21">
        <f t="shared" si="9"/>
        <v>1863</v>
      </c>
      <c r="AF21">
        <f t="shared" si="2"/>
        <v>7.0000000000000001E-3</v>
      </c>
      <c r="AG21">
        <f t="shared" si="3"/>
        <v>0.93149999999999999</v>
      </c>
    </row>
    <row r="22" spans="15:39" x14ac:dyDescent="0.25">
      <c r="O22" t="s">
        <v>603</v>
      </c>
      <c r="AC22">
        <f t="shared" si="8"/>
        <v>3.2000000000000006</v>
      </c>
      <c r="AD22">
        <v>20</v>
      </c>
      <c r="AE22">
        <f t="shared" si="9"/>
        <v>1883</v>
      </c>
      <c r="AF22">
        <f t="shared" si="2"/>
        <v>0.01</v>
      </c>
      <c r="AG22">
        <f t="shared" si="3"/>
        <v>0.9415</v>
      </c>
      <c r="AI22" t="s">
        <v>603</v>
      </c>
    </row>
    <row r="23" spans="15:39" x14ac:dyDescent="0.25">
      <c r="AC23">
        <f t="shared" si="8"/>
        <v>3.4000000000000008</v>
      </c>
      <c r="AD23">
        <v>17</v>
      </c>
      <c r="AE23">
        <f t="shared" si="9"/>
        <v>1900</v>
      </c>
      <c r="AF23">
        <f t="shared" si="2"/>
        <v>8.5000000000000006E-3</v>
      </c>
      <c r="AG23">
        <f t="shared" si="3"/>
        <v>0.95</v>
      </c>
    </row>
    <row r="24" spans="15:39" x14ac:dyDescent="0.25">
      <c r="O24" t="s">
        <v>70</v>
      </c>
      <c r="P24" s="387">
        <v>0.05</v>
      </c>
      <c r="AC24">
        <f t="shared" si="8"/>
        <v>3.600000000000001</v>
      </c>
      <c r="AD24">
        <v>19</v>
      </c>
      <c r="AE24">
        <f t="shared" si="9"/>
        <v>1919</v>
      </c>
      <c r="AF24">
        <f t="shared" si="2"/>
        <v>9.4999999999999998E-3</v>
      </c>
      <c r="AG24">
        <f t="shared" si="3"/>
        <v>0.95950000000000002</v>
      </c>
      <c r="AI24" t="s">
        <v>70</v>
      </c>
      <c r="AJ24" s="387">
        <v>0.05</v>
      </c>
    </row>
    <row r="25" spans="15:39" x14ac:dyDescent="0.25">
      <c r="O25" t="s">
        <v>604</v>
      </c>
      <c r="P25" s="206">
        <v>2.1096810066105172</v>
      </c>
      <c r="AC25">
        <f t="shared" si="8"/>
        <v>3.8000000000000012</v>
      </c>
      <c r="AD25">
        <v>12</v>
      </c>
      <c r="AE25">
        <f t="shared" si="9"/>
        <v>1931</v>
      </c>
      <c r="AF25">
        <f t="shared" si="2"/>
        <v>6.0000000000000001E-3</v>
      </c>
      <c r="AG25">
        <f t="shared" si="3"/>
        <v>0.96550000000000002</v>
      </c>
      <c r="AI25" t="s">
        <v>604</v>
      </c>
      <c r="AJ25" s="206">
        <v>2.1096810066105172</v>
      </c>
    </row>
    <row r="26" spans="15:39" x14ac:dyDescent="0.25">
      <c r="O26" t="s">
        <v>56</v>
      </c>
      <c r="P26" s="219">
        <v>0.1429</v>
      </c>
      <c r="AC26">
        <f t="shared" si="8"/>
        <v>4.0000000000000009</v>
      </c>
      <c r="AD26">
        <v>6</v>
      </c>
      <c r="AE26">
        <f t="shared" si="9"/>
        <v>1937</v>
      </c>
      <c r="AF26">
        <f t="shared" si="2"/>
        <v>3.0000000000000001E-3</v>
      </c>
      <c r="AG26">
        <f t="shared" si="3"/>
        <v>0.96850000000000003</v>
      </c>
      <c r="AI26" t="s">
        <v>56</v>
      </c>
      <c r="AJ26" s="219">
        <v>0.13719999999999999</v>
      </c>
    </row>
    <row r="27" spans="15:39" x14ac:dyDescent="0.25">
      <c r="AC27">
        <f t="shared" si="8"/>
        <v>4.2000000000000011</v>
      </c>
      <c r="AD27">
        <v>8</v>
      </c>
      <c r="AE27">
        <f t="shared" si="9"/>
        <v>1945</v>
      </c>
      <c r="AF27">
        <f t="shared" si="2"/>
        <v>4.0000000000000001E-3</v>
      </c>
      <c r="AG27">
        <f t="shared" si="3"/>
        <v>0.97250000000000003</v>
      </c>
    </row>
    <row r="28" spans="15:39" x14ac:dyDescent="0.25">
      <c r="AC28">
        <f t="shared" si="8"/>
        <v>4.4000000000000012</v>
      </c>
      <c r="AD28">
        <v>9</v>
      </c>
      <c r="AE28">
        <f t="shared" si="9"/>
        <v>1954</v>
      </c>
      <c r="AF28">
        <f t="shared" si="2"/>
        <v>4.4999999999999997E-3</v>
      </c>
      <c r="AG28">
        <f t="shared" si="3"/>
        <v>0.97699999999999998</v>
      </c>
    </row>
    <row r="29" spans="15:39" x14ac:dyDescent="0.25">
      <c r="AC29">
        <f t="shared" si="8"/>
        <v>4.6000000000000014</v>
      </c>
      <c r="AD29">
        <v>8</v>
      </c>
      <c r="AE29">
        <f t="shared" si="9"/>
        <v>1962</v>
      </c>
      <c r="AF29">
        <f t="shared" si="2"/>
        <v>4.0000000000000001E-3</v>
      </c>
      <c r="AG29">
        <f t="shared" si="3"/>
        <v>0.98099999999999998</v>
      </c>
    </row>
    <row r="30" spans="15:39" x14ac:dyDescent="0.25">
      <c r="AC30">
        <f t="shared" si="8"/>
        <v>4.8000000000000016</v>
      </c>
      <c r="AD30">
        <v>4</v>
      </c>
      <c r="AE30">
        <f t="shared" si="9"/>
        <v>1966</v>
      </c>
      <c r="AF30">
        <f t="shared" si="2"/>
        <v>2E-3</v>
      </c>
      <c r="AG30">
        <f t="shared" si="3"/>
        <v>0.98299999999999998</v>
      </c>
    </row>
    <row r="31" spans="15:39" x14ac:dyDescent="0.25">
      <c r="AC31">
        <f t="shared" si="8"/>
        <v>5.0000000000000018</v>
      </c>
      <c r="AD31">
        <v>4</v>
      </c>
      <c r="AE31">
        <f t="shared" si="9"/>
        <v>1970</v>
      </c>
      <c r="AF31">
        <f t="shared" si="2"/>
        <v>2E-3</v>
      </c>
      <c r="AG31">
        <f t="shared" si="3"/>
        <v>0.98499999999999999</v>
      </c>
    </row>
    <row r="32" spans="15:39" x14ac:dyDescent="0.25">
      <c r="AC32">
        <f t="shared" si="8"/>
        <v>5.200000000000002</v>
      </c>
      <c r="AD32">
        <v>1</v>
      </c>
      <c r="AE32">
        <f t="shared" si="9"/>
        <v>1971</v>
      </c>
      <c r="AF32">
        <f t="shared" si="2"/>
        <v>5.0000000000000001E-4</v>
      </c>
      <c r="AG32">
        <f t="shared" si="3"/>
        <v>0.98550000000000004</v>
      </c>
    </row>
    <row r="33" spans="29:33" x14ac:dyDescent="0.25">
      <c r="AC33">
        <f t="shared" si="8"/>
        <v>5.4000000000000021</v>
      </c>
      <c r="AD33">
        <v>4</v>
      </c>
      <c r="AE33">
        <f t="shared" si="9"/>
        <v>1975</v>
      </c>
      <c r="AF33">
        <f t="shared" si="2"/>
        <v>2E-3</v>
      </c>
      <c r="AG33">
        <f t="shared" si="3"/>
        <v>0.98750000000000004</v>
      </c>
    </row>
    <row r="34" spans="29:33" x14ac:dyDescent="0.25">
      <c r="AC34">
        <f t="shared" si="8"/>
        <v>5.6000000000000023</v>
      </c>
      <c r="AD34">
        <v>1</v>
      </c>
      <c r="AE34">
        <f t="shared" si="9"/>
        <v>1976</v>
      </c>
      <c r="AF34">
        <f t="shared" si="2"/>
        <v>5.0000000000000001E-4</v>
      </c>
      <c r="AG34">
        <f t="shared" si="3"/>
        <v>0.98799999999999999</v>
      </c>
    </row>
    <row r="35" spans="29:33" x14ac:dyDescent="0.25">
      <c r="AC35">
        <f t="shared" si="8"/>
        <v>5.8000000000000025</v>
      </c>
      <c r="AD35">
        <v>4</v>
      </c>
      <c r="AE35">
        <f t="shared" si="9"/>
        <v>1980</v>
      </c>
      <c r="AF35">
        <f t="shared" si="2"/>
        <v>2E-3</v>
      </c>
      <c r="AG35">
        <f t="shared" si="3"/>
        <v>0.99</v>
      </c>
    </row>
    <row r="36" spans="29:33" x14ac:dyDescent="0.25">
      <c r="AC36">
        <f t="shared" si="8"/>
        <v>6.0000000000000027</v>
      </c>
      <c r="AD36">
        <v>1</v>
      </c>
      <c r="AE36">
        <f t="shared" si="9"/>
        <v>1981</v>
      </c>
      <c r="AF36">
        <f t="shared" si="2"/>
        <v>5.0000000000000001E-4</v>
      </c>
      <c r="AG36">
        <f t="shared" si="3"/>
        <v>0.99050000000000005</v>
      </c>
    </row>
    <row r="37" spans="29:33" x14ac:dyDescent="0.25">
      <c r="AC37" s="224" t="s">
        <v>29</v>
      </c>
      <c r="AD37" s="224">
        <v>19</v>
      </c>
      <c r="AE37" s="224">
        <f t="shared" si="9"/>
        <v>2000</v>
      </c>
      <c r="AF37" s="224">
        <f t="shared" si="2"/>
        <v>9.4999999999999998E-3</v>
      </c>
      <c r="AG37" s="224">
        <f t="shared" si="3"/>
        <v>1</v>
      </c>
    </row>
    <row r="38" spans="29:33" x14ac:dyDescent="0.25">
      <c r="AD38">
        <f>SUM(AD6:AD37)</f>
        <v>2000</v>
      </c>
    </row>
    <row r="40" spans="29:33" x14ac:dyDescent="0.25">
      <c r="AC40" t="s">
        <v>603</v>
      </c>
    </row>
    <row r="42" spans="29:33" x14ac:dyDescent="0.25">
      <c r="AC42" t="s">
        <v>70</v>
      </c>
      <c r="AD42" s="387">
        <v>0.05</v>
      </c>
    </row>
    <row r="43" spans="29:33" x14ac:dyDescent="0.25">
      <c r="AC43" t="s">
        <v>604</v>
      </c>
      <c r="AD43" s="206">
        <v>2.1096810066105172</v>
      </c>
    </row>
    <row r="44" spans="29:33" x14ac:dyDescent="0.25">
      <c r="AC44" t="s">
        <v>56</v>
      </c>
      <c r="AD44" s="219">
        <v>0.13750000000000001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6"/>
  <dimension ref="A1:AF94"/>
  <sheetViews>
    <sheetView zoomScale="97" zoomScaleNormal="97" workbookViewId="0"/>
  </sheetViews>
  <sheetFormatPr defaultRowHeight="15" x14ac:dyDescent="0.25"/>
  <sheetData>
    <row r="1" spans="1:29" x14ac:dyDescent="0.25">
      <c r="A1" s="1" t="s">
        <v>607</v>
      </c>
    </row>
    <row r="3" spans="1:29" x14ac:dyDescent="0.25">
      <c r="A3" s="296" t="s">
        <v>59</v>
      </c>
      <c r="B3" s="296" t="s">
        <v>60</v>
      </c>
      <c r="C3" s="296" t="s">
        <v>65</v>
      </c>
      <c r="E3" t="s">
        <v>605</v>
      </c>
      <c r="S3" t="s">
        <v>606</v>
      </c>
      <c r="Y3" t="s">
        <v>606</v>
      </c>
    </row>
    <row r="4" spans="1:29" ht="15.75" thickBot="1" x14ac:dyDescent="0.3">
      <c r="A4" s="199">
        <v>50</v>
      </c>
      <c r="B4" s="200">
        <v>44</v>
      </c>
      <c r="C4" s="201">
        <v>16</v>
      </c>
    </row>
    <row r="5" spans="1:29" ht="15.75" thickTop="1" x14ac:dyDescent="0.25">
      <c r="A5" s="182">
        <v>39</v>
      </c>
      <c r="B5" s="297">
        <v>31</v>
      </c>
      <c r="C5" s="177">
        <v>60</v>
      </c>
      <c r="E5" s="251" t="s">
        <v>599</v>
      </c>
      <c r="F5" s="251" t="s">
        <v>25</v>
      </c>
      <c r="G5" s="251" t="s">
        <v>521</v>
      </c>
      <c r="H5" s="251" t="s">
        <v>377</v>
      </c>
      <c r="I5" s="251" t="s">
        <v>600</v>
      </c>
      <c r="S5" s="251" t="s">
        <v>599</v>
      </c>
      <c r="T5" s="251" t="s">
        <v>25</v>
      </c>
      <c r="U5" s="251" t="s">
        <v>521</v>
      </c>
      <c r="V5" s="251" t="s">
        <v>377</v>
      </c>
      <c r="W5" s="251" t="s">
        <v>600</v>
      </c>
      <c r="Y5" s="251" t="s">
        <v>599</v>
      </c>
      <c r="Z5" s="251" t="s">
        <v>25</v>
      </c>
      <c r="AA5" s="251" t="s">
        <v>521</v>
      </c>
      <c r="AB5" s="251" t="s">
        <v>377</v>
      </c>
      <c r="AC5" s="251" t="s">
        <v>600</v>
      </c>
    </row>
    <row r="6" spans="1:29" x14ac:dyDescent="0.25">
      <c r="A6" s="182">
        <v>42</v>
      </c>
      <c r="B6" s="297">
        <v>50</v>
      </c>
      <c r="C6" s="177">
        <v>24</v>
      </c>
      <c r="E6">
        <v>0</v>
      </c>
      <c r="F6">
        <v>0</v>
      </c>
      <c r="G6">
        <f>F6</f>
        <v>0</v>
      </c>
      <c r="H6">
        <f>F6/F$38</f>
        <v>0</v>
      </c>
      <c r="I6">
        <f>G6/F$38</f>
        <v>0</v>
      </c>
      <c r="S6">
        <v>0</v>
      </c>
      <c r="T6">
        <v>0</v>
      </c>
      <c r="U6">
        <f>T6</f>
        <v>0</v>
      </c>
      <c r="V6">
        <f>T6/T$88</f>
        <v>0</v>
      </c>
      <c r="W6">
        <f>U6/T$88</f>
        <v>0</v>
      </c>
      <c r="Y6" s="13">
        <v>0</v>
      </c>
      <c r="Z6">
        <v>0</v>
      </c>
      <c r="AA6">
        <f>Z6</f>
        <v>0</v>
      </c>
      <c r="AB6">
        <f>Z6/Z$28</f>
        <v>0</v>
      </c>
      <c r="AC6">
        <f>AA6/Z$28</f>
        <v>0</v>
      </c>
    </row>
    <row r="7" spans="1:29" x14ac:dyDescent="0.25">
      <c r="A7" s="182">
        <v>45</v>
      </c>
      <c r="B7" s="297">
        <v>22</v>
      </c>
      <c r="C7" s="177">
        <v>19</v>
      </c>
      <c r="E7">
        <f>E6+0.2</f>
        <v>0.2</v>
      </c>
      <c r="F7">
        <v>1752</v>
      </c>
      <c r="G7">
        <f>G6+F7</f>
        <v>1752</v>
      </c>
      <c r="H7">
        <f t="shared" ref="H7:H37" si="0">F7/F$38</f>
        <v>0.17519999999999999</v>
      </c>
      <c r="I7">
        <f t="shared" ref="I7:I37" si="1">G7/F$38</f>
        <v>0.17519999999999999</v>
      </c>
      <c r="S7">
        <f>S6+0.1</f>
        <v>0.1</v>
      </c>
      <c r="T7">
        <v>960</v>
      </c>
      <c r="U7">
        <f>U6+T7</f>
        <v>960</v>
      </c>
      <c r="V7">
        <f t="shared" ref="V7:V70" si="2">T7/T$88</f>
        <v>9.6000000000000002E-2</v>
      </c>
      <c r="W7">
        <f t="shared" ref="W7:W70" si="3">U7/T$88</f>
        <v>9.6000000000000002E-2</v>
      </c>
      <c r="Y7" s="13">
        <f>Y6+0.25</f>
        <v>0.25</v>
      </c>
      <c r="Z7">
        <v>2180</v>
      </c>
      <c r="AA7">
        <f>AA6+Z7</f>
        <v>2180</v>
      </c>
      <c r="AB7">
        <f t="shared" ref="AB7:AB27" si="4">Z7/Z$28</f>
        <v>0.218</v>
      </c>
      <c r="AC7">
        <f t="shared" ref="AC7:AC27" si="5">AA7/Z$28</f>
        <v>0.218</v>
      </c>
    </row>
    <row r="8" spans="1:29" x14ac:dyDescent="0.25">
      <c r="A8" s="182">
        <v>38</v>
      </c>
      <c r="B8" s="297">
        <v>30</v>
      </c>
      <c r="C8" s="177">
        <v>31</v>
      </c>
      <c r="E8">
        <f t="shared" ref="E8:E36" si="6">E7+0.2</f>
        <v>0.4</v>
      </c>
      <c r="F8">
        <v>1463</v>
      </c>
      <c r="G8">
        <f t="shared" ref="G8:G37" si="7">G7+F8</f>
        <v>3215</v>
      </c>
      <c r="H8">
        <f t="shared" si="0"/>
        <v>0.14630000000000001</v>
      </c>
      <c r="I8">
        <f t="shared" si="1"/>
        <v>0.32150000000000001</v>
      </c>
      <c r="S8">
        <f t="shared" ref="S8:S71" si="8">S7+0.1</f>
        <v>0.2</v>
      </c>
      <c r="T8">
        <v>821</v>
      </c>
      <c r="U8">
        <f t="shared" ref="U8:U71" si="9">U7+T8</f>
        <v>1781</v>
      </c>
      <c r="V8">
        <f t="shared" si="2"/>
        <v>8.2100000000000006E-2</v>
      </c>
      <c r="W8">
        <f t="shared" si="3"/>
        <v>0.17810000000000001</v>
      </c>
      <c r="Y8" s="13">
        <f t="shared" ref="Y8:Y26" si="10">Y7+0.25</f>
        <v>0.5</v>
      </c>
      <c r="Z8">
        <v>1635</v>
      </c>
      <c r="AA8">
        <f t="shared" ref="AA8:AA27" si="11">AA7+Z8</f>
        <v>3815</v>
      </c>
      <c r="AB8">
        <f t="shared" si="4"/>
        <v>0.16350000000000001</v>
      </c>
      <c r="AC8">
        <f t="shared" si="5"/>
        <v>0.38150000000000001</v>
      </c>
    </row>
    <row r="9" spans="1:29" x14ac:dyDescent="0.25">
      <c r="A9" s="182">
        <v>44</v>
      </c>
      <c r="B9" s="297">
        <v>27</v>
      </c>
      <c r="C9" s="177">
        <v>37</v>
      </c>
      <c r="E9">
        <f t="shared" si="6"/>
        <v>0.60000000000000009</v>
      </c>
      <c r="F9">
        <v>1188</v>
      </c>
      <c r="G9">
        <f t="shared" si="7"/>
        <v>4403</v>
      </c>
      <c r="H9">
        <f t="shared" si="0"/>
        <v>0.1188</v>
      </c>
      <c r="I9">
        <f t="shared" si="1"/>
        <v>0.44030000000000002</v>
      </c>
      <c r="S9">
        <f t="shared" si="8"/>
        <v>0.30000000000000004</v>
      </c>
      <c r="T9">
        <v>765</v>
      </c>
      <c r="U9">
        <f t="shared" si="9"/>
        <v>2546</v>
      </c>
      <c r="V9">
        <f t="shared" si="2"/>
        <v>7.6499999999999999E-2</v>
      </c>
      <c r="W9">
        <f t="shared" si="3"/>
        <v>0.25459999999999999</v>
      </c>
      <c r="Y9" s="13">
        <f t="shared" si="10"/>
        <v>0.75</v>
      </c>
      <c r="Z9">
        <v>1252</v>
      </c>
      <c r="AA9">
        <f t="shared" si="11"/>
        <v>5067</v>
      </c>
      <c r="AB9">
        <f t="shared" si="4"/>
        <v>0.12520000000000001</v>
      </c>
      <c r="AC9">
        <f t="shared" si="5"/>
        <v>0.50670000000000004</v>
      </c>
    </row>
    <row r="10" spans="1:29" x14ac:dyDescent="0.25">
      <c r="A10" s="182">
        <v>40</v>
      </c>
      <c r="B10" s="297">
        <v>32</v>
      </c>
      <c r="C10" s="177">
        <v>44</v>
      </c>
      <c r="E10">
        <f t="shared" si="6"/>
        <v>0.8</v>
      </c>
      <c r="F10">
        <v>964</v>
      </c>
      <c r="G10">
        <f t="shared" si="7"/>
        <v>5367</v>
      </c>
      <c r="H10">
        <f t="shared" si="0"/>
        <v>9.64E-2</v>
      </c>
      <c r="I10">
        <f t="shared" si="1"/>
        <v>0.53669999999999995</v>
      </c>
      <c r="S10">
        <f t="shared" si="8"/>
        <v>0.4</v>
      </c>
      <c r="T10">
        <v>672</v>
      </c>
      <c r="U10">
        <f t="shared" si="9"/>
        <v>3218</v>
      </c>
      <c r="V10">
        <f t="shared" si="2"/>
        <v>6.7199999999999996E-2</v>
      </c>
      <c r="W10">
        <f t="shared" si="3"/>
        <v>0.32179999999999997</v>
      </c>
      <c r="Y10" s="13">
        <f t="shared" si="10"/>
        <v>1</v>
      </c>
      <c r="Z10">
        <v>1058</v>
      </c>
      <c r="AA10">
        <f t="shared" si="11"/>
        <v>6125</v>
      </c>
      <c r="AB10">
        <f t="shared" si="4"/>
        <v>0.10580000000000001</v>
      </c>
      <c r="AC10">
        <f t="shared" si="5"/>
        <v>0.61250000000000004</v>
      </c>
    </row>
    <row r="11" spans="1:29" x14ac:dyDescent="0.25">
      <c r="A11" s="182">
        <v>49</v>
      </c>
      <c r="B11" s="297">
        <v>25</v>
      </c>
      <c r="C11" s="177">
        <v>55</v>
      </c>
      <c r="E11">
        <f t="shared" si="6"/>
        <v>1</v>
      </c>
      <c r="F11">
        <v>806</v>
      </c>
      <c r="G11">
        <f t="shared" si="7"/>
        <v>6173</v>
      </c>
      <c r="H11">
        <f t="shared" si="0"/>
        <v>8.0600000000000005E-2</v>
      </c>
      <c r="I11">
        <f t="shared" si="1"/>
        <v>0.61729999999999996</v>
      </c>
      <c r="S11">
        <f t="shared" si="8"/>
        <v>0.5</v>
      </c>
      <c r="T11">
        <v>613</v>
      </c>
      <c r="U11">
        <f t="shared" si="9"/>
        <v>3831</v>
      </c>
      <c r="V11">
        <f t="shared" si="2"/>
        <v>6.13E-2</v>
      </c>
      <c r="W11">
        <f t="shared" si="3"/>
        <v>0.3831</v>
      </c>
      <c r="Y11" s="13">
        <f t="shared" si="10"/>
        <v>1.25</v>
      </c>
      <c r="Z11">
        <v>748</v>
      </c>
      <c r="AA11">
        <f t="shared" si="11"/>
        <v>6873</v>
      </c>
      <c r="AB11">
        <f t="shared" si="4"/>
        <v>7.4800000000000005E-2</v>
      </c>
      <c r="AC11">
        <f t="shared" si="5"/>
        <v>0.68730000000000002</v>
      </c>
    </row>
    <row r="12" spans="1:29" x14ac:dyDescent="0.25">
      <c r="A12" s="182">
        <v>42</v>
      </c>
      <c r="B12" s="297">
        <v>40</v>
      </c>
      <c r="C12" s="177"/>
      <c r="E12">
        <f t="shared" si="6"/>
        <v>1.2</v>
      </c>
      <c r="F12">
        <v>665</v>
      </c>
      <c r="G12">
        <f t="shared" si="7"/>
        <v>6838</v>
      </c>
      <c r="H12">
        <f t="shared" si="0"/>
        <v>6.6500000000000004E-2</v>
      </c>
      <c r="I12">
        <f t="shared" si="1"/>
        <v>0.68379999999999996</v>
      </c>
      <c r="S12">
        <f t="shared" si="8"/>
        <v>0.6</v>
      </c>
      <c r="T12">
        <v>566</v>
      </c>
      <c r="U12">
        <f t="shared" si="9"/>
        <v>4397</v>
      </c>
      <c r="V12">
        <f t="shared" si="2"/>
        <v>5.6599999999999998E-2</v>
      </c>
      <c r="W12">
        <f t="shared" si="3"/>
        <v>0.43969999999999998</v>
      </c>
      <c r="Y12" s="13">
        <f t="shared" si="10"/>
        <v>1.5</v>
      </c>
      <c r="Z12">
        <v>604</v>
      </c>
      <c r="AA12">
        <f t="shared" si="11"/>
        <v>7477</v>
      </c>
      <c r="AB12">
        <f t="shared" si="4"/>
        <v>6.0400000000000002E-2</v>
      </c>
      <c r="AC12">
        <f t="shared" si="5"/>
        <v>0.74770000000000003</v>
      </c>
    </row>
    <row r="13" spans="1:29" x14ac:dyDescent="0.25">
      <c r="A13" s="176">
        <v>41</v>
      </c>
      <c r="B13" s="298"/>
      <c r="C13" s="34"/>
      <c r="E13">
        <f t="shared" si="6"/>
        <v>1.4</v>
      </c>
      <c r="F13">
        <v>523</v>
      </c>
      <c r="G13">
        <f t="shared" si="7"/>
        <v>7361</v>
      </c>
      <c r="H13">
        <f t="shared" si="0"/>
        <v>5.2299999999999999E-2</v>
      </c>
      <c r="I13">
        <f t="shared" si="1"/>
        <v>0.73609999999999998</v>
      </c>
      <c r="S13">
        <f t="shared" si="8"/>
        <v>0.7</v>
      </c>
      <c r="T13">
        <v>475</v>
      </c>
      <c r="U13">
        <f t="shared" si="9"/>
        <v>4872</v>
      </c>
      <c r="V13">
        <f t="shared" si="2"/>
        <v>4.7500000000000001E-2</v>
      </c>
      <c r="W13">
        <f t="shared" si="3"/>
        <v>0.48720000000000002</v>
      </c>
      <c r="Y13" s="13">
        <f t="shared" si="10"/>
        <v>1.75</v>
      </c>
      <c r="Z13">
        <v>482</v>
      </c>
      <c r="AA13">
        <f t="shared" si="11"/>
        <v>7959</v>
      </c>
      <c r="AB13">
        <f t="shared" si="4"/>
        <v>4.82E-2</v>
      </c>
      <c r="AC13">
        <f t="shared" si="5"/>
        <v>0.79590000000000005</v>
      </c>
    </row>
    <row r="14" spans="1:29" x14ac:dyDescent="0.25">
      <c r="E14">
        <f t="shared" si="6"/>
        <v>1.5999999999999999</v>
      </c>
      <c r="F14">
        <v>474</v>
      </c>
      <c r="G14">
        <f t="shared" si="7"/>
        <v>7835</v>
      </c>
      <c r="H14">
        <f t="shared" si="0"/>
        <v>4.7399999999999998E-2</v>
      </c>
      <c r="I14">
        <f t="shared" si="1"/>
        <v>0.78349999999999997</v>
      </c>
      <c r="S14">
        <f t="shared" si="8"/>
        <v>0.79999999999999993</v>
      </c>
      <c r="T14">
        <v>464</v>
      </c>
      <c r="U14">
        <f t="shared" si="9"/>
        <v>5336</v>
      </c>
      <c r="V14">
        <f t="shared" si="2"/>
        <v>4.6399999999999997E-2</v>
      </c>
      <c r="W14">
        <f t="shared" si="3"/>
        <v>0.53359999999999996</v>
      </c>
      <c r="Y14" s="13">
        <f t="shared" si="10"/>
        <v>2</v>
      </c>
      <c r="Z14">
        <v>394</v>
      </c>
      <c r="AA14">
        <f t="shared" si="11"/>
        <v>8353</v>
      </c>
      <c r="AB14">
        <f t="shared" si="4"/>
        <v>3.9399999999999998E-2</v>
      </c>
      <c r="AC14">
        <f t="shared" si="5"/>
        <v>0.83530000000000004</v>
      </c>
    </row>
    <row r="15" spans="1:29" x14ac:dyDescent="0.25">
      <c r="E15">
        <f t="shared" si="6"/>
        <v>1.7999999999999998</v>
      </c>
      <c r="F15">
        <v>363</v>
      </c>
      <c r="G15">
        <f t="shared" si="7"/>
        <v>8198</v>
      </c>
      <c r="H15">
        <f t="shared" si="0"/>
        <v>3.6299999999999999E-2</v>
      </c>
      <c r="I15">
        <f t="shared" si="1"/>
        <v>0.81979999999999997</v>
      </c>
      <c r="S15">
        <f t="shared" si="8"/>
        <v>0.89999999999999991</v>
      </c>
      <c r="T15">
        <v>431</v>
      </c>
      <c r="U15">
        <f t="shared" si="9"/>
        <v>5767</v>
      </c>
      <c r="V15">
        <f t="shared" si="2"/>
        <v>4.3099999999999999E-2</v>
      </c>
      <c r="W15">
        <f t="shared" si="3"/>
        <v>0.57669999999999999</v>
      </c>
      <c r="Y15" s="13">
        <f t="shared" si="10"/>
        <v>2.25</v>
      </c>
      <c r="Z15">
        <v>335</v>
      </c>
      <c r="AA15">
        <f t="shared" si="11"/>
        <v>8688</v>
      </c>
      <c r="AB15">
        <f t="shared" si="4"/>
        <v>3.3500000000000002E-2</v>
      </c>
      <c r="AC15">
        <f t="shared" si="5"/>
        <v>0.86880000000000002</v>
      </c>
    </row>
    <row r="16" spans="1:29" x14ac:dyDescent="0.25">
      <c r="E16">
        <f t="shared" si="6"/>
        <v>1.9999999999999998</v>
      </c>
      <c r="F16">
        <v>296</v>
      </c>
      <c r="G16">
        <f t="shared" si="7"/>
        <v>8494</v>
      </c>
      <c r="H16">
        <f t="shared" si="0"/>
        <v>2.9600000000000001E-2</v>
      </c>
      <c r="I16">
        <f t="shared" si="1"/>
        <v>0.84940000000000004</v>
      </c>
      <c r="S16">
        <f t="shared" si="8"/>
        <v>0.99999999999999989</v>
      </c>
      <c r="T16">
        <v>381</v>
      </c>
      <c r="U16">
        <f t="shared" si="9"/>
        <v>6148</v>
      </c>
      <c r="V16">
        <f t="shared" si="2"/>
        <v>3.8100000000000002E-2</v>
      </c>
      <c r="W16">
        <f t="shared" si="3"/>
        <v>0.61480000000000001</v>
      </c>
      <c r="Y16" s="13">
        <f t="shared" si="10"/>
        <v>2.5</v>
      </c>
      <c r="Z16">
        <v>273</v>
      </c>
      <c r="AA16">
        <f t="shared" si="11"/>
        <v>8961</v>
      </c>
      <c r="AB16">
        <f t="shared" si="4"/>
        <v>2.7300000000000001E-2</v>
      </c>
      <c r="AC16">
        <f t="shared" si="5"/>
        <v>0.89610000000000001</v>
      </c>
    </row>
    <row r="17" spans="5:32" x14ac:dyDescent="0.25">
      <c r="E17">
        <f t="shared" si="6"/>
        <v>2.1999999999999997</v>
      </c>
      <c r="F17">
        <v>240</v>
      </c>
      <c r="G17">
        <f t="shared" si="7"/>
        <v>8734</v>
      </c>
      <c r="H17">
        <f t="shared" si="0"/>
        <v>2.4E-2</v>
      </c>
      <c r="I17">
        <f t="shared" si="1"/>
        <v>0.87339999999999995</v>
      </c>
      <c r="S17">
        <f t="shared" si="8"/>
        <v>1.0999999999999999</v>
      </c>
      <c r="T17">
        <v>342</v>
      </c>
      <c r="U17">
        <f t="shared" si="9"/>
        <v>6490</v>
      </c>
      <c r="V17">
        <f t="shared" si="2"/>
        <v>3.4200000000000001E-2</v>
      </c>
      <c r="W17">
        <f t="shared" si="3"/>
        <v>0.64900000000000002</v>
      </c>
      <c r="Y17" s="13">
        <f t="shared" si="10"/>
        <v>2.75</v>
      </c>
      <c r="Z17">
        <v>211</v>
      </c>
      <c r="AA17">
        <f t="shared" si="11"/>
        <v>9172</v>
      </c>
      <c r="AB17">
        <f t="shared" si="4"/>
        <v>2.1100000000000001E-2</v>
      </c>
      <c r="AC17">
        <f t="shared" si="5"/>
        <v>0.91720000000000002</v>
      </c>
    </row>
    <row r="18" spans="5:32" x14ac:dyDescent="0.25">
      <c r="E18">
        <f t="shared" si="6"/>
        <v>2.4</v>
      </c>
      <c r="F18">
        <v>186</v>
      </c>
      <c r="G18">
        <f t="shared" si="7"/>
        <v>8920</v>
      </c>
      <c r="H18">
        <f t="shared" si="0"/>
        <v>1.8599999999999998E-2</v>
      </c>
      <c r="I18">
        <f t="shared" si="1"/>
        <v>0.89200000000000002</v>
      </c>
      <c r="S18">
        <f t="shared" si="8"/>
        <v>1.2</v>
      </c>
      <c r="T18">
        <v>319</v>
      </c>
      <c r="U18">
        <f t="shared" si="9"/>
        <v>6809</v>
      </c>
      <c r="V18">
        <f t="shared" si="2"/>
        <v>3.1899999999999998E-2</v>
      </c>
      <c r="W18">
        <f t="shared" si="3"/>
        <v>0.68089999999999995</v>
      </c>
      <c r="Y18" s="13">
        <f t="shared" si="10"/>
        <v>3</v>
      </c>
      <c r="Z18">
        <v>147</v>
      </c>
      <c r="AA18">
        <f t="shared" si="11"/>
        <v>9319</v>
      </c>
      <c r="AB18">
        <f t="shared" si="4"/>
        <v>1.47E-2</v>
      </c>
      <c r="AC18">
        <f t="shared" si="5"/>
        <v>0.93189999999999995</v>
      </c>
    </row>
    <row r="19" spans="5:32" x14ac:dyDescent="0.25">
      <c r="E19">
        <f t="shared" si="6"/>
        <v>2.6</v>
      </c>
      <c r="F19">
        <v>181</v>
      </c>
      <c r="G19">
        <f t="shared" si="7"/>
        <v>9101</v>
      </c>
      <c r="H19">
        <f t="shared" si="0"/>
        <v>1.8100000000000002E-2</v>
      </c>
      <c r="I19">
        <f t="shared" si="1"/>
        <v>0.91010000000000002</v>
      </c>
      <c r="S19">
        <f t="shared" si="8"/>
        <v>1.3</v>
      </c>
      <c r="T19">
        <v>256</v>
      </c>
      <c r="U19">
        <f t="shared" si="9"/>
        <v>7065</v>
      </c>
      <c r="V19">
        <f t="shared" si="2"/>
        <v>2.5600000000000001E-2</v>
      </c>
      <c r="W19">
        <f t="shared" si="3"/>
        <v>0.70650000000000002</v>
      </c>
      <c r="Y19" s="13">
        <f t="shared" si="10"/>
        <v>3.25</v>
      </c>
      <c r="Z19">
        <v>119</v>
      </c>
      <c r="AA19">
        <f t="shared" si="11"/>
        <v>9438</v>
      </c>
      <c r="AB19">
        <f t="shared" si="4"/>
        <v>1.1900000000000001E-2</v>
      </c>
      <c r="AC19">
        <f t="shared" si="5"/>
        <v>0.94379999999999997</v>
      </c>
    </row>
    <row r="20" spans="5:32" x14ac:dyDescent="0.25">
      <c r="E20">
        <f t="shared" si="6"/>
        <v>2.8000000000000003</v>
      </c>
      <c r="F20">
        <v>162</v>
      </c>
      <c r="G20">
        <f t="shared" si="7"/>
        <v>9263</v>
      </c>
      <c r="H20">
        <f t="shared" si="0"/>
        <v>1.6199999999999999E-2</v>
      </c>
      <c r="I20">
        <f t="shared" si="1"/>
        <v>0.92630000000000001</v>
      </c>
      <c r="S20">
        <f t="shared" si="8"/>
        <v>1.4000000000000001</v>
      </c>
      <c r="T20">
        <v>247</v>
      </c>
      <c r="U20">
        <f t="shared" si="9"/>
        <v>7312</v>
      </c>
      <c r="V20">
        <f t="shared" si="2"/>
        <v>2.47E-2</v>
      </c>
      <c r="W20">
        <f t="shared" si="3"/>
        <v>0.73119999999999996</v>
      </c>
      <c r="Y20" s="13">
        <f t="shared" si="10"/>
        <v>3.5</v>
      </c>
      <c r="Z20">
        <v>105</v>
      </c>
      <c r="AA20">
        <f t="shared" si="11"/>
        <v>9543</v>
      </c>
      <c r="AB20">
        <f t="shared" si="4"/>
        <v>1.0500000000000001E-2</v>
      </c>
      <c r="AC20">
        <f t="shared" si="5"/>
        <v>0.95430000000000004</v>
      </c>
    </row>
    <row r="21" spans="5:32" x14ac:dyDescent="0.25">
      <c r="E21">
        <f t="shared" si="6"/>
        <v>3.0000000000000004</v>
      </c>
      <c r="F21">
        <v>117</v>
      </c>
      <c r="G21">
        <f t="shared" si="7"/>
        <v>9380</v>
      </c>
      <c r="H21">
        <f t="shared" si="0"/>
        <v>1.17E-2</v>
      </c>
      <c r="I21">
        <f t="shared" si="1"/>
        <v>0.93799999999999994</v>
      </c>
      <c r="S21">
        <f t="shared" si="8"/>
        <v>1.5000000000000002</v>
      </c>
      <c r="T21">
        <v>235</v>
      </c>
      <c r="U21">
        <f t="shared" si="9"/>
        <v>7547</v>
      </c>
      <c r="V21">
        <f t="shared" si="2"/>
        <v>2.35E-2</v>
      </c>
      <c r="W21">
        <f t="shared" si="3"/>
        <v>0.75470000000000004</v>
      </c>
      <c r="Y21" s="13">
        <f t="shared" si="10"/>
        <v>3.75</v>
      </c>
      <c r="Z21">
        <v>88</v>
      </c>
      <c r="AA21">
        <f t="shared" si="11"/>
        <v>9631</v>
      </c>
      <c r="AB21">
        <f t="shared" si="4"/>
        <v>8.8000000000000005E-3</v>
      </c>
      <c r="AC21">
        <f t="shared" si="5"/>
        <v>0.96309999999999996</v>
      </c>
      <c r="AE21" t="s">
        <v>603</v>
      </c>
    </row>
    <row r="22" spans="5:32" x14ac:dyDescent="0.25">
      <c r="E22">
        <f t="shared" si="6"/>
        <v>3.2000000000000006</v>
      </c>
      <c r="F22">
        <v>95</v>
      </c>
      <c r="G22">
        <f t="shared" si="7"/>
        <v>9475</v>
      </c>
      <c r="H22">
        <f t="shared" si="0"/>
        <v>9.4999999999999998E-3</v>
      </c>
      <c r="I22">
        <f t="shared" si="1"/>
        <v>0.94750000000000001</v>
      </c>
      <c r="S22">
        <f t="shared" si="8"/>
        <v>1.6000000000000003</v>
      </c>
      <c r="T22">
        <v>243</v>
      </c>
      <c r="U22">
        <f t="shared" si="9"/>
        <v>7790</v>
      </c>
      <c r="V22">
        <f t="shared" si="2"/>
        <v>2.4299999999999999E-2</v>
      </c>
      <c r="W22">
        <f t="shared" si="3"/>
        <v>0.77900000000000003</v>
      </c>
      <c r="Y22" s="13">
        <f t="shared" si="10"/>
        <v>4</v>
      </c>
      <c r="Z22">
        <v>67</v>
      </c>
      <c r="AA22">
        <f t="shared" si="11"/>
        <v>9698</v>
      </c>
      <c r="AB22">
        <f t="shared" si="4"/>
        <v>6.7000000000000002E-3</v>
      </c>
      <c r="AC22">
        <f t="shared" si="5"/>
        <v>0.9698</v>
      </c>
    </row>
    <row r="23" spans="5:32" x14ac:dyDescent="0.25">
      <c r="E23">
        <f t="shared" si="6"/>
        <v>3.4000000000000008</v>
      </c>
      <c r="F23">
        <v>79</v>
      </c>
      <c r="G23">
        <f t="shared" si="7"/>
        <v>9554</v>
      </c>
      <c r="H23">
        <f t="shared" si="0"/>
        <v>7.9000000000000008E-3</v>
      </c>
      <c r="I23">
        <f t="shared" si="1"/>
        <v>0.95540000000000003</v>
      </c>
      <c r="S23">
        <f t="shared" si="8"/>
        <v>1.7000000000000004</v>
      </c>
      <c r="T23">
        <v>190</v>
      </c>
      <c r="U23">
        <f t="shared" si="9"/>
        <v>7980</v>
      </c>
      <c r="V23">
        <f t="shared" si="2"/>
        <v>1.9E-2</v>
      </c>
      <c r="W23">
        <f t="shared" si="3"/>
        <v>0.79800000000000004</v>
      </c>
      <c r="Y23" s="13">
        <f t="shared" si="10"/>
        <v>4.25</v>
      </c>
      <c r="Z23">
        <v>54</v>
      </c>
      <c r="AA23">
        <f t="shared" si="11"/>
        <v>9752</v>
      </c>
      <c r="AB23">
        <f t="shared" si="4"/>
        <v>5.4000000000000003E-3</v>
      </c>
      <c r="AC23">
        <f t="shared" si="5"/>
        <v>0.97519999999999996</v>
      </c>
      <c r="AE23" t="s">
        <v>70</v>
      </c>
      <c r="AF23" s="293">
        <v>0.05</v>
      </c>
    </row>
    <row r="24" spans="5:32" x14ac:dyDescent="0.25">
      <c r="E24">
        <f t="shared" si="6"/>
        <v>3.600000000000001</v>
      </c>
      <c r="F24">
        <v>60</v>
      </c>
      <c r="G24">
        <f t="shared" si="7"/>
        <v>9614</v>
      </c>
      <c r="H24">
        <f t="shared" si="0"/>
        <v>6.0000000000000001E-3</v>
      </c>
      <c r="I24">
        <f t="shared" si="1"/>
        <v>0.96140000000000003</v>
      </c>
      <c r="S24">
        <f t="shared" si="8"/>
        <v>1.8000000000000005</v>
      </c>
      <c r="T24">
        <v>193</v>
      </c>
      <c r="U24">
        <f t="shared" si="9"/>
        <v>8173</v>
      </c>
      <c r="V24">
        <f t="shared" si="2"/>
        <v>1.9300000000000001E-2</v>
      </c>
      <c r="W24">
        <f t="shared" si="3"/>
        <v>0.81730000000000003</v>
      </c>
      <c r="Y24" s="13">
        <f t="shared" si="10"/>
        <v>4.5</v>
      </c>
      <c r="Z24">
        <v>47</v>
      </c>
      <c r="AA24">
        <f t="shared" si="11"/>
        <v>9799</v>
      </c>
      <c r="AB24">
        <f t="shared" si="4"/>
        <v>4.7000000000000002E-3</v>
      </c>
      <c r="AC24">
        <f t="shared" si="5"/>
        <v>0.97989999999999999</v>
      </c>
      <c r="AE24" t="s">
        <v>604</v>
      </c>
      <c r="AF24" s="206">
        <v>2.1096810066105172</v>
      </c>
    </row>
    <row r="25" spans="5:32" x14ac:dyDescent="0.25">
      <c r="E25">
        <f t="shared" si="6"/>
        <v>3.8000000000000012</v>
      </c>
      <c r="F25">
        <v>68</v>
      </c>
      <c r="G25">
        <f t="shared" si="7"/>
        <v>9682</v>
      </c>
      <c r="H25">
        <f t="shared" si="0"/>
        <v>6.7999999999999996E-3</v>
      </c>
      <c r="I25">
        <f t="shared" si="1"/>
        <v>0.96819999999999995</v>
      </c>
      <c r="S25">
        <f t="shared" si="8"/>
        <v>1.9000000000000006</v>
      </c>
      <c r="T25">
        <v>132</v>
      </c>
      <c r="U25">
        <f t="shared" si="9"/>
        <v>8305</v>
      </c>
      <c r="V25">
        <f t="shared" si="2"/>
        <v>1.32E-2</v>
      </c>
      <c r="W25">
        <f t="shared" si="3"/>
        <v>0.83050000000000002</v>
      </c>
      <c r="Y25" s="13">
        <f t="shared" si="10"/>
        <v>4.75</v>
      </c>
      <c r="Z25">
        <v>27</v>
      </c>
      <c r="AA25">
        <f t="shared" si="11"/>
        <v>9826</v>
      </c>
      <c r="AB25">
        <f t="shared" si="4"/>
        <v>2.7000000000000001E-3</v>
      </c>
      <c r="AC25">
        <f t="shared" si="5"/>
        <v>0.98260000000000003</v>
      </c>
      <c r="AE25" t="s">
        <v>56</v>
      </c>
      <c r="AF25" s="219">
        <v>0.1477</v>
      </c>
    </row>
    <row r="26" spans="5:32" x14ac:dyDescent="0.25">
      <c r="E26">
        <f t="shared" si="6"/>
        <v>4.0000000000000009</v>
      </c>
      <c r="F26">
        <v>40</v>
      </c>
      <c r="G26">
        <f t="shared" si="7"/>
        <v>9722</v>
      </c>
      <c r="H26">
        <f t="shared" si="0"/>
        <v>4.0000000000000001E-3</v>
      </c>
      <c r="I26">
        <f t="shared" si="1"/>
        <v>0.97219999999999995</v>
      </c>
      <c r="S26">
        <f t="shared" si="8"/>
        <v>2.0000000000000004</v>
      </c>
      <c r="T26">
        <v>149</v>
      </c>
      <c r="U26">
        <f t="shared" si="9"/>
        <v>8454</v>
      </c>
      <c r="V26">
        <f t="shared" si="2"/>
        <v>1.49E-2</v>
      </c>
      <c r="W26">
        <f t="shared" si="3"/>
        <v>0.84540000000000004</v>
      </c>
      <c r="Y26" s="13">
        <f t="shared" si="10"/>
        <v>5</v>
      </c>
      <c r="Z26">
        <v>26</v>
      </c>
      <c r="AA26">
        <f t="shared" si="11"/>
        <v>9852</v>
      </c>
      <c r="AB26">
        <f t="shared" si="4"/>
        <v>2.5999999999999999E-3</v>
      </c>
      <c r="AC26">
        <f t="shared" si="5"/>
        <v>0.98519999999999996</v>
      </c>
    </row>
    <row r="27" spans="5:32" x14ac:dyDescent="0.25">
      <c r="E27">
        <f t="shared" si="6"/>
        <v>4.2000000000000011</v>
      </c>
      <c r="F27">
        <v>36</v>
      </c>
      <c r="G27">
        <f t="shared" si="7"/>
        <v>9758</v>
      </c>
      <c r="H27">
        <f t="shared" si="0"/>
        <v>3.5999999999999999E-3</v>
      </c>
      <c r="I27">
        <f t="shared" si="1"/>
        <v>0.9758</v>
      </c>
      <c r="S27">
        <f t="shared" si="8"/>
        <v>2.1000000000000005</v>
      </c>
      <c r="T27">
        <v>122</v>
      </c>
      <c r="U27">
        <f t="shared" si="9"/>
        <v>8576</v>
      </c>
      <c r="V27">
        <f t="shared" si="2"/>
        <v>1.2200000000000001E-2</v>
      </c>
      <c r="W27">
        <f t="shared" si="3"/>
        <v>0.85760000000000003</v>
      </c>
      <c r="Y27" s="224" t="s">
        <v>29</v>
      </c>
      <c r="Z27" s="224">
        <v>148</v>
      </c>
      <c r="AA27" s="224">
        <f t="shared" si="11"/>
        <v>10000</v>
      </c>
      <c r="AB27" s="224">
        <f t="shared" si="4"/>
        <v>1.4800000000000001E-2</v>
      </c>
      <c r="AC27" s="224">
        <f t="shared" si="5"/>
        <v>1</v>
      </c>
    </row>
    <row r="28" spans="5:32" x14ac:dyDescent="0.25">
      <c r="E28">
        <f t="shared" si="6"/>
        <v>4.4000000000000012</v>
      </c>
      <c r="F28">
        <v>24</v>
      </c>
      <c r="G28">
        <f t="shared" si="7"/>
        <v>9782</v>
      </c>
      <c r="H28">
        <f t="shared" si="0"/>
        <v>2.3999999999999998E-3</v>
      </c>
      <c r="I28">
        <f t="shared" si="1"/>
        <v>0.97819999999999996</v>
      </c>
      <c r="S28">
        <f t="shared" si="8"/>
        <v>2.2000000000000006</v>
      </c>
      <c r="T28">
        <v>110</v>
      </c>
      <c r="U28">
        <f t="shared" si="9"/>
        <v>8686</v>
      </c>
      <c r="V28">
        <f t="shared" si="2"/>
        <v>1.0999999999999999E-2</v>
      </c>
      <c r="W28">
        <f t="shared" si="3"/>
        <v>0.86860000000000004</v>
      </c>
      <c r="Z28">
        <f>SUM(Z6:Z27)</f>
        <v>10000</v>
      </c>
    </row>
    <row r="29" spans="5:32" x14ac:dyDescent="0.25">
      <c r="E29">
        <f t="shared" si="6"/>
        <v>4.6000000000000014</v>
      </c>
      <c r="F29">
        <v>24</v>
      </c>
      <c r="G29">
        <f t="shared" si="7"/>
        <v>9806</v>
      </c>
      <c r="H29">
        <f t="shared" si="0"/>
        <v>2.3999999999999998E-3</v>
      </c>
      <c r="I29">
        <f t="shared" si="1"/>
        <v>0.98060000000000003</v>
      </c>
      <c r="S29">
        <f t="shared" si="8"/>
        <v>2.3000000000000007</v>
      </c>
      <c r="T29">
        <v>103</v>
      </c>
      <c r="U29">
        <f t="shared" si="9"/>
        <v>8789</v>
      </c>
      <c r="V29">
        <f t="shared" si="2"/>
        <v>1.03E-2</v>
      </c>
      <c r="W29">
        <f t="shared" si="3"/>
        <v>0.87890000000000001</v>
      </c>
    </row>
    <row r="30" spans="5:32" x14ac:dyDescent="0.25">
      <c r="E30">
        <f t="shared" si="6"/>
        <v>4.8000000000000016</v>
      </c>
      <c r="F30">
        <v>27</v>
      </c>
      <c r="G30">
        <f t="shared" si="7"/>
        <v>9833</v>
      </c>
      <c r="H30">
        <f t="shared" si="0"/>
        <v>2.7000000000000001E-3</v>
      </c>
      <c r="I30">
        <f t="shared" si="1"/>
        <v>0.98329999999999995</v>
      </c>
      <c r="S30">
        <f t="shared" si="8"/>
        <v>2.4000000000000008</v>
      </c>
      <c r="T30">
        <v>110</v>
      </c>
      <c r="U30">
        <f t="shared" si="9"/>
        <v>8899</v>
      </c>
      <c r="V30">
        <f t="shared" si="2"/>
        <v>1.0999999999999999E-2</v>
      </c>
      <c r="W30">
        <f t="shared" si="3"/>
        <v>0.88990000000000002</v>
      </c>
    </row>
    <row r="31" spans="5:32" x14ac:dyDescent="0.25">
      <c r="E31">
        <f t="shared" si="6"/>
        <v>5.0000000000000018</v>
      </c>
      <c r="F31">
        <v>13</v>
      </c>
      <c r="G31">
        <f t="shared" si="7"/>
        <v>9846</v>
      </c>
      <c r="H31">
        <f t="shared" si="0"/>
        <v>1.2999999999999999E-3</v>
      </c>
      <c r="I31">
        <f t="shared" si="1"/>
        <v>0.98460000000000003</v>
      </c>
      <c r="S31">
        <f t="shared" si="8"/>
        <v>2.5000000000000009</v>
      </c>
      <c r="T31">
        <v>82</v>
      </c>
      <c r="U31">
        <f t="shared" si="9"/>
        <v>8981</v>
      </c>
      <c r="V31">
        <f t="shared" si="2"/>
        <v>8.2000000000000007E-3</v>
      </c>
      <c r="W31">
        <f t="shared" si="3"/>
        <v>0.89810000000000001</v>
      </c>
    </row>
    <row r="32" spans="5:32" x14ac:dyDescent="0.25">
      <c r="E32">
        <f t="shared" si="6"/>
        <v>5.200000000000002</v>
      </c>
      <c r="F32">
        <v>21</v>
      </c>
      <c r="G32">
        <f t="shared" si="7"/>
        <v>9867</v>
      </c>
      <c r="H32">
        <f t="shared" si="0"/>
        <v>2.0999999999999999E-3</v>
      </c>
      <c r="I32">
        <f t="shared" si="1"/>
        <v>0.98670000000000002</v>
      </c>
      <c r="S32">
        <f t="shared" si="8"/>
        <v>2.600000000000001</v>
      </c>
      <c r="T32">
        <v>83</v>
      </c>
      <c r="U32">
        <f t="shared" si="9"/>
        <v>9064</v>
      </c>
      <c r="V32">
        <f t="shared" si="2"/>
        <v>8.3000000000000001E-3</v>
      </c>
      <c r="W32">
        <f t="shared" si="3"/>
        <v>0.90639999999999998</v>
      </c>
    </row>
    <row r="33" spans="5:23" x14ac:dyDescent="0.25">
      <c r="E33">
        <f t="shared" si="6"/>
        <v>5.4000000000000021</v>
      </c>
      <c r="F33">
        <v>21</v>
      </c>
      <c r="G33">
        <f t="shared" si="7"/>
        <v>9888</v>
      </c>
      <c r="H33">
        <f t="shared" si="0"/>
        <v>2.0999999999999999E-3</v>
      </c>
      <c r="I33">
        <f t="shared" si="1"/>
        <v>0.98880000000000001</v>
      </c>
      <c r="S33">
        <f t="shared" si="8"/>
        <v>2.7000000000000011</v>
      </c>
      <c r="T33">
        <v>74</v>
      </c>
      <c r="U33">
        <f t="shared" si="9"/>
        <v>9138</v>
      </c>
      <c r="V33">
        <f t="shared" si="2"/>
        <v>7.4000000000000003E-3</v>
      </c>
      <c r="W33">
        <f t="shared" si="3"/>
        <v>0.91379999999999995</v>
      </c>
    </row>
    <row r="34" spans="5:23" x14ac:dyDescent="0.25">
      <c r="E34">
        <f t="shared" si="6"/>
        <v>5.6000000000000023</v>
      </c>
      <c r="F34">
        <v>14</v>
      </c>
      <c r="G34">
        <f t="shared" si="7"/>
        <v>9902</v>
      </c>
      <c r="H34">
        <f t="shared" si="0"/>
        <v>1.4E-3</v>
      </c>
      <c r="I34">
        <f t="shared" si="1"/>
        <v>0.99019999999999997</v>
      </c>
      <c r="S34">
        <f t="shared" si="8"/>
        <v>2.8000000000000012</v>
      </c>
      <c r="T34">
        <v>72</v>
      </c>
      <c r="U34">
        <f t="shared" si="9"/>
        <v>9210</v>
      </c>
      <c r="V34">
        <f t="shared" si="2"/>
        <v>7.1999999999999998E-3</v>
      </c>
      <c r="W34">
        <f t="shared" si="3"/>
        <v>0.92100000000000004</v>
      </c>
    </row>
    <row r="35" spans="5:23" x14ac:dyDescent="0.25">
      <c r="E35">
        <f t="shared" si="6"/>
        <v>5.8000000000000025</v>
      </c>
      <c r="F35">
        <v>10</v>
      </c>
      <c r="G35">
        <f t="shared" si="7"/>
        <v>9912</v>
      </c>
      <c r="H35">
        <f t="shared" si="0"/>
        <v>1E-3</v>
      </c>
      <c r="I35">
        <f t="shared" si="1"/>
        <v>0.99119999999999997</v>
      </c>
      <c r="S35">
        <f t="shared" si="8"/>
        <v>2.9000000000000012</v>
      </c>
      <c r="T35">
        <v>57</v>
      </c>
      <c r="U35">
        <f t="shared" si="9"/>
        <v>9267</v>
      </c>
      <c r="V35">
        <f t="shared" si="2"/>
        <v>5.7000000000000002E-3</v>
      </c>
      <c r="W35">
        <f t="shared" si="3"/>
        <v>0.92669999999999997</v>
      </c>
    </row>
    <row r="36" spans="5:23" x14ac:dyDescent="0.25">
      <c r="E36">
        <f t="shared" si="6"/>
        <v>6.0000000000000027</v>
      </c>
      <c r="F36">
        <v>5</v>
      </c>
      <c r="G36">
        <f t="shared" si="7"/>
        <v>9917</v>
      </c>
      <c r="H36">
        <f t="shared" si="0"/>
        <v>5.0000000000000001E-4</v>
      </c>
      <c r="I36">
        <f t="shared" si="1"/>
        <v>0.99170000000000003</v>
      </c>
      <c r="S36">
        <f t="shared" si="8"/>
        <v>3.0000000000000013</v>
      </c>
      <c r="T36">
        <v>62</v>
      </c>
      <c r="U36">
        <f t="shared" si="9"/>
        <v>9329</v>
      </c>
      <c r="V36">
        <f t="shared" si="2"/>
        <v>6.1999999999999998E-3</v>
      </c>
      <c r="W36">
        <f t="shared" si="3"/>
        <v>0.93289999999999995</v>
      </c>
    </row>
    <row r="37" spans="5:23" x14ac:dyDescent="0.25">
      <c r="E37" s="224" t="s">
        <v>29</v>
      </c>
      <c r="F37" s="224">
        <v>83</v>
      </c>
      <c r="G37" s="224">
        <f t="shared" si="7"/>
        <v>10000</v>
      </c>
      <c r="H37" s="224">
        <f t="shared" si="0"/>
        <v>8.3000000000000001E-3</v>
      </c>
      <c r="I37" s="224">
        <f t="shared" si="1"/>
        <v>1</v>
      </c>
      <c r="S37">
        <f t="shared" si="8"/>
        <v>3.1000000000000014</v>
      </c>
      <c r="T37">
        <v>58</v>
      </c>
      <c r="U37">
        <f t="shared" si="9"/>
        <v>9387</v>
      </c>
      <c r="V37">
        <f t="shared" si="2"/>
        <v>5.7999999999999996E-3</v>
      </c>
      <c r="W37">
        <f t="shared" si="3"/>
        <v>0.93869999999999998</v>
      </c>
    </row>
    <row r="38" spans="5:23" x14ac:dyDescent="0.25">
      <c r="F38">
        <f>SUM(F6:F37)</f>
        <v>10000</v>
      </c>
      <c r="S38">
        <f t="shared" si="8"/>
        <v>3.2000000000000015</v>
      </c>
      <c r="T38">
        <v>45</v>
      </c>
      <c r="U38">
        <f t="shared" si="9"/>
        <v>9432</v>
      </c>
      <c r="V38">
        <f t="shared" si="2"/>
        <v>4.4999999999999997E-3</v>
      </c>
      <c r="W38">
        <f t="shared" si="3"/>
        <v>0.94320000000000004</v>
      </c>
    </row>
    <row r="39" spans="5:23" x14ac:dyDescent="0.25">
      <c r="S39">
        <f t="shared" si="8"/>
        <v>3.3000000000000016</v>
      </c>
      <c r="T39">
        <v>44</v>
      </c>
      <c r="U39">
        <f t="shared" si="9"/>
        <v>9476</v>
      </c>
      <c r="V39">
        <f t="shared" si="2"/>
        <v>4.4000000000000003E-3</v>
      </c>
      <c r="W39">
        <f t="shared" si="3"/>
        <v>0.9476</v>
      </c>
    </row>
    <row r="40" spans="5:23" x14ac:dyDescent="0.25">
      <c r="E40" t="s">
        <v>603</v>
      </c>
      <c r="S40">
        <f t="shared" si="8"/>
        <v>3.4000000000000017</v>
      </c>
      <c r="T40">
        <v>48</v>
      </c>
      <c r="U40">
        <f t="shared" si="9"/>
        <v>9524</v>
      </c>
      <c r="V40">
        <f t="shared" si="2"/>
        <v>4.7999999999999996E-3</v>
      </c>
      <c r="W40">
        <f t="shared" si="3"/>
        <v>0.95240000000000002</v>
      </c>
    </row>
    <row r="41" spans="5:23" x14ac:dyDescent="0.25">
      <c r="S41">
        <f t="shared" si="8"/>
        <v>3.5000000000000018</v>
      </c>
      <c r="T41">
        <v>37</v>
      </c>
      <c r="U41">
        <f t="shared" si="9"/>
        <v>9561</v>
      </c>
      <c r="V41">
        <f t="shared" si="2"/>
        <v>3.7000000000000002E-3</v>
      </c>
      <c r="W41">
        <f t="shared" si="3"/>
        <v>0.95609999999999995</v>
      </c>
    </row>
    <row r="42" spans="5:23" x14ac:dyDescent="0.25">
      <c r="E42" t="s">
        <v>70</v>
      </c>
      <c r="F42" s="293">
        <v>0.05</v>
      </c>
      <c r="S42">
        <f t="shared" si="8"/>
        <v>3.6000000000000019</v>
      </c>
      <c r="T42">
        <v>21</v>
      </c>
      <c r="U42">
        <f t="shared" si="9"/>
        <v>9582</v>
      </c>
      <c r="V42">
        <f t="shared" si="2"/>
        <v>2.0999999999999999E-3</v>
      </c>
      <c r="W42">
        <f t="shared" si="3"/>
        <v>0.95820000000000005</v>
      </c>
    </row>
    <row r="43" spans="5:23" x14ac:dyDescent="0.25">
      <c r="E43" t="s">
        <v>604</v>
      </c>
      <c r="F43" s="206">
        <v>2.1096810066105172</v>
      </c>
      <c r="S43">
        <f t="shared" si="8"/>
        <v>3.700000000000002</v>
      </c>
      <c r="T43">
        <v>34</v>
      </c>
      <c r="U43">
        <f t="shared" si="9"/>
        <v>9616</v>
      </c>
      <c r="V43">
        <f t="shared" si="2"/>
        <v>3.3999999999999998E-3</v>
      </c>
      <c r="W43">
        <f t="shared" si="3"/>
        <v>0.96160000000000001</v>
      </c>
    </row>
    <row r="44" spans="5:23" x14ac:dyDescent="0.25">
      <c r="E44" t="s">
        <v>56</v>
      </c>
      <c r="F44" s="219">
        <v>0.13639999999999999</v>
      </c>
      <c r="S44">
        <f t="shared" si="8"/>
        <v>3.800000000000002</v>
      </c>
      <c r="T44">
        <v>30</v>
      </c>
      <c r="U44">
        <f t="shared" si="9"/>
        <v>9646</v>
      </c>
      <c r="V44">
        <f t="shared" si="2"/>
        <v>3.0000000000000001E-3</v>
      </c>
      <c r="W44">
        <f t="shared" si="3"/>
        <v>0.96460000000000001</v>
      </c>
    </row>
    <row r="45" spans="5:23" x14ac:dyDescent="0.25">
      <c r="S45">
        <f t="shared" si="8"/>
        <v>3.9000000000000021</v>
      </c>
      <c r="T45">
        <v>20</v>
      </c>
      <c r="U45">
        <f t="shared" si="9"/>
        <v>9666</v>
      </c>
      <c r="V45">
        <f t="shared" si="2"/>
        <v>2E-3</v>
      </c>
      <c r="W45">
        <f t="shared" si="3"/>
        <v>0.96660000000000001</v>
      </c>
    </row>
    <row r="46" spans="5:23" x14ac:dyDescent="0.25">
      <c r="S46">
        <f t="shared" si="8"/>
        <v>4.0000000000000018</v>
      </c>
      <c r="T46">
        <v>26</v>
      </c>
      <c r="U46">
        <f t="shared" si="9"/>
        <v>9692</v>
      </c>
      <c r="V46">
        <f t="shared" si="2"/>
        <v>2.5999999999999999E-3</v>
      </c>
      <c r="W46">
        <f t="shared" si="3"/>
        <v>0.96919999999999995</v>
      </c>
    </row>
    <row r="47" spans="5:23" x14ac:dyDescent="0.25">
      <c r="S47">
        <f t="shared" si="8"/>
        <v>4.1000000000000014</v>
      </c>
      <c r="T47">
        <v>23</v>
      </c>
      <c r="U47">
        <f t="shared" si="9"/>
        <v>9715</v>
      </c>
      <c r="V47">
        <f t="shared" si="2"/>
        <v>2.3E-3</v>
      </c>
      <c r="W47">
        <f t="shared" si="3"/>
        <v>0.97150000000000003</v>
      </c>
    </row>
    <row r="48" spans="5:23" x14ac:dyDescent="0.25">
      <c r="S48">
        <f t="shared" si="8"/>
        <v>4.2000000000000011</v>
      </c>
      <c r="T48">
        <v>20</v>
      </c>
      <c r="U48">
        <f t="shared" si="9"/>
        <v>9735</v>
      </c>
      <c r="V48">
        <f t="shared" si="2"/>
        <v>2E-3</v>
      </c>
      <c r="W48">
        <f t="shared" si="3"/>
        <v>0.97350000000000003</v>
      </c>
    </row>
    <row r="49" spans="19:23" x14ac:dyDescent="0.25">
      <c r="S49">
        <f t="shared" si="8"/>
        <v>4.3000000000000007</v>
      </c>
      <c r="T49">
        <v>26</v>
      </c>
      <c r="U49">
        <f t="shared" si="9"/>
        <v>9761</v>
      </c>
      <c r="V49">
        <f t="shared" si="2"/>
        <v>2.5999999999999999E-3</v>
      </c>
      <c r="W49">
        <f t="shared" si="3"/>
        <v>0.97609999999999997</v>
      </c>
    </row>
    <row r="50" spans="19:23" x14ac:dyDescent="0.25">
      <c r="S50">
        <f t="shared" si="8"/>
        <v>4.4000000000000004</v>
      </c>
      <c r="T50">
        <v>15</v>
      </c>
      <c r="U50">
        <f t="shared" si="9"/>
        <v>9776</v>
      </c>
      <c r="V50">
        <f t="shared" si="2"/>
        <v>1.5E-3</v>
      </c>
      <c r="W50">
        <f t="shared" si="3"/>
        <v>0.97760000000000002</v>
      </c>
    </row>
    <row r="51" spans="19:23" x14ac:dyDescent="0.25">
      <c r="S51">
        <f t="shared" si="8"/>
        <v>4.5</v>
      </c>
      <c r="T51">
        <v>12</v>
      </c>
      <c r="U51">
        <f t="shared" si="9"/>
        <v>9788</v>
      </c>
      <c r="V51">
        <f t="shared" si="2"/>
        <v>1.1999999999999999E-3</v>
      </c>
      <c r="W51">
        <f t="shared" si="3"/>
        <v>0.9788</v>
      </c>
    </row>
    <row r="52" spans="19:23" x14ac:dyDescent="0.25">
      <c r="S52">
        <f t="shared" si="8"/>
        <v>4.5999999999999996</v>
      </c>
      <c r="T52">
        <v>18</v>
      </c>
      <c r="U52">
        <f t="shared" si="9"/>
        <v>9806</v>
      </c>
      <c r="V52">
        <f t="shared" si="2"/>
        <v>1.8E-3</v>
      </c>
      <c r="W52">
        <f t="shared" si="3"/>
        <v>0.98060000000000003</v>
      </c>
    </row>
    <row r="53" spans="19:23" x14ac:dyDescent="0.25">
      <c r="S53">
        <f t="shared" si="8"/>
        <v>4.6999999999999993</v>
      </c>
      <c r="T53">
        <v>18</v>
      </c>
      <c r="U53">
        <f t="shared" si="9"/>
        <v>9824</v>
      </c>
      <c r="V53">
        <f t="shared" si="2"/>
        <v>1.8E-3</v>
      </c>
      <c r="W53">
        <f t="shared" si="3"/>
        <v>0.98240000000000005</v>
      </c>
    </row>
    <row r="54" spans="19:23" x14ac:dyDescent="0.25">
      <c r="S54">
        <f t="shared" si="8"/>
        <v>4.7999999999999989</v>
      </c>
      <c r="T54">
        <v>18</v>
      </c>
      <c r="U54">
        <f t="shared" si="9"/>
        <v>9842</v>
      </c>
      <c r="V54">
        <f t="shared" si="2"/>
        <v>1.8E-3</v>
      </c>
      <c r="W54">
        <f t="shared" si="3"/>
        <v>0.98419999999999996</v>
      </c>
    </row>
    <row r="55" spans="19:23" x14ac:dyDescent="0.25">
      <c r="S55">
        <f t="shared" si="8"/>
        <v>4.8999999999999986</v>
      </c>
      <c r="T55">
        <v>9</v>
      </c>
      <c r="U55">
        <f t="shared" si="9"/>
        <v>9851</v>
      </c>
      <c r="V55">
        <f t="shared" si="2"/>
        <v>8.9999999999999998E-4</v>
      </c>
      <c r="W55">
        <f t="shared" si="3"/>
        <v>0.98509999999999998</v>
      </c>
    </row>
    <row r="56" spans="19:23" x14ac:dyDescent="0.25">
      <c r="S56">
        <f t="shared" si="8"/>
        <v>4.9999999999999982</v>
      </c>
      <c r="T56">
        <v>10</v>
      </c>
      <c r="U56">
        <f t="shared" si="9"/>
        <v>9861</v>
      </c>
      <c r="V56">
        <f t="shared" si="2"/>
        <v>1E-3</v>
      </c>
      <c r="W56">
        <f t="shared" si="3"/>
        <v>0.98609999999999998</v>
      </c>
    </row>
    <row r="57" spans="19:23" x14ac:dyDescent="0.25">
      <c r="S57">
        <f t="shared" si="8"/>
        <v>5.0999999999999979</v>
      </c>
      <c r="T57">
        <v>9</v>
      </c>
      <c r="U57">
        <f t="shared" si="9"/>
        <v>9870</v>
      </c>
      <c r="V57">
        <f t="shared" si="2"/>
        <v>8.9999999999999998E-4</v>
      </c>
      <c r="W57">
        <f t="shared" si="3"/>
        <v>0.98699999999999999</v>
      </c>
    </row>
    <row r="58" spans="19:23" x14ac:dyDescent="0.25">
      <c r="S58">
        <f t="shared" si="8"/>
        <v>5.1999999999999975</v>
      </c>
      <c r="T58">
        <v>8</v>
      </c>
      <c r="U58">
        <f t="shared" si="9"/>
        <v>9878</v>
      </c>
      <c r="V58">
        <f t="shared" si="2"/>
        <v>8.0000000000000004E-4</v>
      </c>
      <c r="W58">
        <f t="shared" si="3"/>
        <v>0.98780000000000001</v>
      </c>
    </row>
    <row r="59" spans="19:23" x14ac:dyDescent="0.25">
      <c r="S59">
        <f t="shared" si="8"/>
        <v>5.2999999999999972</v>
      </c>
      <c r="T59">
        <v>9</v>
      </c>
      <c r="U59">
        <f t="shared" si="9"/>
        <v>9887</v>
      </c>
      <c r="V59">
        <f t="shared" si="2"/>
        <v>8.9999999999999998E-4</v>
      </c>
      <c r="W59">
        <f t="shared" si="3"/>
        <v>0.98870000000000002</v>
      </c>
    </row>
    <row r="60" spans="19:23" x14ac:dyDescent="0.25">
      <c r="S60">
        <f t="shared" si="8"/>
        <v>5.3999999999999968</v>
      </c>
      <c r="T60">
        <v>7</v>
      </c>
      <c r="U60">
        <f t="shared" si="9"/>
        <v>9894</v>
      </c>
      <c r="V60">
        <f t="shared" si="2"/>
        <v>6.9999999999999999E-4</v>
      </c>
      <c r="W60">
        <f t="shared" si="3"/>
        <v>0.98939999999999995</v>
      </c>
    </row>
    <row r="61" spans="19:23" x14ac:dyDescent="0.25">
      <c r="S61">
        <f t="shared" si="8"/>
        <v>5.4999999999999964</v>
      </c>
      <c r="T61">
        <v>13</v>
      </c>
      <c r="U61">
        <f t="shared" si="9"/>
        <v>9907</v>
      </c>
      <c r="V61">
        <f t="shared" si="2"/>
        <v>1.2999999999999999E-3</v>
      </c>
      <c r="W61">
        <f t="shared" si="3"/>
        <v>0.99070000000000003</v>
      </c>
    </row>
    <row r="62" spans="19:23" x14ac:dyDescent="0.25">
      <c r="S62">
        <f t="shared" si="8"/>
        <v>5.5999999999999961</v>
      </c>
      <c r="T62">
        <v>5</v>
      </c>
      <c r="U62">
        <f t="shared" si="9"/>
        <v>9912</v>
      </c>
      <c r="V62">
        <f t="shared" si="2"/>
        <v>5.0000000000000001E-4</v>
      </c>
      <c r="W62">
        <f t="shared" si="3"/>
        <v>0.99119999999999997</v>
      </c>
    </row>
    <row r="63" spans="19:23" x14ac:dyDescent="0.25">
      <c r="S63">
        <f t="shared" si="8"/>
        <v>5.6999999999999957</v>
      </c>
      <c r="T63">
        <v>3</v>
      </c>
      <c r="U63">
        <f t="shared" si="9"/>
        <v>9915</v>
      </c>
      <c r="V63">
        <f t="shared" si="2"/>
        <v>2.9999999999999997E-4</v>
      </c>
      <c r="W63">
        <f t="shared" si="3"/>
        <v>0.99150000000000005</v>
      </c>
    </row>
    <row r="64" spans="19:23" x14ac:dyDescent="0.25">
      <c r="S64">
        <f t="shared" si="8"/>
        <v>5.7999999999999954</v>
      </c>
      <c r="T64">
        <v>6</v>
      </c>
      <c r="U64">
        <f t="shared" si="9"/>
        <v>9921</v>
      </c>
      <c r="V64">
        <f t="shared" si="2"/>
        <v>5.9999999999999995E-4</v>
      </c>
      <c r="W64">
        <f t="shared" si="3"/>
        <v>0.99209999999999998</v>
      </c>
    </row>
    <row r="65" spans="19:23" x14ac:dyDescent="0.25">
      <c r="S65">
        <f t="shared" si="8"/>
        <v>5.899999999999995</v>
      </c>
      <c r="T65">
        <v>9</v>
      </c>
      <c r="U65">
        <f t="shared" si="9"/>
        <v>9930</v>
      </c>
      <c r="V65">
        <f t="shared" si="2"/>
        <v>8.9999999999999998E-4</v>
      </c>
      <c r="W65">
        <f t="shared" si="3"/>
        <v>0.99299999999999999</v>
      </c>
    </row>
    <row r="66" spans="19:23" x14ac:dyDescent="0.25">
      <c r="S66">
        <f t="shared" si="8"/>
        <v>5.9999999999999947</v>
      </c>
      <c r="T66">
        <v>4</v>
      </c>
      <c r="U66">
        <f t="shared" si="9"/>
        <v>9934</v>
      </c>
      <c r="V66">
        <f t="shared" si="2"/>
        <v>4.0000000000000002E-4</v>
      </c>
      <c r="W66">
        <f t="shared" si="3"/>
        <v>0.99339999999999995</v>
      </c>
    </row>
    <row r="67" spans="19:23" x14ac:dyDescent="0.25">
      <c r="S67">
        <f t="shared" si="8"/>
        <v>6.0999999999999943</v>
      </c>
      <c r="T67">
        <v>6</v>
      </c>
      <c r="U67">
        <f t="shared" si="9"/>
        <v>9940</v>
      </c>
      <c r="V67">
        <f t="shared" si="2"/>
        <v>5.9999999999999995E-4</v>
      </c>
      <c r="W67">
        <f t="shared" si="3"/>
        <v>0.99399999999999999</v>
      </c>
    </row>
    <row r="68" spans="19:23" x14ac:dyDescent="0.25">
      <c r="S68">
        <f t="shared" si="8"/>
        <v>6.199999999999994</v>
      </c>
      <c r="T68">
        <v>2</v>
      </c>
      <c r="U68">
        <f t="shared" si="9"/>
        <v>9942</v>
      </c>
      <c r="V68">
        <f t="shared" si="2"/>
        <v>2.0000000000000001E-4</v>
      </c>
      <c r="W68">
        <f t="shared" si="3"/>
        <v>0.99419999999999997</v>
      </c>
    </row>
    <row r="69" spans="19:23" x14ac:dyDescent="0.25">
      <c r="S69">
        <f t="shared" si="8"/>
        <v>6.2999999999999936</v>
      </c>
      <c r="T69">
        <v>3</v>
      </c>
      <c r="U69">
        <f t="shared" si="9"/>
        <v>9945</v>
      </c>
      <c r="V69">
        <f t="shared" si="2"/>
        <v>2.9999999999999997E-4</v>
      </c>
      <c r="W69">
        <f t="shared" si="3"/>
        <v>0.99450000000000005</v>
      </c>
    </row>
    <row r="70" spans="19:23" x14ac:dyDescent="0.25">
      <c r="S70">
        <f t="shared" si="8"/>
        <v>6.3999999999999932</v>
      </c>
      <c r="T70">
        <v>1</v>
      </c>
      <c r="U70">
        <f t="shared" si="9"/>
        <v>9946</v>
      </c>
      <c r="V70">
        <f t="shared" si="2"/>
        <v>1E-4</v>
      </c>
      <c r="W70">
        <f t="shared" si="3"/>
        <v>0.99460000000000004</v>
      </c>
    </row>
    <row r="71" spans="19:23" x14ac:dyDescent="0.25">
      <c r="S71">
        <f t="shared" si="8"/>
        <v>6.4999999999999929</v>
      </c>
      <c r="T71">
        <v>4</v>
      </c>
      <c r="U71">
        <f t="shared" si="9"/>
        <v>9950</v>
      </c>
      <c r="V71">
        <f t="shared" ref="V71:V87" si="12">T71/T$88</f>
        <v>4.0000000000000002E-4</v>
      </c>
      <c r="W71">
        <f t="shared" ref="W71:W87" si="13">U71/T$88</f>
        <v>0.995</v>
      </c>
    </row>
    <row r="72" spans="19:23" x14ac:dyDescent="0.25">
      <c r="S72">
        <f t="shared" ref="S72:S86" si="14">S71+0.1</f>
        <v>6.5999999999999925</v>
      </c>
      <c r="T72">
        <v>4</v>
      </c>
      <c r="U72">
        <f t="shared" ref="U72:U87" si="15">U71+T72</f>
        <v>9954</v>
      </c>
      <c r="V72">
        <f t="shared" si="12"/>
        <v>4.0000000000000002E-4</v>
      </c>
      <c r="W72">
        <f t="shared" si="13"/>
        <v>0.99539999999999995</v>
      </c>
    </row>
    <row r="73" spans="19:23" x14ac:dyDescent="0.25">
      <c r="S73">
        <f t="shared" si="14"/>
        <v>6.6999999999999922</v>
      </c>
      <c r="T73">
        <v>4</v>
      </c>
      <c r="U73">
        <f t="shared" si="15"/>
        <v>9958</v>
      </c>
      <c r="V73">
        <f t="shared" si="12"/>
        <v>4.0000000000000002E-4</v>
      </c>
      <c r="W73">
        <f t="shared" si="13"/>
        <v>0.99580000000000002</v>
      </c>
    </row>
    <row r="74" spans="19:23" x14ac:dyDescent="0.25">
      <c r="S74">
        <f t="shared" si="14"/>
        <v>6.7999999999999918</v>
      </c>
      <c r="T74">
        <v>2</v>
      </c>
      <c r="U74">
        <f t="shared" si="15"/>
        <v>9960</v>
      </c>
      <c r="V74">
        <f t="shared" si="12"/>
        <v>2.0000000000000001E-4</v>
      </c>
      <c r="W74">
        <f t="shared" si="13"/>
        <v>0.996</v>
      </c>
    </row>
    <row r="75" spans="19:23" x14ac:dyDescent="0.25">
      <c r="S75">
        <f t="shared" si="14"/>
        <v>6.8999999999999915</v>
      </c>
      <c r="T75">
        <v>5</v>
      </c>
      <c r="U75">
        <f t="shared" si="15"/>
        <v>9965</v>
      </c>
      <c r="V75">
        <f t="shared" si="12"/>
        <v>5.0000000000000001E-4</v>
      </c>
      <c r="W75">
        <f t="shared" si="13"/>
        <v>0.99650000000000005</v>
      </c>
    </row>
    <row r="76" spans="19:23" x14ac:dyDescent="0.25">
      <c r="S76">
        <f t="shared" si="14"/>
        <v>6.9999999999999911</v>
      </c>
      <c r="T76">
        <v>2</v>
      </c>
      <c r="U76">
        <f t="shared" si="15"/>
        <v>9967</v>
      </c>
      <c r="V76">
        <f t="shared" si="12"/>
        <v>2.0000000000000001E-4</v>
      </c>
      <c r="W76">
        <f t="shared" si="13"/>
        <v>0.99670000000000003</v>
      </c>
    </row>
    <row r="77" spans="19:23" x14ac:dyDescent="0.25">
      <c r="S77">
        <f t="shared" si="14"/>
        <v>7.0999999999999908</v>
      </c>
      <c r="T77">
        <v>2</v>
      </c>
      <c r="U77">
        <f t="shared" si="15"/>
        <v>9969</v>
      </c>
      <c r="V77">
        <f t="shared" si="12"/>
        <v>2.0000000000000001E-4</v>
      </c>
      <c r="W77">
        <f t="shared" si="13"/>
        <v>0.99690000000000001</v>
      </c>
    </row>
    <row r="78" spans="19:23" x14ac:dyDescent="0.25">
      <c r="S78">
        <f t="shared" si="14"/>
        <v>7.1999999999999904</v>
      </c>
      <c r="T78">
        <v>0</v>
      </c>
      <c r="U78">
        <f t="shared" si="15"/>
        <v>9969</v>
      </c>
      <c r="V78">
        <f t="shared" si="12"/>
        <v>0</v>
      </c>
      <c r="W78">
        <f t="shared" si="13"/>
        <v>0.99690000000000001</v>
      </c>
    </row>
    <row r="79" spans="19:23" x14ac:dyDescent="0.25">
      <c r="S79">
        <f t="shared" si="14"/>
        <v>7.2999999999999901</v>
      </c>
      <c r="T79">
        <v>3</v>
      </c>
      <c r="U79">
        <f t="shared" si="15"/>
        <v>9972</v>
      </c>
      <c r="V79">
        <f t="shared" si="12"/>
        <v>2.9999999999999997E-4</v>
      </c>
      <c r="W79">
        <f t="shared" si="13"/>
        <v>0.99719999999999998</v>
      </c>
    </row>
    <row r="80" spans="19:23" x14ac:dyDescent="0.25">
      <c r="S80">
        <f t="shared" si="14"/>
        <v>7.3999999999999897</v>
      </c>
      <c r="T80">
        <v>3</v>
      </c>
      <c r="U80">
        <f t="shared" si="15"/>
        <v>9975</v>
      </c>
      <c r="V80">
        <f t="shared" si="12"/>
        <v>2.9999999999999997E-4</v>
      </c>
      <c r="W80">
        <f t="shared" si="13"/>
        <v>0.99750000000000005</v>
      </c>
    </row>
    <row r="81" spans="19:23" x14ac:dyDescent="0.25">
      <c r="S81">
        <f t="shared" si="14"/>
        <v>7.4999999999999893</v>
      </c>
      <c r="T81">
        <v>4</v>
      </c>
      <c r="U81">
        <f t="shared" si="15"/>
        <v>9979</v>
      </c>
      <c r="V81">
        <f t="shared" si="12"/>
        <v>4.0000000000000002E-4</v>
      </c>
      <c r="W81">
        <f t="shared" si="13"/>
        <v>0.99790000000000001</v>
      </c>
    </row>
    <row r="82" spans="19:23" x14ac:dyDescent="0.25">
      <c r="S82">
        <f t="shared" si="14"/>
        <v>7.599999999999989</v>
      </c>
      <c r="T82">
        <v>1</v>
      </c>
      <c r="U82">
        <f t="shared" si="15"/>
        <v>9980</v>
      </c>
      <c r="V82">
        <f t="shared" si="12"/>
        <v>1E-4</v>
      </c>
      <c r="W82">
        <f t="shared" si="13"/>
        <v>0.998</v>
      </c>
    </row>
    <row r="83" spans="19:23" x14ac:dyDescent="0.25">
      <c r="S83">
        <f t="shared" si="14"/>
        <v>7.6999999999999886</v>
      </c>
      <c r="T83">
        <v>1</v>
      </c>
      <c r="U83">
        <f t="shared" si="15"/>
        <v>9981</v>
      </c>
      <c r="V83">
        <f t="shared" si="12"/>
        <v>1E-4</v>
      </c>
      <c r="W83">
        <f t="shared" si="13"/>
        <v>0.99809999999999999</v>
      </c>
    </row>
    <row r="84" spans="19:23" x14ac:dyDescent="0.25">
      <c r="S84">
        <f t="shared" si="14"/>
        <v>7.7999999999999883</v>
      </c>
      <c r="T84">
        <v>2</v>
      </c>
      <c r="U84">
        <f t="shared" si="15"/>
        <v>9983</v>
      </c>
      <c r="V84">
        <f t="shared" si="12"/>
        <v>2.0000000000000001E-4</v>
      </c>
      <c r="W84">
        <f t="shared" si="13"/>
        <v>0.99829999999999997</v>
      </c>
    </row>
    <row r="85" spans="19:23" x14ac:dyDescent="0.25">
      <c r="S85">
        <f t="shared" si="14"/>
        <v>7.8999999999999879</v>
      </c>
      <c r="T85">
        <v>0</v>
      </c>
      <c r="U85">
        <f t="shared" si="15"/>
        <v>9983</v>
      </c>
      <c r="V85">
        <f t="shared" si="12"/>
        <v>0</v>
      </c>
      <c r="W85">
        <f t="shared" si="13"/>
        <v>0.99829999999999997</v>
      </c>
    </row>
    <row r="86" spans="19:23" x14ac:dyDescent="0.25">
      <c r="S86">
        <f t="shared" si="14"/>
        <v>7.9999999999999876</v>
      </c>
      <c r="T86">
        <v>1</v>
      </c>
      <c r="U86">
        <f t="shared" si="15"/>
        <v>9984</v>
      </c>
      <c r="V86">
        <f t="shared" si="12"/>
        <v>1E-4</v>
      </c>
      <c r="W86">
        <f t="shared" si="13"/>
        <v>0.99839999999999995</v>
      </c>
    </row>
    <row r="87" spans="19:23" x14ac:dyDescent="0.25">
      <c r="S87" s="224" t="s">
        <v>29</v>
      </c>
      <c r="T87" s="224">
        <v>16</v>
      </c>
      <c r="U87" s="224">
        <f t="shared" si="15"/>
        <v>10000</v>
      </c>
      <c r="V87" s="224">
        <f t="shared" si="12"/>
        <v>1.6000000000000001E-3</v>
      </c>
      <c r="W87" s="224">
        <f t="shared" si="13"/>
        <v>1</v>
      </c>
    </row>
    <row r="88" spans="19:23" x14ac:dyDescent="0.25">
      <c r="T88">
        <f>SUM(T6:T87)</f>
        <v>10000</v>
      </c>
    </row>
    <row r="90" spans="19:23" x14ac:dyDescent="0.25">
      <c r="S90" t="s">
        <v>603</v>
      </c>
    </row>
    <row r="92" spans="19:23" x14ac:dyDescent="0.25">
      <c r="S92" t="s">
        <v>70</v>
      </c>
      <c r="T92" s="293">
        <v>0.05</v>
      </c>
    </row>
    <row r="93" spans="19:23" x14ac:dyDescent="0.25">
      <c r="S93" t="s">
        <v>604</v>
      </c>
      <c r="T93" s="206">
        <v>2.1096810066105172</v>
      </c>
    </row>
    <row r="94" spans="19:23" x14ac:dyDescent="0.25">
      <c r="S94" t="s">
        <v>56</v>
      </c>
      <c r="T94" s="219">
        <v>0.14119999999999999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20"/>
  <sheetViews>
    <sheetView workbookViewId="0"/>
  </sheetViews>
  <sheetFormatPr defaultRowHeight="15" x14ac:dyDescent="0.25"/>
  <cols>
    <col min="1" max="1" width="6.42578125" customWidth="1"/>
    <col min="5" max="5" width="4.28515625" customWidth="1"/>
    <col min="7" max="7" width="9.28515625" customWidth="1"/>
    <col min="8" max="8" width="2.85546875" customWidth="1"/>
    <col min="9" max="9" width="41.140625" customWidth="1"/>
    <col min="10" max="10" width="4" customWidth="1"/>
  </cols>
  <sheetData>
    <row r="1" spans="1:14" x14ac:dyDescent="0.25">
      <c r="A1" s="1" t="s">
        <v>713</v>
      </c>
    </row>
    <row r="3" spans="1:14" x14ac:dyDescent="0.25">
      <c r="B3" s="384" t="s">
        <v>86</v>
      </c>
      <c r="C3" s="384" t="s">
        <v>78</v>
      </c>
      <c r="D3" s="384" t="s">
        <v>79</v>
      </c>
      <c r="F3" t="s">
        <v>48</v>
      </c>
      <c r="G3" s="294">
        <f>COUNT(B4:E4)</f>
        <v>3</v>
      </c>
      <c r="I3" t="e">
        <f t="shared" ref="I3:I9" ca="1" si="0">FTEXT(G3)</f>
        <v>#NAME?</v>
      </c>
      <c r="K3" t="s">
        <v>468</v>
      </c>
    </row>
    <row r="4" spans="1:14" x14ac:dyDescent="0.25">
      <c r="B4" s="63">
        <v>72.5</v>
      </c>
      <c r="C4" s="63">
        <v>203</v>
      </c>
      <c r="D4" s="63">
        <v>156.1</v>
      </c>
      <c r="F4" t="s">
        <v>28</v>
      </c>
      <c r="G4" s="179">
        <f>SUM(B16:D16)</f>
        <v>32</v>
      </c>
      <c r="I4" t="e">
        <f t="shared" ca="1" si="0"/>
        <v>#NAME?</v>
      </c>
    </row>
    <row r="5" spans="1:14" x14ac:dyDescent="0.25">
      <c r="B5" s="63">
        <v>71.7</v>
      </c>
      <c r="C5" s="63">
        <v>172.3</v>
      </c>
      <c r="D5" s="63">
        <v>112.7</v>
      </c>
      <c r="F5" t="s">
        <v>714</v>
      </c>
      <c r="G5" s="179">
        <f>SUMPRODUCT(B20:D20,B19:D19)/(G4-G3)</f>
        <v>0.12983742398910209</v>
      </c>
      <c r="I5" t="e">
        <f t="shared" ca="1" si="0"/>
        <v>#NAME?</v>
      </c>
      <c r="K5" s="267"/>
      <c r="L5" s="267" t="str">
        <f>B3</f>
        <v>A</v>
      </c>
      <c r="M5" s="267" t="str">
        <f>C3</f>
        <v>B</v>
      </c>
      <c r="N5" s="267" t="str">
        <f>D3</f>
        <v>C</v>
      </c>
    </row>
    <row r="6" spans="1:14" x14ac:dyDescent="0.25">
      <c r="B6" s="63">
        <v>80.8</v>
      </c>
      <c r="C6" s="63">
        <v>180.1</v>
      </c>
      <c r="D6" s="63">
        <v>131</v>
      </c>
      <c r="F6" t="s">
        <v>372</v>
      </c>
      <c r="G6" s="188">
        <f>SUMPRODUCT(B20:D20,B19:D19^2)-(G4-G3)*G5^2</f>
        <v>6.3821195794156127E-2</v>
      </c>
      <c r="I6" t="e">
        <f t="shared" ca="1" si="0"/>
        <v>#NAME?</v>
      </c>
      <c r="K6" t="s">
        <v>374</v>
      </c>
      <c r="L6" t="e">
        <f ca="1">SHAPIRO(B4:B14)</f>
        <v>#NAME?</v>
      </c>
      <c r="M6" t="e">
        <f ca="1">SHAPIRO(C4:C14)</f>
        <v>#NAME?</v>
      </c>
      <c r="N6" t="e">
        <f ca="1">SHAPIRO(D4:D14)</f>
        <v>#NAME?</v>
      </c>
    </row>
    <row r="7" spans="1:14" x14ac:dyDescent="0.25">
      <c r="B7" s="63">
        <v>63.2</v>
      </c>
      <c r="C7" s="63">
        <v>190.2</v>
      </c>
      <c r="D7" s="63">
        <v>135.1</v>
      </c>
      <c r="F7" t="s">
        <v>373</v>
      </c>
      <c r="G7" s="179">
        <f>G5^2*(G5^2+0.5)</f>
        <v>8.713062293944673E-3</v>
      </c>
      <c r="I7" t="e">
        <f t="shared" ca="1" si="0"/>
        <v>#NAME?</v>
      </c>
      <c r="K7" t="s">
        <v>56</v>
      </c>
      <c r="L7" t="e">
        <f ca="1">SWTEST(B4:B14)</f>
        <v>#NAME?</v>
      </c>
      <c r="M7" t="e">
        <f ca="1">SWTEST(C4:C14)</f>
        <v>#NAME?</v>
      </c>
      <c r="N7" t="e">
        <f ca="1">SWTEST(D4:D14)</f>
        <v>#NAME?</v>
      </c>
    </row>
    <row r="8" spans="1:14" x14ac:dyDescent="0.25">
      <c r="B8" s="63">
        <v>71.400000000000006</v>
      </c>
      <c r="C8" s="63">
        <v>195.4</v>
      </c>
      <c r="D8" s="63">
        <v>100.6</v>
      </c>
      <c r="F8" t="s">
        <v>71</v>
      </c>
      <c r="G8" s="179">
        <f>G6/G7</f>
        <v>7.3247721227139646</v>
      </c>
      <c r="I8" t="e">
        <f t="shared" ca="1" si="0"/>
        <v>#NAME?</v>
      </c>
      <c r="K8" t="s">
        <v>70</v>
      </c>
      <c r="L8">
        <v>0.05</v>
      </c>
      <c r="M8">
        <v>0.05</v>
      </c>
      <c r="N8">
        <v>0.05</v>
      </c>
    </row>
    <row r="9" spans="1:14" x14ac:dyDescent="0.25">
      <c r="B9" s="63">
        <v>73.099999999999994</v>
      </c>
      <c r="C9" s="63">
        <v>153.6</v>
      </c>
      <c r="D9" s="63">
        <v>160.6</v>
      </c>
      <c r="F9" t="s">
        <v>51</v>
      </c>
      <c r="G9" s="179">
        <f>G3-1</f>
        <v>2</v>
      </c>
      <c r="I9" t="e">
        <f t="shared" ca="1" si="0"/>
        <v>#NAME?</v>
      </c>
      <c r="K9" s="224" t="s">
        <v>469</v>
      </c>
      <c r="L9" s="265" t="e">
        <f ca="1">IF(L7&lt;L8,"no","yes")</f>
        <v>#NAME?</v>
      </c>
      <c r="M9" s="265" t="e">
        <f ca="1">IF(M7&lt;M8,"no","yes")</f>
        <v>#NAME?</v>
      </c>
      <c r="N9" s="265" t="e">
        <f ca="1">IF(N7&lt;N8,"no","yes")</f>
        <v>#NAME?</v>
      </c>
    </row>
    <row r="10" spans="1:14" x14ac:dyDescent="0.25">
      <c r="B10" s="63">
        <v>77.900000000000006</v>
      </c>
      <c r="C10" s="63">
        <v>166.4</v>
      </c>
      <c r="D10" s="63">
        <v>171.4</v>
      </c>
      <c r="F10" t="s">
        <v>56</v>
      </c>
      <c r="G10" s="175">
        <f>CHIDIST(G8,G9)</f>
        <v>2.5671186565212792E-2</v>
      </c>
      <c r="I10" s="14" t="s">
        <v>715</v>
      </c>
    </row>
    <row r="11" spans="1:14" x14ac:dyDescent="0.25">
      <c r="B11" s="63">
        <v>75.7</v>
      </c>
      <c r="C11" s="63">
        <v>167.6</v>
      </c>
      <c r="D11" s="63">
        <v>95.5</v>
      </c>
    </row>
    <row r="12" spans="1:14" x14ac:dyDescent="0.25">
      <c r="B12" s="63">
        <v>72</v>
      </c>
      <c r="C12" s="63">
        <v>184.7</v>
      </c>
      <c r="D12" s="63">
        <v>150.30000000000001</v>
      </c>
    </row>
    <row r="13" spans="1:14" x14ac:dyDescent="0.25">
      <c r="B13" s="63">
        <v>59</v>
      </c>
      <c r="C13" s="63">
        <v>187.5</v>
      </c>
      <c r="D13" s="63">
        <v>128.80000000000001</v>
      </c>
    </row>
    <row r="14" spans="1:14" x14ac:dyDescent="0.25">
      <c r="B14" s="379"/>
      <c r="C14" s="379">
        <v>219.8</v>
      </c>
      <c r="D14" s="379">
        <v>170.2</v>
      </c>
    </row>
    <row r="16" spans="1:14" x14ac:dyDescent="0.25">
      <c r="A16" t="s">
        <v>666</v>
      </c>
      <c r="B16" s="325">
        <f>COUNT(B4:B14)</f>
        <v>10</v>
      </c>
      <c r="C16" s="325">
        <f>COUNT(C4:C14)</f>
        <v>11</v>
      </c>
      <c r="D16" s="325">
        <f>COUNT(D4:D14)</f>
        <v>11</v>
      </c>
    </row>
    <row r="17" spans="1:4" x14ac:dyDescent="0.25">
      <c r="A17" t="s">
        <v>4</v>
      </c>
      <c r="B17" s="26">
        <f>AVERAGE(B4:B14)</f>
        <v>71.73</v>
      </c>
      <c r="C17" s="26">
        <f>AVERAGE(C4:C14)</f>
        <v>183.69090909090909</v>
      </c>
      <c r="D17" s="26">
        <f>AVERAGE(D4:D14)</f>
        <v>137.48181818181817</v>
      </c>
    </row>
    <row r="18" spans="1:4" x14ac:dyDescent="0.25">
      <c r="A18" t="s">
        <v>6</v>
      </c>
      <c r="B18">
        <f>STDEV(B4:B14)</f>
        <v>6.4425753994639265</v>
      </c>
      <c r="C18">
        <f>STDEV(C4:C14)</f>
        <v>18.648616814415732</v>
      </c>
      <c r="D18">
        <f>STDEV(D4:D14)</f>
        <v>26.695048911055355</v>
      </c>
    </row>
    <row r="19" spans="1:4" x14ac:dyDescent="0.25">
      <c r="A19" t="s">
        <v>375</v>
      </c>
      <c r="B19">
        <f>B18/B17</f>
        <v>8.981702773545136E-2</v>
      </c>
      <c r="C19">
        <f>C18/C17</f>
        <v>0.1015217187758948</v>
      </c>
      <c r="D19">
        <f>D18/D17</f>
        <v>0.19417148583059507</v>
      </c>
    </row>
    <row r="20" spans="1:4" x14ac:dyDescent="0.25">
      <c r="A20" t="s">
        <v>703</v>
      </c>
      <c r="B20" s="224">
        <f>B16-1</f>
        <v>9</v>
      </c>
      <c r="C20" s="224">
        <f>C16-1</f>
        <v>10</v>
      </c>
      <c r="D20" s="224">
        <f>D16-1</f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7"/>
  <dimension ref="A1:N13"/>
  <sheetViews>
    <sheetView workbookViewId="0"/>
  </sheetViews>
  <sheetFormatPr defaultRowHeight="15" x14ac:dyDescent="0.25"/>
  <cols>
    <col min="4" max="4" width="6.7109375" customWidth="1"/>
    <col min="5" max="5" width="10.5703125" customWidth="1"/>
    <col min="9" max="9" width="3.5703125" customWidth="1"/>
    <col min="10" max="10" width="26.140625" customWidth="1"/>
    <col min="11" max="11" width="10.140625" customWidth="1"/>
  </cols>
  <sheetData>
    <row r="1" spans="1:14" x14ac:dyDescent="0.25">
      <c r="A1" s="1" t="s">
        <v>558</v>
      </c>
      <c r="M1" t="s">
        <v>523</v>
      </c>
    </row>
    <row r="3" spans="1:14" x14ac:dyDescent="0.25">
      <c r="A3" s="276" t="s">
        <v>59</v>
      </c>
      <c r="B3" s="276" t="s">
        <v>60</v>
      </c>
      <c r="C3" s="276" t="s">
        <v>65</v>
      </c>
      <c r="E3" t="s">
        <v>9</v>
      </c>
      <c r="F3" s="187">
        <f>MEDIAN(A4:C13)</f>
        <v>38</v>
      </c>
      <c r="J3" t="e">
        <f ca="1">FTEXT(F3)</f>
        <v>#NAME?</v>
      </c>
      <c r="M3" t="s">
        <v>576</v>
      </c>
    </row>
    <row r="4" spans="1:14" x14ac:dyDescent="0.25">
      <c r="A4" s="30">
        <v>46</v>
      </c>
      <c r="B4" s="255">
        <v>44</v>
      </c>
      <c r="C4" s="31">
        <v>26</v>
      </c>
    </row>
    <row r="5" spans="1:14" x14ac:dyDescent="0.25">
      <c r="A5" s="182">
        <v>32</v>
      </c>
      <c r="B5" s="277">
        <v>31</v>
      </c>
      <c r="C5" s="177">
        <v>49</v>
      </c>
      <c r="F5" s="276" t="s">
        <v>59</v>
      </c>
      <c r="G5" s="276" t="s">
        <v>60</v>
      </c>
      <c r="H5" s="276" t="s">
        <v>65</v>
      </c>
      <c r="M5" t="s">
        <v>31</v>
      </c>
      <c r="N5" s="292">
        <v>0.05</v>
      </c>
    </row>
    <row r="6" spans="1:14" x14ac:dyDescent="0.25">
      <c r="A6" s="182">
        <v>42</v>
      </c>
      <c r="B6" s="277">
        <v>25</v>
      </c>
      <c r="C6" s="177">
        <v>33</v>
      </c>
      <c r="E6" t="s">
        <v>559</v>
      </c>
      <c r="F6" s="3">
        <f>COUNTIF(A4:A13,"&gt;"&amp;$F$3)</f>
        <v>7</v>
      </c>
      <c r="G6" s="252">
        <f>COUNTIF(B4:B13,"&gt;"&amp;$F$3)</f>
        <v>2</v>
      </c>
      <c r="H6" s="5">
        <f>COUNTIF(C4:C13,"&gt;"&amp;$F$3)</f>
        <v>3</v>
      </c>
      <c r="J6" t="e">
        <f ca="1">FTEXT(F6)</f>
        <v>#NAME?</v>
      </c>
    </row>
    <row r="7" spans="1:14" x14ac:dyDescent="0.25">
      <c r="A7" s="182">
        <v>45</v>
      </c>
      <c r="B7" s="277">
        <v>22</v>
      </c>
      <c r="C7" s="177">
        <v>19</v>
      </c>
      <c r="E7" t="s">
        <v>560</v>
      </c>
      <c r="F7" s="170">
        <f>COUNT(A4:A13)-F6</f>
        <v>3</v>
      </c>
      <c r="G7" s="224">
        <f>COUNT(B4:B13)-G6</f>
        <v>7</v>
      </c>
      <c r="H7" s="174">
        <f>COUNT(C4:C13)-H6</f>
        <v>5</v>
      </c>
      <c r="J7" t="e">
        <f ca="1">FTEXT(F7)</f>
        <v>#NAME?</v>
      </c>
      <c r="M7" t="s">
        <v>9</v>
      </c>
      <c r="N7" s="293">
        <f>MEDIAN(A4:C13)</f>
        <v>38</v>
      </c>
    </row>
    <row r="8" spans="1:14" x14ac:dyDescent="0.25">
      <c r="A8" s="182">
        <v>37</v>
      </c>
      <c r="B8" s="277">
        <v>30</v>
      </c>
      <c r="C8" s="177">
        <v>31</v>
      </c>
      <c r="J8" t="e">
        <f ca="1">FTEXT(F8)</f>
        <v>#NAME?</v>
      </c>
      <c r="M8" t="s">
        <v>89</v>
      </c>
      <c r="N8" s="206" t="e">
        <f ca="1">MOODS_STAT(A4:C13)</f>
        <v>#NAME?</v>
      </c>
    </row>
    <row r="9" spans="1:14" x14ac:dyDescent="0.25">
      <c r="A9" s="182">
        <v>44</v>
      </c>
      <c r="B9" s="277">
        <v>30</v>
      </c>
      <c r="C9" s="177">
        <v>38</v>
      </c>
      <c r="E9" t="s">
        <v>89</v>
      </c>
      <c r="F9" s="25" t="e">
        <f ca="1">CHI_STAT(F6:H7)</f>
        <v>#NAME?</v>
      </c>
      <c r="J9" s="14" t="s">
        <v>562</v>
      </c>
      <c r="K9" s="14"/>
      <c r="M9" t="s">
        <v>51</v>
      </c>
      <c r="N9" s="206">
        <f>COUNT(A4:C4)-1</f>
        <v>2</v>
      </c>
    </row>
    <row r="10" spans="1:14" x14ac:dyDescent="0.25">
      <c r="A10" s="182">
        <v>38</v>
      </c>
      <c r="B10" s="277">
        <v>32</v>
      </c>
      <c r="C10" s="177">
        <v>44</v>
      </c>
      <c r="E10" t="s">
        <v>56</v>
      </c>
      <c r="F10" s="175" t="e">
        <f ca="1">CHI_TEST(F6:H7)</f>
        <v>#NAME?</v>
      </c>
      <c r="J10" s="14" t="s">
        <v>563</v>
      </c>
      <c r="K10" s="14"/>
      <c r="M10" t="s">
        <v>56</v>
      </c>
      <c r="N10" s="206" t="e">
        <f ca="1">CHIDIST(N8,N9)</f>
        <v>#NAME?</v>
      </c>
    </row>
    <row r="11" spans="1:14" x14ac:dyDescent="0.25">
      <c r="A11" s="182">
        <v>47</v>
      </c>
      <c r="B11" s="277">
        <v>19</v>
      </c>
      <c r="C11" s="177">
        <v>50</v>
      </c>
      <c r="M11" t="s">
        <v>188</v>
      </c>
      <c r="N11" s="220" t="e">
        <f ca="1">IF(N10&lt;N5,"yes","no")</f>
        <v>#NAME?</v>
      </c>
    </row>
    <row r="12" spans="1:14" x14ac:dyDescent="0.25">
      <c r="A12" s="182">
        <v>49</v>
      </c>
      <c r="B12" s="277">
        <v>40</v>
      </c>
      <c r="C12" s="177"/>
      <c r="E12" t="s">
        <v>89</v>
      </c>
      <c r="F12" s="25" t="e">
        <f ca="1">MOODS_STAT(A4:C13)</f>
        <v>#NAME?</v>
      </c>
      <c r="J12" s="14" t="e">
        <f ca="1">FTEXT(F12)</f>
        <v>#NAME?</v>
      </c>
      <c r="K12" s="14"/>
    </row>
    <row r="13" spans="1:14" x14ac:dyDescent="0.25">
      <c r="A13" s="176">
        <v>41</v>
      </c>
      <c r="B13" s="254"/>
      <c r="C13" s="172"/>
      <c r="E13" t="s">
        <v>56</v>
      </c>
      <c r="F13" s="175" t="e">
        <f ca="1">MOODS_TEST(A4:C13)</f>
        <v>#NAME?</v>
      </c>
      <c r="J13" s="14" t="e">
        <f ca="1">FTEXT(F13)</f>
        <v>#NAME?</v>
      </c>
      <c r="K13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AI24"/>
  <sheetViews>
    <sheetView zoomScaleNormal="100" workbookViewId="0"/>
  </sheetViews>
  <sheetFormatPr defaultRowHeight="15" x14ac:dyDescent="0.25"/>
  <cols>
    <col min="2" max="5" width="7" customWidth="1"/>
    <col min="7" max="7" width="16.7109375" customWidth="1"/>
    <col min="15" max="15" width="18.140625" customWidth="1"/>
  </cols>
  <sheetData>
    <row r="1" spans="1:35" x14ac:dyDescent="0.25">
      <c r="A1" s="1" t="s">
        <v>246</v>
      </c>
      <c r="V1" t="s">
        <v>597</v>
      </c>
    </row>
    <row r="3" spans="1:35" x14ac:dyDescent="0.25">
      <c r="B3" s="12" t="s">
        <v>239</v>
      </c>
      <c r="C3" s="12" t="s">
        <v>240</v>
      </c>
      <c r="D3" s="12" t="s">
        <v>241</v>
      </c>
      <c r="E3" s="12" t="s">
        <v>245</v>
      </c>
      <c r="G3" t="s">
        <v>236</v>
      </c>
      <c r="V3" t="s">
        <v>24</v>
      </c>
      <c r="AC3" t="s">
        <v>493</v>
      </c>
    </row>
    <row r="4" spans="1:35" ht="15.75" thickBot="1" x14ac:dyDescent="0.3">
      <c r="A4" t="s">
        <v>242</v>
      </c>
      <c r="B4" s="117">
        <v>123</v>
      </c>
      <c r="C4" s="118">
        <v>138</v>
      </c>
      <c r="D4" s="118">
        <v>110</v>
      </c>
      <c r="E4" s="119">
        <v>151</v>
      </c>
    </row>
    <row r="5" spans="1:35" ht="15.75" thickBot="1" x14ac:dyDescent="0.3">
      <c r="A5" t="s">
        <v>243</v>
      </c>
      <c r="B5" s="6">
        <v>145</v>
      </c>
      <c r="C5" s="7">
        <v>165</v>
      </c>
      <c r="D5" s="7">
        <v>140</v>
      </c>
      <c r="E5" s="8">
        <v>167</v>
      </c>
      <c r="G5" s="110" t="s">
        <v>52</v>
      </c>
      <c r="H5" s="110" t="s">
        <v>19</v>
      </c>
      <c r="I5" s="110" t="s">
        <v>18</v>
      </c>
      <c r="J5" s="110" t="s">
        <v>134</v>
      </c>
      <c r="K5" s="110" t="s">
        <v>62</v>
      </c>
      <c r="V5" t="s">
        <v>489</v>
      </c>
      <c r="AC5" t="s">
        <v>101</v>
      </c>
      <c r="AG5" s="241" t="s">
        <v>31</v>
      </c>
      <c r="AH5" s="241">
        <v>0.05</v>
      </c>
    </row>
    <row r="6" spans="1:35" ht="15.75" thickTop="1" x14ac:dyDescent="0.25">
      <c r="A6" t="s">
        <v>244</v>
      </c>
      <c r="B6" s="50">
        <v>156</v>
      </c>
      <c r="C6" s="10">
        <v>176</v>
      </c>
      <c r="D6" s="10">
        <v>185</v>
      </c>
      <c r="E6" s="11">
        <v>175</v>
      </c>
      <c r="G6" s="17" t="s">
        <v>242</v>
      </c>
      <c r="H6" s="17">
        <f>COUNT(B4:E4)</f>
        <v>4</v>
      </c>
      <c r="I6" s="17">
        <f>SUM(B4:E4)</f>
        <v>522</v>
      </c>
      <c r="J6" s="17">
        <f>AVERAGE(B4:E4)</f>
        <v>130.5</v>
      </c>
      <c r="K6" s="17">
        <f>VAR(B4:E4)</f>
        <v>317.66666666666669</v>
      </c>
      <c r="W6" s="241" t="str">
        <f>B3</f>
        <v>Wheat</v>
      </c>
      <c r="X6" s="241" t="str">
        <f>C3</f>
        <v>Corn</v>
      </c>
      <c r="Y6" s="241" t="str">
        <f>D3</f>
        <v>Soy</v>
      </c>
      <c r="Z6" s="241" t="str">
        <f>E3</f>
        <v>Rice</v>
      </c>
      <c r="AC6" s="217"/>
      <c r="AD6" s="217" t="s">
        <v>88</v>
      </c>
      <c r="AE6" s="217" t="s">
        <v>51</v>
      </c>
      <c r="AF6" s="217" t="s">
        <v>92</v>
      </c>
      <c r="AG6" s="217" t="s">
        <v>82</v>
      </c>
      <c r="AH6" s="217" t="s">
        <v>56</v>
      </c>
      <c r="AI6" s="251" t="s">
        <v>865</v>
      </c>
    </row>
    <row r="7" spans="1:35" x14ac:dyDescent="0.25">
      <c r="G7" s="17" t="s">
        <v>243</v>
      </c>
      <c r="H7" s="17">
        <f>COUNT(B5:E5)</f>
        <v>4</v>
      </c>
      <c r="I7" s="17">
        <f>SUM(B5:E5)</f>
        <v>617</v>
      </c>
      <c r="J7" s="17">
        <f>AVERAGE(B5:E5)</f>
        <v>154.25</v>
      </c>
      <c r="K7" s="17">
        <f>VAR(B5:E5)</f>
        <v>188.91666666666666</v>
      </c>
      <c r="V7" t="str">
        <f>A4</f>
        <v>Blend X</v>
      </c>
      <c r="W7" s="246">
        <f t="shared" ref="W7:Z9" si="0">COUNT(B4)</f>
        <v>1</v>
      </c>
      <c r="X7" s="247">
        <f t="shared" si="0"/>
        <v>1</v>
      </c>
      <c r="Y7" s="247">
        <f t="shared" si="0"/>
        <v>1</v>
      </c>
      <c r="Z7" s="248">
        <f t="shared" si="0"/>
        <v>1</v>
      </c>
      <c r="AA7">
        <f>COUNT(B4:E4)</f>
        <v>4</v>
      </c>
      <c r="AC7" t="s">
        <v>83</v>
      </c>
      <c r="AD7">
        <f>DEVSQ(AA14:AA16)*AA7</f>
        <v>3629.166666666667</v>
      </c>
      <c r="AE7">
        <f>COUNT(AA14:AA16)-1</f>
        <v>2</v>
      </c>
      <c r="AF7">
        <f>AD7/AE7</f>
        <v>1814.5833333333335</v>
      </c>
      <c r="AG7">
        <f>AF7/AF9</f>
        <v>12.826428431179759</v>
      </c>
      <c r="AH7">
        <f>FDIST(AG7,AE7,AE9)</f>
        <v>6.8110647607708659E-3</v>
      </c>
      <c r="AI7">
        <f>AD7/(AD7+AD9)</f>
        <v>0.81044365043918065</v>
      </c>
    </row>
    <row r="8" spans="1:35" x14ac:dyDescent="0.25">
      <c r="G8" s="17" t="s">
        <v>244</v>
      </c>
      <c r="H8" s="17">
        <f>COUNT(B6:E6)</f>
        <v>4</v>
      </c>
      <c r="I8" s="17">
        <f>SUM(B6:E6)</f>
        <v>692</v>
      </c>
      <c r="J8" s="17">
        <f>AVERAGE(B6:E6)</f>
        <v>173</v>
      </c>
      <c r="K8" s="17">
        <f>VAR(B6:E6)</f>
        <v>148.66666666666666</v>
      </c>
      <c r="V8" t="str">
        <f>A5</f>
        <v>Blend Y</v>
      </c>
      <c r="W8" s="178">
        <f t="shared" si="0"/>
        <v>1</v>
      </c>
      <c r="X8" s="7">
        <f t="shared" si="0"/>
        <v>1</v>
      </c>
      <c r="Y8" s="7">
        <f t="shared" si="0"/>
        <v>1</v>
      </c>
      <c r="Z8" s="40">
        <f t="shared" si="0"/>
        <v>1</v>
      </c>
      <c r="AA8">
        <f>COUNT(B5:E5)</f>
        <v>4</v>
      </c>
      <c r="AC8" t="s">
        <v>238</v>
      </c>
      <c r="AD8">
        <f>DEVSQ(W17:Z17)*W10</f>
        <v>1116.9166666666663</v>
      </c>
      <c r="AE8">
        <f>COUNT(W17:Z17)-1</f>
        <v>3</v>
      </c>
      <c r="AF8">
        <f>AD8/AE8</f>
        <v>372.30555555555543</v>
      </c>
      <c r="AG8">
        <f>AF8/AF9</f>
        <v>2.6316512860788706</v>
      </c>
      <c r="AH8">
        <f>FDIST(AG8,AE8,AE9)</f>
        <v>0.14456121517442636</v>
      </c>
      <c r="AI8">
        <f>AD8/(AD8+AD9)</f>
        <v>0.56818856246555027</v>
      </c>
    </row>
    <row r="9" spans="1:35" x14ac:dyDescent="0.25">
      <c r="G9" s="17"/>
      <c r="H9" s="17"/>
      <c r="I9" s="17"/>
      <c r="J9" s="17"/>
      <c r="K9" s="17"/>
      <c r="V9" t="str">
        <f>A6</f>
        <v>Blend Z</v>
      </c>
      <c r="W9" s="221">
        <f t="shared" si="0"/>
        <v>1</v>
      </c>
      <c r="X9" s="222">
        <f t="shared" si="0"/>
        <v>1</v>
      </c>
      <c r="Y9" s="222">
        <f t="shared" si="0"/>
        <v>1</v>
      </c>
      <c r="Z9" s="223">
        <f t="shared" si="0"/>
        <v>1</v>
      </c>
      <c r="AA9">
        <f>COUNT(B6:E6)</f>
        <v>4</v>
      </c>
      <c r="AC9" t="s">
        <v>237</v>
      </c>
      <c r="AD9">
        <f>AD11-AD7-AD8</f>
        <v>848.83333333335281</v>
      </c>
      <c r="AE9">
        <f>AE8*AE7</f>
        <v>6</v>
      </c>
      <c r="AF9">
        <f>AD9/AE9</f>
        <v>141.47222222222547</v>
      </c>
    </row>
    <row r="10" spans="1:35" x14ac:dyDescent="0.25">
      <c r="G10" s="17" t="s">
        <v>239</v>
      </c>
      <c r="H10" s="17">
        <f>COUNT(B4:B6)</f>
        <v>3</v>
      </c>
      <c r="I10" s="17">
        <f>SUM(B4:B6)</f>
        <v>424</v>
      </c>
      <c r="J10" s="17">
        <f>AVERAGE(B4:B6)</f>
        <v>141.33333333333334</v>
      </c>
      <c r="K10" s="17">
        <f>VAR(B4:B6)</f>
        <v>282.33333333333337</v>
      </c>
      <c r="W10">
        <f>COUNT(B4:B6)</f>
        <v>3</v>
      </c>
      <c r="X10">
        <f>COUNT(C4:C6)</f>
        <v>3</v>
      </c>
      <c r="Y10">
        <f>COUNT(D4:D6)</f>
        <v>3</v>
      </c>
      <c r="Z10">
        <f>COUNT(E4:E6)</f>
        <v>3</v>
      </c>
      <c r="AA10">
        <f>COUNT(B4:E6)</f>
        <v>12</v>
      </c>
    </row>
    <row r="11" spans="1:35" x14ac:dyDescent="0.25">
      <c r="G11" s="17" t="s">
        <v>240</v>
      </c>
      <c r="H11" s="17">
        <f>COUNT(C4:C6)</f>
        <v>3</v>
      </c>
      <c r="I11" s="17">
        <f>SUM(C4:C6)</f>
        <v>479</v>
      </c>
      <c r="J11" s="17">
        <f>AVERAGE(C4:C6)</f>
        <v>159.66666666666666</v>
      </c>
      <c r="K11" s="17">
        <f>VAR(C4:C6)</f>
        <v>382.33333333333337</v>
      </c>
      <c r="AC11" s="224" t="s">
        <v>1</v>
      </c>
      <c r="AD11" s="224">
        <f>AF11*AE11</f>
        <v>5594.9166666666861</v>
      </c>
      <c r="AE11" s="224">
        <f>AA10-1</f>
        <v>11</v>
      </c>
      <c r="AF11" s="224">
        <f>AA24</f>
        <v>508.62878787878964</v>
      </c>
      <c r="AG11" s="224"/>
      <c r="AH11" s="224"/>
      <c r="AI11" s="224"/>
    </row>
    <row r="12" spans="1:35" x14ac:dyDescent="0.25">
      <c r="G12" s="17" t="s">
        <v>241</v>
      </c>
      <c r="H12" s="17">
        <f>COUNT(D4:D6)</f>
        <v>3</v>
      </c>
      <c r="I12" s="17">
        <f>SUM(D4:D6)</f>
        <v>435</v>
      </c>
      <c r="J12" s="17">
        <f>AVERAGE(D4:D6)</f>
        <v>145</v>
      </c>
      <c r="K12" s="17">
        <f>VAR(D4:D6)</f>
        <v>1425</v>
      </c>
      <c r="V12" t="s">
        <v>259</v>
      </c>
    </row>
    <row r="13" spans="1:35" ht="15.75" thickBot="1" x14ac:dyDescent="0.3">
      <c r="G13" s="18" t="s">
        <v>245</v>
      </c>
      <c r="H13" s="18">
        <f>COUNT(E4:E6)</f>
        <v>3</v>
      </c>
      <c r="I13" s="18">
        <f>SUM(E4:E6)</f>
        <v>493</v>
      </c>
      <c r="J13" s="18">
        <f>AVERAGE(E4:E6)</f>
        <v>164.33333333333334</v>
      </c>
      <c r="K13" s="18">
        <f>VAR(E4:E6)</f>
        <v>149.33333333333331</v>
      </c>
      <c r="W13" s="241" t="str">
        <f>B3</f>
        <v>Wheat</v>
      </c>
      <c r="X13" s="241" t="str">
        <f>C3</f>
        <v>Corn</v>
      </c>
      <c r="Y13" s="241" t="str">
        <f>D3</f>
        <v>Soy</v>
      </c>
      <c r="Z13" s="241" t="str">
        <f>E3</f>
        <v>Rice</v>
      </c>
    </row>
    <row r="14" spans="1:35" x14ac:dyDescent="0.25">
      <c r="O14" t="s">
        <v>596</v>
      </c>
      <c r="V14" t="str">
        <f>A4</f>
        <v>Blend X</v>
      </c>
      <c r="W14" s="246">
        <f t="shared" ref="W14:Z16" si="1">AVERAGE(B4)</f>
        <v>123</v>
      </c>
      <c r="X14" s="247">
        <f t="shared" si="1"/>
        <v>138</v>
      </c>
      <c r="Y14" s="247">
        <f t="shared" si="1"/>
        <v>110</v>
      </c>
      <c r="Z14" s="248">
        <f t="shared" si="1"/>
        <v>151</v>
      </c>
      <c r="AA14">
        <f>AVERAGE(B4:E4)</f>
        <v>130.5</v>
      </c>
    </row>
    <row r="15" spans="1:35" x14ac:dyDescent="0.25">
      <c r="V15" t="str">
        <f>A5</f>
        <v>Blend Y</v>
      </c>
      <c r="W15" s="178">
        <f t="shared" si="1"/>
        <v>145</v>
      </c>
      <c r="X15" s="7">
        <f t="shared" si="1"/>
        <v>165</v>
      </c>
      <c r="Y15" s="7">
        <f t="shared" si="1"/>
        <v>140</v>
      </c>
      <c r="Z15" s="40">
        <f t="shared" si="1"/>
        <v>167</v>
      </c>
      <c r="AA15">
        <f>AVERAGE(B5:E5)</f>
        <v>154.25</v>
      </c>
    </row>
    <row r="16" spans="1:35" ht="15.75" thickBot="1" x14ac:dyDescent="0.3">
      <c r="G16" t="s">
        <v>101</v>
      </c>
      <c r="O16" t="s">
        <v>101</v>
      </c>
      <c r="V16" t="str">
        <f>A6</f>
        <v>Blend Z</v>
      </c>
      <c r="W16" s="221">
        <f t="shared" si="1"/>
        <v>156</v>
      </c>
      <c r="X16" s="222">
        <f t="shared" si="1"/>
        <v>176</v>
      </c>
      <c r="Y16" s="222">
        <f t="shared" si="1"/>
        <v>185</v>
      </c>
      <c r="Z16" s="223">
        <f t="shared" si="1"/>
        <v>175</v>
      </c>
      <c r="AA16">
        <f>AVERAGE(B6:E6)</f>
        <v>173</v>
      </c>
    </row>
    <row r="17" spans="7:27" x14ac:dyDescent="0.25">
      <c r="G17" s="110" t="s">
        <v>135</v>
      </c>
      <c r="H17" s="110" t="s">
        <v>88</v>
      </c>
      <c r="I17" s="110" t="s">
        <v>51</v>
      </c>
      <c r="J17" s="110" t="s">
        <v>92</v>
      </c>
      <c r="K17" s="110" t="s">
        <v>82</v>
      </c>
      <c r="L17" s="110" t="s">
        <v>74</v>
      </c>
      <c r="M17" s="110" t="s">
        <v>136</v>
      </c>
      <c r="O17" s="212" t="s">
        <v>135</v>
      </c>
      <c r="P17" s="212" t="s">
        <v>88</v>
      </c>
      <c r="Q17" s="212" t="s">
        <v>51</v>
      </c>
      <c r="R17" s="212" t="s">
        <v>92</v>
      </c>
      <c r="S17" s="212" t="s">
        <v>82</v>
      </c>
      <c r="T17" s="212" t="s">
        <v>74</v>
      </c>
      <c r="W17">
        <f>AVERAGE(B4:B6)</f>
        <v>141.33333333333334</v>
      </c>
      <c r="X17">
        <f>AVERAGE(C4:C6)</f>
        <v>159.66666666666666</v>
      </c>
      <c r="Y17">
        <f>AVERAGE(D4:D6)</f>
        <v>145</v>
      </c>
      <c r="Z17">
        <f>AVERAGE(E4:E6)</f>
        <v>164.33333333333334</v>
      </c>
      <c r="AA17">
        <f>AVERAGE(B4:E6)</f>
        <v>152.58333333333334</v>
      </c>
    </row>
    <row r="18" spans="7:27" x14ac:dyDescent="0.25">
      <c r="G18" s="17" t="s">
        <v>83</v>
      </c>
      <c r="H18" s="17">
        <f>DEVSQ(J6:J8)*H6</f>
        <v>3629.166666666667</v>
      </c>
      <c r="I18" s="17">
        <f>H10-1</f>
        <v>2</v>
      </c>
      <c r="J18" s="17">
        <f>H18/I18</f>
        <v>1814.5833333333335</v>
      </c>
      <c r="K18" s="17">
        <f>J18/J20</f>
        <v>12.826428431180046</v>
      </c>
      <c r="L18" s="17">
        <f>FDIST(K18,I18,I20)</f>
        <v>6.8110647607704912E-3</v>
      </c>
      <c r="M18" s="17">
        <f>FINV(0.05,I18,I20)</f>
        <v>5.1432528497847176</v>
      </c>
      <c r="O18" s="17" t="s">
        <v>83</v>
      </c>
      <c r="P18" s="17" t="e">
        <f ca="1">SSRow(B4:E6,1)</f>
        <v>#NAME?</v>
      </c>
      <c r="Q18" s="17" t="e">
        <f ca="1">dfRow(B4:E6,1)</f>
        <v>#NAME?</v>
      </c>
      <c r="R18" s="17" t="e">
        <f ca="1">MSRow(B4:E6,1)</f>
        <v>#NAME?</v>
      </c>
      <c r="S18" s="17" t="e">
        <f ca="1">ANOVARow(B4:E6,1)</f>
        <v>#NAME?</v>
      </c>
      <c r="T18" s="17" t="e">
        <f ca="1">ATESTRow(B4:E6,1)</f>
        <v>#NAME?</v>
      </c>
    </row>
    <row r="19" spans="7:27" x14ac:dyDescent="0.25">
      <c r="G19" s="17" t="s">
        <v>238</v>
      </c>
      <c r="H19" s="17">
        <f>DEVSQ(J10:J13)*H10</f>
        <v>1116.9166666666663</v>
      </c>
      <c r="I19" s="17">
        <f>H6-1</f>
        <v>3</v>
      </c>
      <c r="J19" s="17">
        <f>H19/I19</f>
        <v>372.30555555555543</v>
      </c>
      <c r="K19" s="17">
        <f>J19/J20</f>
        <v>2.6316512860789296</v>
      </c>
      <c r="L19" s="17">
        <f>FDIST(K19,I19,I20)</f>
        <v>0.14456121517442133</v>
      </c>
      <c r="M19" s="17">
        <f>FINV(0.05,I19,I20)</f>
        <v>4.7570626630894131</v>
      </c>
      <c r="O19" s="17" t="s">
        <v>238</v>
      </c>
      <c r="P19" s="17" t="e">
        <f ca="1">SSCol(B4:E6,1)</f>
        <v>#NAME?</v>
      </c>
      <c r="Q19" s="17" t="e">
        <f ca="1">dfCol(B4:E6,1)</f>
        <v>#NAME?</v>
      </c>
      <c r="R19" s="17" t="e">
        <f ca="1">MSCol(B4:E6,1)</f>
        <v>#NAME?</v>
      </c>
      <c r="S19" s="17" t="e">
        <f ca="1">ANOVACol(B4:E6,1)</f>
        <v>#NAME?</v>
      </c>
      <c r="T19" s="17" t="e">
        <f ca="1">ATESTCol(B4:E6,1)</f>
        <v>#NAME?</v>
      </c>
      <c r="V19" t="s">
        <v>490</v>
      </c>
    </row>
    <row r="20" spans="7:27" x14ac:dyDescent="0.25">
      <c r="G20" s="17" t="s">
        <v>237</v>
      </c>
      <c r="H20" s="17">
        <f>H22-H18-H19</f>
        <v>848.83333333333371</v>
      </c>
      <c r="I20" s="17">
        <f>I18*I19</f>
        <v>6</v>
      </c>
      <c r="J20" s="17">
        <f>H20/I20</f>
        <v>141.47222222222229</v>
      </c>
      <c r="K20" s="17"/>
      <c r="L20" s="17"/>
      <c r="M20" s="17"/>
      <c r="O20" s="17" t="s">
        <v>237</v>
      </c>
      <c r="P20" s="17" t="e">
        <f ca="1">SSWF(B4:E6,1)</f>
        <v>#NAME?</v>
      </c>
      <c r="Q20" s="17" t="e">
        <f ca="1">dfWF(B4:E6,1)</f>
        <v>#NAME?</v>
      </c>
      <c r="R20" s="17" t="e">
        <f ca="1">MSWF(B4:E6,1)</f>
        <v>#NAME?</v>
      </c>
      <c r="S20" s="17"/>
      <c r="T20" s="17"/>
      <c r="W20" s="241" t="str">
        <f>B3</f>
        <v>Wheat</v>
      </c>
      <c r="X20" s="241" t="str">
        <f>C3</f>
        <v>Corn</v>
      </c>
      <c r="Y20" s="241" t="str">
        <f>D3</f>
        <v>Soy</v>
      </c>
      <c r="Z20" s="241" t="str">
        <f>E3</f>
        <v>Rice</v>
      </c>
    </row>
    <row r="21" spans="7:27" x14ac:dyDescent="0.25">
      <c r="V21" t="str">
        <f>A4</f>
        <v>Blend X</v>
      </c>
      <c r="W21" s="246" t="e">
        <f t="shared" ref="W21:Z23" si="2">VAR(B4)</f>
        <v>#DIV/0!</v>
      </c>
      <c r="X21" s="247" t="e">
        <f t="shared" si="2"/>
        <v>#DIV/0!</v>
      </c>
      <c r="Y21" s="247" t="e">
        <f t="shared" si="2"/>
        <v>#DIV/0!</v>
      </c>
      <c r="Z21" s="248" t="e">
        <f t="shared" si="2"/>
        <v>#DIV/0!</v>
      </c>
      <c r="AA21">
        <f>VAR(B4:E4)</f>
        <v>317.66666666666669</v>
      </c>
    </row>
    <row r="22" spans="7:27" ht="15.75" thickBot="1" x14ac:dyDescent="0.3">
      <c r="G22" s="18" t="s">
        <v>1</v>
      </c>
      <c r="H22" s="18">
        <f>DEVSQ(B4:E6)</f>
        <v>5594.916666666667</v>
      </c>
      <c r="I22" s="18">
        <f>H6*H10-1</f>
        <v>11</v>
      </c>
      <c r="J22" s="18"/>
      <c r="K22" s="18"/>
      <c r="L22" s="18"/>
      <c r="M22" s="18"/>
      <c r="O22" s="18" t="s">
        <v>1</v>
      </c>
      <c r="P22" s="18" t="e">
        <f ca="1">SSTot(B4:E6,1)</f>
        <v>#NAME?</v>
      </c>
      <c r="Q22" s="18" t="e">
        <f ca="1">dfTot(B4:E6,1)</f>
        <v>#NAME?</v>
      </c>
      <c r="R22" s="18"/>
      <c r="S22" s="18"/>
      <c r="T22" s="18"/>
      <c r="V22" t="str">
        <f>A5</f>
        <v>Blend Y</v>
      </c>
      <c r="W22" s="178" t="e">
        <f t="shared" si="2"/>
        <v>#DIV/0!</v>
      </c>
      <c r="X22" s="7" t="e">
        <f t="shared" si="2"/>
        <v>#DIV/0!</v>
      </c>
      <c r="Y22" s="7" t="e">
        <f t="shared" si="2"/>
        <v>#DIV/0!</v>
      </c>
      <c r="Z22" s="40" t="e">
        <f t="shared" si="2"/>
        <v>#DIV/0!</v>
      </c>
      <c r="AA22">
        <f>VAR(B5:E5)</f>
        <v>188.91666666666666</v>
      </c>
    </row>
    <row r="23" spans="7:27" x14ac:dyDescent="0.25">
      <c r="V23" t="str">
        <f>A6</f>
        <v>Blend Z</v>
      </c>
      <c r="W23" s="221" t="e">
        <f t="shared" si="2"/>
        <v>#DIV/0!</v>
      </c>
      <c r="X23" s="222" t="e">
        <f t="shared" si="2"/>
        <v>#DIV/0!</v>
      </c>
      <c r="Y23" s="222" t="e">
        <f t="shared" si="2"/>
        <v>#DIV/0!</v>
      </c>
      <c r="Z23" s="223" t="e">
        <f t="shared" si="2"/>
        <v>#DIV/0!</v>
      </c>
      <c r="AA23">
        <f>VAR(B6:E6)</f>
        <v>148.66666666666666</v>
      </c>
    </row>
    <row r="24" spans="7:27" x14ac:dyDescent="0.25">
      <c r="W24">
        <f>VAR(B4:B6)</f>
        <v>282.33333333333337</v>
      </c>
      <c r="X24">
        <f>VAR(C4:C6)</f>
        <v>382.33333333333337</v>
      </c>
      <c r="Y24">
        <f>VAR(D4:D6)</f>
        <v>1425</v>
      </c>
      <c r="Z24">
        <f>VAR(E4:E6)</f>
        <v>149.33333333333331</v>
      </c>
      <c r="AA24">
        <f>VAR(B4:E6)</f>
        <v>508.62878787878964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15"/>
  <sheetViews>
    <sheetView workbookViewId="0"/>
  </sheetViews>
  <sheetFormatPr defaultRowHeight="15" x14ac:dyDescent="0.25"/>
  <cols>
    <col min="2" max="5" width="7" customWidth="1"/>
  </cols>
  <sheetData>
    <row r="1" spans="1:29" x14ac:dyDescent="0.25">
      <c r="A1" s="1" t="s">
        <v>246</v>
      </c>
      <c r="G1" t="s">
        <v>803</v>
      </c>
      <c r="P1" s="471">
        <f t="array" ref="P1:S5">TRANSPOSE(A3:E6)</f>
        <v>0</v>
      </c>
      <c r="Q1" t="str">
        <v>Blend X</v>
      </c>
      <c r="R1" t="str">
        <v>Blend Y</v>
      </c>
      <c r="S1" t="str">
        <v>Blend Z</v>
      </c>
      <c r="U1" t="s">
        <v>803</v>
      </c>
    </row>
    <row r="2" spans="1:29" x14ac:dyDescent="0.25">
      <c r="P2" t="str">
        <v>Wheat</v>
      </c>
      <c r="Q2" s="426">
        <v>123</v>
      </c>
      <c r="R2" s="472">
        <v>145</v>
      </c>
      <c r="S2" s="473">
        <v>156</v>
      </c>
    </row>
    <row r="3" spans="1:29" x14ac:dyDescent="0.25">
      <c r="B3" s="12" t="s">
        <v>239</v>
      </c>
      <c r="C3" s="12" t="s">
        <v>240</v>
      </c>
      <c r="D3" s="12" t="s">
        <v>241</v>
      </c>
      <c r="E3" s="12" t="s">
        <v>245</v>
      </c>
      <c r="H3" t="str">
        <f>B3</f>
        <v>Wheat</v>
      </c>
      <c r="I3" t="str">
        <f t="shared" ref="I3:K3" si="0">C3</f>
        <v>Corn</v>
      </c>
      <c r="J3" t="str">
        <f t="shared" si="0"/>
        <v>Soy</v>
      </c>
      <c r="K3" t="str">
        <f t="shared" si="0"/>
        <v>Rice</v>
      </c>
      <c r="P3" t="str">
        <v>Corn</v>
      </c>
      <c r="Q3" s="430">
        <v>138</v>
      </c>
      <c r="R3" s="424">
        <v>165</v>
      </c>
      <c r="S3" s="425">
        <v>176</v>
      </c>
      <c r="V3" t="str">
        <f>Q1</f>
        <v>Blend X</v>
      </c>
      <c r="W3" t="str">
        <f>R1</f>
        <v>Blend Y</v>
      </c>
      <c r="X3" t="str">
        <f>S1</f>
        <v>Blend Z</v>
      </c>
    </row>
    <row r="4" spans="1:29" x14ac:dyDescent="0.25">
      <c r="A4" t="s">
        <v>242</v>
      </c>
      <c r="B4" s="117">
        <v>123</v>
      </c>
      <c r="C4" s="118">
        <v>138</v>
      </c>
      <c r="D4" s="118">
        <v>110</v>
      </c>
      <c r="E4" s="119">
        <v>151</v>
      </c>
      <c r="G4" t="s">
        <v>207</v>
      </c>
      <c r="H4" s="463">
        <f>-1/3</f>
        <v>-0.33333333333333331</v>
      </c>
      <c r="I4" s="464">
        <f>-1/3</f>
        <v>-0.33333333333333331</v>
      </c>
      <c r="J4" s="464">
        <f>-1/3</f>
        <v>-0.33333333333333331</v>
      </c>
      <c r="K4" s="465">
        <v>1</v>
      </c>
      <c r="L4" s="466" t="s">
        <v>801</v>
      </c>
      <c r="P4" t="str">
        <v>Soy</v>
      </c>
      <c r="Q4" s="430">
        <v>110</v>
      </c>
      <c r="R4" s="424">
        <v>140</v>
      </c>
      <c r="S4" s="425">
        <v>185</v>
      </c>
      <c r="U4" t="s">
        <v>207</v>
      </c>
      <c r="V4" s="463">
        <v>-0.5</v>
      </c>
      <c r="W4" s="464">
        <v>-0.5</v>
      </c>
      <c r="X4" s="465">
        <v>1</v>
      </c>
      <c r="Y4" s="466" t="s">
        <v>801</v>
      </c>
    </row>
    <row r="5" spans="1:29" x14ac:dyDescent="0.25">
      <c r="A5" t="s">
        <v>243</v>
      </c>
      <c r="B5" s="6">
        <v>145</v>
      </c>
      <c r="C5" s="7">
        <v>165</v>
      </c>
      <c r="D5" s="7">
        <v>140</v>
      </c>
      <c r="E5" s="8">
        <v>167</v>
      </c>
      <c r="G5">
        <v>1</v>
      </c>
      <c r="H5" s="380">
        <f>B4</f>
        <v>123</v>
      </c>
      <c r="I5" s="411">
        <f t="shared" ref="I5:K5" si="1">C4</f>
        <v>138</v>
      </c>
      <c r="J5" s="411">
        <f t="shared" si="1"/>
        <v>110</v>
      </c>
      <c r="K5" s="382">
        <f t="shared" si="1"/>
        <v>151</v>
      </c>
      <c r="L5" s="344">
        <f>SUMPRODUCT($H$4:$K$4,H5:K5)</f>
        <v>27.333333333333343</v>
      </c>
      <c r="P5" t="str">
        <v>Rice</v>
      </c>
      <c r="Q5" s="474">
        <v>151</v>
      </c>
      <c r="R5" s="475">
        <v>167</v>
      </c>
      <c r="S5" s="476">
        <v>175</v>
      </c>
      <c r="U5">
        <v>1</v>
      </c>
      <c r="V5" s="380">
        <f t="shared" ref="V5:X8" si="2">Q2</f>
        <v>123</v>
      </c>
      <c r="W5" s="411">
        <f t="shared" si="2"/>
        <v>145</v>
      </c>
      <c r="X5" s="382">
        <f t="shared" si="2"/>
        <v>156</v>
      </c>
      <c r="Y5" s="344">
        <f>SUMPRODUCT($V$4:$X$4,V5:X5)</f>
        <v>22</v>
      </c>
    </row>
    <row r="6" spans="1:29" x14ac:dyDescent="0.25">
      <c r="A6" t="s">
        <v>244</v>
      </c>
      <c r="B6" s="50">
        <v>156</v>
      </c>
      <c r="C6" s="10">
        <v>176</v>
      </c>
      <c r="D6" s="10">
        <v>185</v>
      </c>
      <c r="E6" s="11">
        <v>175</v>
      </c>
      <c r="G6">
        <f>G5+1</f>
        <v>2</v>
      </c>
      <c r="H6" s="178">
        <f t="shared" ref="H6:H7" si="3">B5</f>
        <v>145</v>
      </c>
      <c r="I6" s="7">
        <f t="shared" ref="I6:I7" si="4">C5</f>
        <v>165</v>
      </c>
      <c r="J6" s="7">
        <f t="shared" ref="J6:J7" si="5">D5</f>
        <v>140</v>
      </c>
      <c r="K6" s="40">
        <f t="shared" ref="K6:K7" si="6">E5</f>
        <v>167</v>
      </c>
      <c r="L6" s="206">
        <f t="shared" ref="L6:L7" si="7">SUMPRODUCT($H$4:$K$4,H6:K6)</f>
        <v>17</v>
      </c>
      <c r="U6">
        <f>U5+1</f>
        <v>2</v>
      </c>
      <c r="V6" s="178">
        <f t="shared" si="2"/>
        <v>138</v>
      </c>
      <c r="W6" s="7">
        <f t="shared" si="2"/>
        <v>165</v>
      </c>
      <c r="X6" s="40">
        <f t="shared" si="2"/>
        <v>176</v>
      </c>
      <c r="Y6" s="206">
        <f t="shared" ref="Y6:Y8" si="8">SUMPRODUCT($V$4:$X$4,V6:X6)</f>
        <v>24.5</v>
      </c>
    </row>
    <row r="7" spans="1:29" x14ac:dyDescent="0.25">
      <c r="G7">
        <f>G6+1</f>
        <v>3</v>
      </c>
      <c r="H7" s="460">
        <f t="shared" si="3"/>
        <v>156</v>
      </c>
      <c r="I7" s="461">
        <f t="shared" si="4"/>
        <v>176</v>
      </c>
      <c r="J7" s="461">
        <f t="shared" si="5"/>
        <v>185</v>
      </c>
      <c r="K7" s="462">
        <f t="shared" si="6"/>
        <v>175</v>
      </c>
      <c r="L7" s="467">
        <f t="shared" si="7"/>
        <v>2.6666666666666856</v>
      </c>
      <c r="U7">
        <f t="shared" ref="U7:U8" si="9">U6+1</f>
        <v>3</v>
      </c>
      <c r="V7" s="178">
        <f t="shared" si="2"/>
        <v>110</v>
      </c>
      <c r="W7" s="7">
        <f t="shared" si="2"/>
        <v>140</v>
      </c>
      <c r="X7" s="40">
        <f t="shared" si="2"/>
        <v>185</v>
      </c>
      <c r="Y7" s="206">
        <f t="shared" si="8"/>
        <v>60</v>
      </c>
    </row>
    <row r="8" spans="1:29" x14ac:dyDescent="0.25">
      <c r="K8" t="s">
        <v>4</v>
      </c>
      <c r="L8" s="344">
        <f>AVERAGE(L5:L7)</f>
        <v>15.666666666666677</v>
      </c>
      <c r="U8">
        <f t="shared" si="9"/>
        <v>4</v>
      </c>
      <c r="V8" s="460">
        <f t="shared" si="2"/>
        <v>151</v>
      </c>
      <c r="W8" s="461">
        <f t="shared" si="2"/>
        <v>167</v>
      </c>
      <c r="X8" s="462">
        <f t="shared" si="2"/>
        <v>175</v>
      </c>
      <c r="Y8" s="467">
        <f t="shared" si="8"/>
        <v>16</v>
      </c>
    </row>
    <row r="9" spans="1:29" x14ac:dyDescent="0.25">
      <c r="K9" t="s">
        <v>770</v>
      </c>
      <c r="L9" s="206">
        <f>STDEV(L5:L7)</f>
        <v>12.387269450708029</v>
      </c>
      <c r="X9" t="s">
        <v>4</v>
      </c>
      <c r="Y9" s="344">
        <f>AVERAGE(Y5:Y8)</f>
        <v>30.625</v>
      </c>
    </row>
    <row r="10" spans="1:29" x14ac:dyDescent="0.25">
      <c r="K10" t="s">
        <v>370</v>
      </c>
      <c r="L10" s="467">
        <f>L9/SQRT(COUNTA(L5:L7))</f>
        <v>7.1517933518907082</v>
      </c>
      <c r="X10" t="s">
        <v>770</v>
      </c>
      <c r="Y10" s="206">
        <f>STDEV(Y5:Y8)</f>
        <v>19.905505938475081</v>
      </c>
    </row>
    <row r="11" spans="1:29" x14ac:dyDescent="0.25">
      <c r="X11" t="s">
        <v>370</v>
      </c>
      <c r="Y11" s="467">
        <f>Y10/SQRT(COUNTA(Y5:Y8))</f>
        <v>9.9527529692375403</v>
      </c>
    </row>
    <row r="12" spans="1:29" ht="15.75" thickBot="1" x14ac:dyDescent="0.3">
      <c r="G12" t="s">
        <v>55</v>
      </c>
      <c r="J12" t="s">
        <v>31</v>
      </c>
      <c r="K12">
        <v>0.05</v>
      </c>
    </row>
    <row r="13" spans="1:29" ht="16.5" thickTop="1" thickBot="1" x14ac:dyDescent="0.3">
      <c r="G13" s="251" t="s">
        <v>4</v>
      </c>
      <c r="H13" s="251" t="s">
        <v>370</v>
      </c>
      <c r="I13" s="251" t="s">
        <v>67</v>
      </c>
      <c r="J13" s="251" t="s">
        <v>51</v>
      </c>
      <c r="K13" s="251" t="s">
        <v>56</v>
      </c>
      <c r="L13" s="251" t="s">
        <v>188</v>
      </c>
      <c r="M13" s="251" t="s">
        <v>802</v>
      </c>
      <c r="N13" s="251" t="s">
        <v>371</v>
      </c>
      <c r="U13" t="s">
        <v>55</v>
      </c>
      <c r="X13" t="s">
        <v>31</v>
      </c>
      <c r="Y13">
        <v>0.05</v>
      </c>
    </row>
    <row r="14" spans="1:29" ht="15.75" thickTop="1" x14ac:dyDescent="0.25">
      <c r="G14" s="332">
        <f>L8</f>
        <v>15.666666666666677</v>
      </c>
      <c r="H14" s="332">
        <f>L10</f>
        <v>7.1517933518907082</v>
      </c>
      <c r="I14" s="332">
        <f>G14/H14</f>
        <v>2.1905927500722466</v>
      </c>
      <c r="J14" s="332">
        <f>COUNTA(L5:L7)-1</f>
        <v>2</v>
      </c>
      <c r="K14" s="332">
        <f>_xlfn.T.DIST.2T(ABS(I14),J14)</f>
        <v>0.15986550686416334</v>
      </c>
      <c r="L14" s="333" t="str">
        <f>IF(K14&lt;K12,"yes","no")</f>
        <v>no</v>
      </c>
      <c r="M14" s="332">
        <f>ABS(L8)/L9</f>
        <v>1.2647393139390541</v>
      </c>
      <c r="N14" s="332">
        <f>SQRT(G14^2/(G14^2+J14))</f>
        <v>0.99595048955160326</v>
      </c>
      <c r="O14" s="459"/>
      <c r="U14" s="251" t="s">
        <v>4</v>
      </c>
      <c r="V14" s="251" t="s">
        <v>370</v>
      </c>
      <c r="W14" s="251" t="s">
        <v>67</v>
      </c>
      <c r="X14" s="251" t="s">
        <v>51</v>
      </c>
      <c r="Y14" s="251" t="s">
        <v>56</v>
      </c>
      <c r="Z14" s="251" t="s">
        <v>188</v>
      </c>
      <c r="AA14" s="251" t="s">
        <v>802</v>
      </c>
      <c r="AB14" s="251" t="s">
        <v>371</v>
      </c>
    </row>
    <row r="15" spans="1:29" x14ac:dyDescent="0.25">
      <c r="U15" s="332">
        <f>Y9</f>
        <v>30.625</v>
      </c>
      <c r="V15" s="332">
        <f>Y11</f>
        <v>9.9527529692375403</v>
      </c>
      <c r="W15" s="332">
        <f>U15/V15</f>
        <v>3.0770380913358606</v>
      </c>
      <c r="X15" s="332">
        <f>COUNTA(Y5:Y8)-1</f>
        <v>3</v>
      </c>
      <c r="Y15" s="332">
        <f>_xlfn.T.DIST.2T(ABS(W15),X15)</f>
        <v>5.4261792375590416E-2</v>
      </c>
      <c r="Z15" s="333" t="str">
        <f>IF(Y15&lt;Y13,"yes","no")</f>
        <v>no</v>
      </c>
      <c r="AA15" s="332">
        <f>ABS(Y9)/Y10</f>
        <v>1.5385190456679303</v>
      </c>
      <c r="AB15" s="332">
        <f>SQRT(U15^2/(U15^2+X15))</f>
        <v>0.99840449299233491</v>
      </c>
      <c r="AC15" s="459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B45"/>
  <sheetViews>
    <sheetView workbookViewId="0"/>
  </sheetViews>
  <sheetFormatPr defaultRowHeight="15" x14ac:dyDescent="0.25"/>
  <cols>
    <col min="2" max="5" width="7" customWidth="1"/>
  </cols>
  <sheetData>
    <row r="1" spans="1:28" x14ac:dyDescent="0.25">
      <c r="A1" s="1" t="s">
        <v>246</v>
      </c>
    </row>
    <row r="2" spans="1:28" ht="15.75" thickBot="1" x14ac:dyDescent="0.3">
      <c r="G2" s="477">
        <f t="array" ref="G2:J6">TRANSPOSE(A3:E6)</f>
        <v>0</v>
      </c>
      <c r="H2" s="7" t="str">
        <v>Blend X</v>
      </c>
      <c r="I2" s="7" t="str">
        <v>Blend Y</v>
      </c>
      <c r="J2" s="7" t="str">
        <v>Blend Z</v>
      </c>
      <c r="L2" t="s">
        <v>804</v>
      </c>
      <c r="U2" s="471" t="s">
        <v>804</v>
      </c>
    </row>
    <row r="3" spans="1:28" ht="15.75" thickTop="1" x14ac:dyDescent="0.25">
      <c r="B3" s="12" t="s">
        <v>239</v>
      </c>
      <c r="C3" s="12" t="s">
        <v>240</v>
      </c>
      <c r="D3" s="12" t="s">
        <v>241</v>
      </c>
      <c r="E3" s="12" t="s">
        <v>245</v>
      </c>
      <c r="G3" s="7" t="str">
        <v>Wheat</v>
      </c>
      <c r="H3" s="423">
        <v>123</v>
      </c>
      <c r="I3" s="252">
        <v>145</v>
      </c>
      <c r="J3" s="478">
        <v>156</v>
      </c>
      <c r="L3" s="251" t="s">
        <v>757</v>
      </c>
      <c r="M3" s="251" t="s">
        <v>4</v>
      </c>
      <c r="N3" s="251" t="s">
        <v>370</v>
      </c>
      <c r="O3" s="251" t="s">
        <v>51</v>
      </c>
      <c r="P3" s="251" t="s">
        <v>195</v>
      </c>
      <c r="Q3" s="251" t="s">
        <v>760</v>
      </c>
      <c r="U3" s="251" t="s">
        <v>757</v>
      </c>
      <c r="V3" s="251" t="s">
        <v>4</v>
      </c>
      <c r="W3" s="251" t="s">
        <v>370</v>
      </c>
      <c r="X3" s="251" t="s">
        <v>51</v>
      </c>
      <c r="Y3" s="251" t="s">
        <v>195</v>
      </c>
      <c r="Z3" s="251" t="s">
        <v>760</v>
      </c>
    </row>
    <row r="4" spans="1:28" x14ac:dyDescent="0.25">
      <c r="A4" t="s">
        <v>242</v>
      </c>
      <c r="B4" s="423">
        <v>123</v>
      </c>
      <c r="C4" s="252">
        <v>138</v>
      </c>
      <c r="D4" s="252">
        <v>110</v>
      </c>
      <c r="E4" s="478">
        <v>151</v>
      </c>
      <c r="G4" s="7" t="str">
        <v>Corn</v>
      </c>
      <c r="H4" s="180">
        <v>138</v>
      </c>
      <c r="I4" s="7">
        <v>165</v>
      </c>
      <c r="J4" s="181">
        <v>176</v>
      </c>
      <c r="L4" s="252" t="str">
        <f t="array" ref="L4:L6">TRANSPOSE(H2:J2)</f>
        <v>Blend X</v>
      </c>
      <c r="M4" s="252">
        <f>AVERAGE(H3:H6)</f>
        <v>130.5</v>
      </c>
      <c r="N4" s="252"/>
      <c r="O4" s="252"/>
      <c r="P4" s="252"/>
      <c r="Q4" s="252"/>
      <c r="U4" s="252" t="str">
        <f t="array" ref="U4:U7">TRANSPOSE(B3:E3)</f>
        <v>Wheat</v>
      </c>
      <c r="V4" s="252">
        <f>AVERAGE(B4:B6)</f>
        <v>141.33333333333334</v>
      </c>
      <c r="W4" s="252"/>
      <c r="X4" s="252"/>
      <c r="Y4" s="252"/>
      <c r="Z4" s="252"/>
    </row>
    <row r="5" spans="1:28" x14ac:dyDescent="0.25">
      <c r="A5" t="s">
        <v>243</v>
      </c>
      <c r="B5" s="180">
        <v>145</v>
      </c>
      <c r="C5" s="7">
        <v>165</v>
      </c>
      <c r="D5" s="7">
        <v>140</v>
      </c>
      <c r="E5" s="181">
        <v>167</v>
      </c>
      <c r="G5" s="7" t="str">
        <v>Soy</v>
      </c>
      <c r="H5" s="180">
        <v>110</v>
      </c>
      <c r="I5" s="7">
        <v>140</v>
      </c>
      <c r="J5" s="181">
        <v>185</v>
      </c>
      <c r="L5" s="7" t="str">
        <v>Blend Y</v>
      </c>
      <c r="M5" s="7">
        <f>AVERAGE(I3:I6)</f>
        <v>154.25</v>
      </c>
      <c r="N5" s="7"/>
      <c r="O5" s="7"/>
      <c r="P5" s="7"/>
      <c r="Q5" s="7"/>
      <c r="U5" s="7" t="str">
        <v>Corn</v>
      </c>
      <c r="V5" s="7">
        <f>AVERAGE(C4:C6)</f>
        <v>159.66666666666666</v>
      </c>
      <c r="W5" s="7"/>
      <c r="X5" s="7"/>
      <c r="Y5" s="7"/>
      <c r="Z5" s="7"/>
    </row>
    <row r="6" spans="1:28" x14ac:dyDescent="0.25">
      <c r="A6" t="s">
        <v>244</v>
      </c>
      <c r="B6" s="479">
        <v>156</v>
      </c>
      <c r="C6" s="469">
        <v>176</v>
      </c>
      <c r="D6" s="469">
        <v>185</v>
      </c>
      <c r="E6" s="480">
        <v>175</v>
      </c>
      <c r="G6" s="7" t="str">
        <v>Rice</v>
      </c>
      <c r="H6" s="479">
        <v>151</v>
      </c>
      <c r="I6" s="469">
        <v>167</v>
      </c>
      <c r="J6" s="480">
        <v>175</v>
      </c>
      <c r="L6" s="469" t="str">
        <v>Blend Z</v>
      </c>
      <c r="M6" s="469">
        <f>AVERAGE(J3:J6)</f>
        <v>173</v>
      </c>
      <c r="N6" s="469"/>
      <c r="O6" s="469"/>
      <c r="P6" s="469"/>
      <c r="Q6" s="469"/>
      <c r="U6" s="7" t="str">
        <v>Soy</v>
      </c>
      <c r="V6" s="7">
        <f>AVERAGE(D4:D6)</f>
        <v>145</v>
      </c>
      <c r="W6" s="7"/>
      <c r="X6" s="7"/>
      <c r="Y6" s="7"/>
      <c r="Z6" s="7"/>
    </row>
    <row r="7" spans="1:28" x14ac:dyDescent="0.25">
      <c r="N7" t="e">
        <f ca="1">SQRT(MSWF(H3:J6,1)/COUNT(H3:H6))</f>
        <v>#NAME?</v>
      </c>
      <c r="O7" t="e">
        <f ca="1">dfWF(H3:J6,1)</f>
        <v>#NAME?</v>
      </c>
      <c r="P7" t="e">
        <f ca="1">QCRIT(COUNT(M4:M6),O7,S8,2)</f>
        <v>#NAME?</v>
      </c>
      <c r="Q7" t="e">
        <f ca="1">N7*P7</f>
        <v>#NAME?</v>
      </c>
      <c r="U7" s="469" t="str">
        <v>Rice</v>
      </c>
      <c r="V7" s="469">
        <f>AVERAGE(E4:E6)</f>
        <v>164.33333333333334</v>
      </c>
      <c r="W7" s="469"/>
      <c r="X7" s="469"/>
      <c r="Y7" s="469"/>
      <c r="Z7" s="469"/>
    </row>
    <row r="8" spans="1:28" ht="15.75" thickBot="1" x14ac:dyDescent="0.3">
      <c r="L8" t="s">
        <v>478</v>
      </c>
      <c r="R8" s="468" t="s">
        <v>70</v>
      </c>
      <c r="S8">
        <v>0.05</v>
      </c>
      <c r="W8" t="e">
        <f ca="1">SQRT(MSWF(B4:E6,1)/COUNT(B4:B6))</f>
        <v>#NAME?</v>
      </c>
      <c r="X8" t="e">
        <f ca="1">dfWF(B4:E6,1)</f>
        <v>#NAME?</v>
      </c>
      <c r="Y8" t="e">
        <f ca="1">QCRIT(COUNT(V4:V7),X8,AB9,2)</f>
        <v>#NAME?</v>
      </c>
      <c r="Z8" t="e">
        <f ca="1">W8*Y8</f>
        <v>#NAME?</v>
      </c>
    </row>
    <row r="9" spans="1:28" ht="16.5" thickTop="1" thickBot="1" x14ac:dyDescent="0.3">
      <c r="L9" s="251" t="s">
        <v>731</v>
      </c>
      <c r="M9" s="251" t="s">
        <v>732</v>
      </c>
      <c r="N9" s="251" t="s">
        <v>4</v>
      </c>
      <c r="O9" s="251" t="s">
        <v>477</v>
      </c>
      <c r="P9" s="251" t="s">
        <v>26</v>
      </c>
      <c r="Q9" s="251" t="s">
        <v>27</v>
      </c>
      <c r="R9" s="251" t="s">
        <v>56</v>
      </c>
      <c r="S9" s="251" t="s">
        <v>54</v>
      </c>
      <c r="U9" t="s">
        <v>478</v>
      </c>
      <c r="AA9" s="468" t="s">
        <v>70</v>
      </c>
      <c r="AB9">
        <v>0.05</v>
      </c>
    </row>
    <row r="10" spans="1:28" ht="15.75" thickTop="1" x14ac:dyDescent="0.25">
      <c r="L10" s="252" t="str">
        <f>L4</f>
        <v>Blend X</v>
      </c>
      <c r="M10" s="252" t="str">
        <f>L5</f>
        <v>Blend Y</v>
      </c>
      <c r="N10" s="252">
        <f>ABS(M4-M5)</f>
        <v>23.75</v>
      </c>
      <c r="O10" s="252" t="e">
        <f ca="1">N10/N$7</f>
        <v>#NAME?</v>
      </c>
      <c r="P10" s="252" t="e">
        <f ca="1">N10-Q$7</f>
        <v>#NAME?</v>
      </c>
      <c r="Q10" s="252" t="e">
        <f ca="1">N10+Q$7</f>
        <v>#NAME?</v>
      </c>
      <c r="R10" s="252" t="e">
        <f ca="1">QDIST(O10,COUNT(M$4:M$6),O$7)</f>
        <v>#NAME?</v>
      </c>
      <c r="S10" s="252" t="e">
        <f ca="1">O10/SQRT(COUNT(H$3:H$6))</f>
        <v>#NAME?</v>
      </c>
      <c r="U10" s="251" t="s">
        <v>731</v>
      </c>
      <c r="V10" s="251" t="s">
        <v>732</v>
      </c>
      <c r="W10" s="251" t="s">
        <v>4</v>
      </c>
      <c r="X10" s="251" t="s">
        <v>477</v>
      </c>
      <c r="Y10" s="251" t="s">
        <v>26</v>
      </c>
      <c r="Z10" s="251" t="s">
        <v>27</v>
      </c>
      <c r="AA10" s="251" t="s">
        <v>56</v>
      </c>
      <c r="AB10" s="251" t="s">
        <v>54</v>
      </c>
    </row>
    <row r="11" spans="1:28" x14ac:dyDescent="0.25">
      <c r="L11" s="7" t="str">
        <f>L4</f>
        <v>Blend X</v>
      </c>
      <c r="M11" s="7" t="str">
        <f>L6</f>
        <v>Blend Z</v>
      </c>
      <c r="N11" s="7">
        <f>ABS(M4-M6)</f>
        <v>42.5</v>
      </c>
      <c r="O11" s="7" t="e">
        <f ca="1">N11/N$7</f>
        <v>#NAME?</v>
      </c>
      <c r="P11" s="7" t="e">
        <f ca="1">N11-Q$7</f>
        <v>#NAME?</v>
      </c>
      <c r="Q11" s="7" t="e">
        <f ca="1">N11+Q$7</f>
        <v>#NAME?</v>
      </c>
      <c r="R11" s="7" t="e">
        <f ca="1">QDIST(O11,COUNT(M$4:M$6),O$7)</f>
        <v>#NAME?</v>
      </c>
      <c r="S11" s="7" t="e">
        <f ca="1">O11/SQRT(COUNT(H$3:H$6))</f>
        <v>#NAME?</v>
      </c>
      <c r="U11" s="252" t="str">
        <f>U4</f>
        <v>Wheat</v>
      </c>
      <c r="V11" s="252" t="str">
        <f>U5</f>
        <v>Corn</v>
      </c>
      <c r="W11" s="252">
        <f>ABS(V4-V5)</f>
        <v>18.333333333333314</v>
      </c>
      <c r="X11" s="252" t="e">
        <f t="shared" ref="X11:X16" ca="1" si="0">W11/W$8</f>
        <v>#NAME?</v>
      </c>
      <c r="Y11" s="252" t="e">
        <f t="shared" ref="Y11:Y16" ca="1" si="1">W11-Z$8</f>
        <v>#NAME?</v>
      </c>
      <c r="Z11" s="252" t="e">
        <f t="shared" ref="Z11:Z16" ca="1" si="2">W11+Z$8</f>
        <v>#NAME?</v>
      </c>
      <c r="AA11" s="252" t="e">
        <f t="shared" ref="AA11:AA16" ca="1" si="3">QDIST(X11,COUNT(V$4:V$7),X$8)</f>
        <v>#NAME?</v>
      </c>
      <c r="AB11" s="252" t="e">
        <f t="shared" ref="AB11:AB16" ca="1" si="4">X11/SQRT(COUNT(B$4:B$6))</f>
        <v>#NAME?</v>
      </c>
    </row>
    <row r="12" spans="1:28" x14ac:dyDescent="0.25">
      <c r="L12" s="469" t="str">
        <f>L5</f>
        <v>Blend Y</v>
      </c>
      <c r="M12" s="469" t="str">
        <f>L6</f>
        <v>Blend Z</v>
      </c>
      <c r="N12" s="469">
        <f>ABS(M5-M6)</f>
        <v>18.75</v>
      </c>
      <c r="O12" s="469" t="e">
        <f ca="1">N12/N$7</f>
        <v>#NAME?</v>
      </c>
      <c r="P12" s="469" t="e">
        <f ca="1">N12-Q$7</f>
        <v>#NAME?</v>
      </c>
      <c r="Q12" s="469" t="e">
        <f ca="1">N12+Q$7</f>
        <v>#NAME?</v>
      </c>
      <c r="R12" s="469" t="e">
        <f ca="1">QDIST(O12,COUNT(M$4:M$6),O$7)</f>
        <v>#NAME?</v>
      </c>
      <c r="S12" s="469" t="e">
        <f ca="1">O12/SQRT(COUNT(H$3:H$6))</f>
        <v>#NAME?</v>
      </c>
      <c r="U12" s="7" t="str">
        <f>U4</f>
        <v>Wheat</v>
      </c>
      <c r="V12" s="7" t="str">
        <f>U6</f>
        <v>Soy</v>
      </c>
      <c r="W12" s="7">
        <f>ABS(V4-V6)</f>
        <v>3.6666666666666572</v>
      </c>
      <c r="X12" s="7" t="e">
        <f t="shared" ca="1" si="0"/>
        <v>#NAME?</v>
      </c>
      <c r="Y12" s="7" t="e">
        <f t="shared" ca="1" si="1"/>
        <v>#NAME?</v>
      </c>
      <c r="Z12" s="7" t="e">
        <f t="shared" ca="1" si="2"/>
        <v>#NAME?</v>
      </c>
      <c r="AA12" s="7" t="e">
        <f t="shared" ca="1" si="3"/>
        <v>#NAME?</v>
      </c>
      <c r="AB12" s="7" t="e">
        <f t="shared" ca="1" si="4"/>
        <v>#NAME?</v>
      </c>
    </row>
    <row r="13" spans="1:28" x14ac:dyDescent="0.25">
      <c r="U13" s="7" t="str">
        <f>U4</f>
        <v>Wheat</v>
      </c>
      <c r="V13" s="7" t="str">
        <f>U7</f>
        <v>Rice</v>
      </c>
      <c r="W13" s="7">
        <f>ABS(V4-V7)</f>
        <v>23</v>
      </c>
      <c r="X13" s="7" t="e">
        <f t="shared" ca="1" si="0"/>
        <v>#NAME?</v>
      </c>
      <c r="Y13" s="7" t="e">
        <f t="shared" ca="1" si="1"/>
        <v>#NAME?</v>
      </c>
      <c r="Z13" s="7" t="e">
        <f t="shared" ca="1" si="2"/>
        <v>#NAME?</v>
      </c>
      <c r="AA13" s="7" t="e">
        <f t="shared" ca="1" si="3"/>
        <v>#NAME?</v>
      </c>
      <c r="AB13" s="7" t="e">
        <f t="shared" ca="1" si="4"/>
        <v>#NAME?</v>
      </c>
    </row>
    <row r="14" spans="1:28" x14ac:dyDescent="0.25">
      <c r="U14" s="7" t="str">
        <f>U5</f>
        <v>Corn</v>
      </c>
      <c r="V14" s="7" t="str">
        <f>U6</f>
        <v>Soy</v>
      </c>
      <c r="W14" s="7">
        <f>ABS(V5-V6)</f>
        <v>14.666666666666657</v>
      </c>
      <c r="X14" s="7" t="e">
        <f t="shared" ca="1" si="0"/>
        <v>#NAME?</v>
      </c>
      <c r="Y14" s="7" t="e">
        <f t="shared" ca="1" si="1"/>
        <v>#NAME?</v>
      </c>
      <c r="Z14" s="7" t="e">
        <f t="shared" ca="1" si="2"/>
        <v>#NAME?</v>
      </c>
      <c r="AA14" s="7" t="e">
        <f t="shared" ca="1" si="3"/>
        <v>#NAME?</v>
      </c>
      <c r="AB14" s="7" t="e">
        <f t="shared" ca="1" si="4"/>
        <v>#NAME?</v>
      </c>
    </row>
    <row r="15" spans="1:28" x14ac:dyDescent="0.25">
      <c r="U15" s="7" t="str">
        <f>U5</f>
        <v>Corn</v>
      </c>
      <c r="V15" s="7" t="str">
        <f>U7</f>
        <v>Rice</v>
      </c>
      <c r="W15" s="7">
        <f>ABS(V5-V7)</f>
        <v>4.6666666666666856</v>
      </c>
      <c r="X15" s="7" t="e">
        <f t="shared" ca="1" si="0"/>
        <v>#NAME?</v>
      </c>
      <c r="Y15" s="7" t="e">
        <f t="shared" ca="1" si="1"/>
        <v>#NAME?</v>
      </c>
      <c r="Z15" s="7" t="e">
        <f t="shared" ca="1" si="2"/>
        <v>#NAME?</v>
      </c>
      <c r="AA15" s="7" t="e">
        <f t="shared" ca="1" si="3"/>
        <v>#NAME?</v>
      </c>
      <c r="AB15" s="7" t="e">
        <f t="shared" ca="1" si="4"/>
        <v>#NAME?</v>
      </c>
    </row>
    <row r="16" spans="1:28" x14ac:dyDescent="0.25">
      <c r="U16" s="469" t="str">
        <f>U6</f>
        <v>Soy</v>
      </c>
      <c r="V16" s="469" t="str">
        <f>U7</f>
        <v>Rice</v>
      </c>
      <c r="W16" s="469">
        <f>ABS(V6-V7)</f>
        <v>19.333333333333343</v>
      </c>
      <c r="X16" s="469" t="e">
        <f t="shared" ca="1" si="0"/>
        <v>#NAME?</v>
      </c>
      <c r="Y16" s="469" t="e">
        <f t="shared" ca="1" si="1"/>
        <v>#NAME?</v>
      </c>
      <c r="Z16" s="469" t="e">
        <f t="shared" ca="1" si="2"/>
        <v>#NAME?</v>
      </c>
      <c r="AA16" s="469" t="e">
        <f t="shared" ca="1" si="3"/>
        <v>#NAME?</v>
      </c>
      <c r="AB16" s="469" t="e">
        <f t="shared" ca="1" si="4"/>
        <v>#NAME?</v>
      </c>
    </row>
    <row r="18" spans="7:21" ht="15.75" thickBot="1" x14ac:dyDescent="0.3">
      <c r="G18" s="471">
        <f t="array" ref="G18:J22">TRANSPOSE(A3:E6)</f>
        <v>0</v>
      </c>
      <c r="H18" t="str">
        <v>Blend X</v>
      </c>
      <c r="I18" t="str">
        <v>Blend Y</v>
      </c>
      <c r="J18" t="str">
        <v>Blend Z</v>
      </c>
      <c r="L18" t="s">
        <v>805</v>
      </c>
    </row>
    <row r="19" spans="7:21" ht="15.75" thickTop="1" x14ac:dyDescent="0.25">
      <c r="G19" t="str">
        <v>Wheat</v>
      </c>
      <c r="H19" s="481">
        <v>123</v>
      </c>
      <c r="I19" s="482">
        <v>145</v>
      </c>
      <c r="J19" s="483">
        <v>156</v>
      </c>
      <c r="L19" s="251" t="s">
        <v>757</v>
      </c>
      <c r="M19" s="251" t="s">
        <v>4</v>
      </c>
      <c r="N19" s="251" t="s">
        <v>51</v>
      </c>
      <c r="O19" s="251" t="s">
        <v>195</v>
      </c>
    </row>
    <row r="20" spans="7:21" x14ac:dyDescent="0.25">
      <c r="G20" t="str">
        <v>Corn</v>
      </c>
      <c r="H20" s="178">
        <v>138</v>
      </c>
      <c r="I20" s="7">
        <v>165</v>
      </c>
      <c r="J20" s="40">
        <v>176</v>
      </c>
      <c r="L20" s="252" t="str">
        <f t="array" ref="L20:L22">TRANSPOSE(H18:J18)</f>
        <v>Blend X</v>
      </c>
      <c r="M20" s="252">
        <f>AVERAGE(H19:H22)</f>
        <v>130.5</v>
      </c>
      <c r="N20" s="252"/>
      <c r="O20" s="252"/>
    </row>
    <row r="21" spans="7:21" x14ac:dyDescent="0.25">
      <c r="G21" t="str">
        <v>Soy</v>
      </c>
      <c r="H21" s="178">
        <v>110</v>
      </c>
      <c r="I21" s="7">
        <v>140</v>
      </c>
      <c r="J21" s="40">
        <v>185</v>
      </c>
      <c r="L21" s="7" t="str">
        <v>Blend Y</v>
      </c>
      <c r="M21" s="7">
        <f>AVERAGE(I19:I22)</f>
        <v>154.25</v>
      </c>
      <c r="N21" s="7"/>
      <c r="O21" s="7"/>
    </row>
    <row r="22" spans="7:21" x14ac:dyDescent="0.25">
      <c r="G22" t="str">
        <v>Rice</v>
      </c>
      <c r="H22" s="460">
        <v>151</v>
      </c>
      <c r="I22" s="461">
        <v>167</v>
      </c>
      <c r="J22" s="462">
        <v>175</v>
      </c>
      <c r="L22" s="469" t="str">
        <v>Blend Z</v>
      </c>
      <c r="M22" s="469">
        <f>AVERAGE(J19:J22)</f>
        <v>173</v>
      </c>
      <c r="N22" s="469"/>
      <c r="O22" s="469"/>
    </row>
    <row r="23" spans="7:21" x14ac:dyDescent="0.25">
      <c r="N23" t="e">
        <f ca="1">dfWF(H19:J22,1)</f>
        <v>#NAME?</v>
      </c>
      <c r="O23" t="e">
        <f ca="1">QCRIT(COUNT(M20:M22),N23,S24,2)</f>
        <v>#NAME?</v>
      </c>
    </row>
    <row r="24" spans="7:21" ht="15.75" thickBot="1" x14ac:dyDescent="0.3">
      <c r="L24" t="s">
        <v>478</v>
      </c>
      <c r="R24" s="470" t="s">
        <v>70</v>
      </c>
      <c r="S24">
        <v>0.05</v>
      </c>
    </row>
    <row r="25" spans="7:21" ht="15.75" thickTop="1" x14ac:dyDescent="0.25">
      <c r="L25" s="251" t="s">
        <v>731</v>
      </c>
      <c r="M25" s="251" t="s">
        <v>732</v>
      </c>
      <c r="N25" s="251" t="s">
        <v>4</v>
      </c>
      <c r="O25" s="251" t="s">
        <v>370</v>
      </c>
      <c r="P25" s="251" t="s">
        <v>477</v>
      </c>
      <c r="Q25" s="251" t="s">
        <v>26</v>
      </c>
      <c r="R25" s="251" t="s">
        <v>27</v>
      </c>
      <c r="S25" s="251" t="s">
        <v>56</v>
      </c>
      <c r="T25" s="251" t="s">
        <v>760</v>
      </c>
      <c r="U25" s="251" t="s">
        <v>54</v>
      </c>
    </row>
    <row r="26" spans="7:21" x14ac:dyDescent="0.25">
      <c r="L26" s="252" t="str">
        <f>L20</f>
        <v>Blend X</v>
      </c>
      <c r="M26" s="252" t="str">
        <f>L21</f>
        <v>Blend Y</v>
      </c>
      <c r="N26" s="252">
        <f>ABS(M20-M21)</f>
        <v>23.75</v>
      </c>
      <c r="O26" s="252" t="e">
        <f t="array" aca="1" ref="O26" ca="1">STDERR(H19:H22-I19:I22)</f>
        <v>#NAME?</v>
      </c>
      <c r="P26" s="252" t="e">
        <f ca="1">N26/O26</f>
        <v>#NAME?</v>
      </c>
      <c r="Q26" s="252" t="e">
        <f ca="1">N26-T26</f>
        <v>#NAME?</v>
      </c>
      <c r="R26" s="252" t="e">
        <f ca="1">N26+T26</f>
        <v>#NAME?</v>
      </c>
      <c r="S26" s="252" t="e">
        <f ca="1">QDIST(P26,COUNT(M$20:M$22),N$23)</f>
        <v>#NAME?</v>
      </c>
      <c r="T26" s="252" t="e">
        <f ca="1">O26*O$23</f>
        <v>#NAME?</v>
      </c>
      <c r="U26" s="252" t="e">
        <f ca="1">P26/SQRT(COUNT(H$19:H$22))</f>
        <v>#NAME?</v>
      </c>
    </row>
    <row r="27" spans="7:21" x14ac:dyDescent="0.25">
      <c r="L27" s="7" t="str">
        <f>L20</f>
        <v>Blend X</v>
      </c>
      <c r="M27" s="7" t="str">
        <f>L22</f>
        <v>Blend Z</v>
      </c>
      <c r="N27" s="7">
        <f>ABS(M20-M22)</f>
        <v>42.5</v>
      </c>
      <c r="O27" s="7" t="e">
        <f t="array" aca="1" ref="O27" ca="1">STDERR(H19:H22-J19:J22)</f>
        <v>#NAME?</v>
      </c>
      <c r="P27" s="7" t="e">
        <f t="shared" ref="P27:P28" ca="1" si="5">N27/O27</f>
        <v>#NAME?</v>
      </c>
      <c r="Q27" s="7" t="e">
        <f t="shared" ref="Q27:Q28" ca="1" si="6">N27-T27</f>
        <v>#NAME?</v>
      </c>
      <c r="R27" s="7" t="e">
        <f t="shared" ref="R27:R28" ca="1" si="7">N27+T27</f>
        <v>#NAME?</v>
      </c>
      <c r="S27" s="7" t="e">
        <f ca="1">QDIST(P27,COUNT(M$20:M$22),N$23)</f>
        <v>#NAME?</v>
      </c>
      <c r="T27" s="7" t="e">
        <f t="shared" ref="T27:T28" ca="1" si="8">O27*O$23</f>
        <v>#NAME?</v>
      </c>
      <c r="U27" s="7" t="e">
        <f t="shared" ref="U27:U28" ca="1" si="9">P27/SQRT(COUNT(H$19:H$22))</f>
        <v>#NAME?</v>
      </c>
    </row>
    <row r="28" spans="7:21" x14ac:dyDescent="0.25">
      <c r="L28" s="469" t="str">
        <f>L21</f>
        <v>Blend Y</v>
      </c>
      <c r="M28" s="469" t="str">
        <f>L22</f>
        <v>Blend Z</v>
      </c>
      <c r="N28" s="469">
        <f>ABS(M21-M22)</f>
        <v>18.75</v>
      </c>
      <c r="O28" s="469" t="e">
        <f t="array" aca="1" ref="O28" ca="1">STDERR(I19:I22-J19:J22)</f>
        <v>#NAME?</v>
      </c>
      <c r="P28" s="469" t="e">
        <f t="shared" ca="1" si="5"/>
        <v>#NAME?</v>
      </c>
      <c r="Q28" s="469" t="e">
        <f t="shared" ca="1" si="6"/>
        <v>#NAME?</v>
      </c>
      <c r="R28" s="469" t="e">
        <f t="shared" ca="1" si="7"/>
        <v>#NAME?</v>
      </c>
      <c r="S28" s="469" t="e">
        <f ca="1">QDIST(P28,COUNT(M$20:M$22),N$23)</f>
        <v>#NAME?</v>
      </c>
      <c r="T28" s="469" t="e">
        <f t="shared" ca="1" si="8"/>
        <v>#NAME?</v>
      </c>
      <c r="U28" s="469" t="e">
        <f t="shared" ca="1" si="9"/>
        <v>#NAME?</v>
      </c>
    </row>
    <row r="31" spans="7:21" ht="15.75" thickBot="1" x14ac:dyDescent="0.3">
      <c r="L31" s="471" t="s">
        <v>805</v>
      </c>
    </row>
    <row r="32" spans="7:21" ht="15.75" thickTop="1" x14ac:dyDescent="0.25">
      <c r="L32" s="251" t="s">
        <v>757</v>
      </c>
      <c r="M32" s="251" t="s">
        <v>4</v>
      </c>
      <c r="N32" s="251" t="s">
        <v>51</v>
      </c>
      <c r="O32" s="251" t="s">
        <v>195</v>
      </c>
    </row>
    <row r="33" spans="12:21" x14ac:dyDescent="0.25">
      <c r="L33" s="252" t="str">
        <f t="array" ref="L33:L36">TRANSPOSE(B3:E3)</f>
        <v>Wheat</v>
      </c>
      <c r="M33" s="252">
        <f>AVERAGE(B4:B6)</f>
        <v>141.33333333333334</v>
      </c>
      <c r="N33" s="252"/>
      <c r="O33" s="252"/>
    </row>
    <row r="34" spans="12:21" x14ac:dyDescent="0.25">
      <c r="L34" s="7" t="str">
        <v>Corn</v>
      </c>
      <c r="M34" s="7">
        <f>AVERAGE(C4:C6)</f>
        <v>159.66666666666666</v>
      </c>
      <c r="N34" s="7"/>
      <c r="O34" s="7"/>
    </row>
    <row r="35" spans="12:21" x14ac:dyDescent="0.25">
      <c r="L35" s="7" t="str">
        <v>Soy</v>
      </c>
      <c r="M35" s="7">
        <f>AVERAGE(D4:D6)</f>
        <v>145</v>
      </c>
      <c r="N35" s="7"/>
      <c r="O35" s="7"/>
    </row>
    <row r="36" spans="12:21" x14ac:dyDescent="0.25">
      <c r="L36" s="469" t="str">
        <v>Rice</v>
      </c>
      <c r="M36" s="469">
        <f>AVERAGE(E4:E6)</f>
        <v>164.33333333333334</v>
      </c>
      <c r="N36" s="469"/>
      <c r="O36" s="469"/>
    </row>
    <row r="37" spans="12:21" x14ac:dyDescent="0.25">
      <c r="N37" t="e">
        <f ca="1">dfWF(B4:E6,1)</f>
        <v>#NAME?</v>
      </c>
      <c r="O37" t="e">
        <f ca="1">QCRIT(COUNT(M33:M36),N37,S38,2)</f>
        <v>#NAME?</v>
      </c>
    </row>
    <row r="38" spans="12:21" ht="15.75" thickBot="1" x14ac:dyDescent="0.3">
      <c r="L38" t="s">
        <v>478</v>
      </c>
      <c r="R38" s="470" t="s">
        <v>70</v>
      </c>
      <c r="S38">
        <v>0.05</v>
      </c>
    </row>
    <row r="39" spans="12:21" ht="15.75" thickTop="1" x14ac:dyDescent="0.25">
      <c r="L39" s="251" t="s">
        <v>731</v>
      </c>
      <c r="M39" s="251" t="s">
        <v>732</v>
      </c>
      <c r="N39" s="251" t="s">
        <v>4</v>
      </c>
      <c r="O39" s="251" t="s">
        <v>370</v>
      </c>
      <c r="P39" s="251" t="s">
        <v>477</v>
      </c>
      <c r="Q39" s="251" t="s">
        <v>26</v>
      </c>
      <c r="R39" s="251" t="s">
        <v>27</v>
      </c>
      <c r="S39" s="251" t="s">
        <v>56</v>
      </c>
      <c r="T39" s="251" t="s">
        <v>760</v>
      </c>
      <c r="U39" s="251" t="s">
        <v>54</v>
      </c>
    </row>
    <row r="40" spans="12:21" x14ac:dyDescent="0.25">
      <c r="L40" s="252" t="str">
        <f>L33</f>
        <v>Wheat</v>
      </c>
      <c r="M40" s="252" t="str">
        <f>L34</f>
        <v>Corn</v>
      </c>
      <c r="N40" s="252">
        <f>ABS(M33-M34)</f>
        <v>18.333333333333314</v>
      </c>
      <c r="O40" s="252" t="e">
        <f t="array" aca="1" ref="O40" ca="1">STDERR(B4:B6-C4:C6)</f>
        <v>#NAME?</v>
      </c>
      <c r="P40" s="252" t="e">
        <f ca="1">N40/O40</f>
        <v>#NAME?</v>
      </c>
      <c r="Q40" s="252" t="e">
        <f ca="1">N40-T40</f>
        <v>#NAME?</v>
      </c>
      <c r="R40" s="252" t="e">
        <f ca="1">N40+T40</f>
        <v>#NAME?</v>
      </c>
      <c r="S40" s="252" t="e">
        <f t="shared" ref="S40:S45" ca="1" si="10">QDIST(P40,COUNT(M$33:M$36),N$37)</f>
        <v>#NAME?</v>
      </c>
      <c r="T40" s="252" t="e">
        <f ca="1">O40*O$37</f>
        <v>#NAME?</v>
      </c>
      <c r="U40" s="252" t="e">
        <f ca="1">P40/SQRT(COUNT(B$4:B$6))</f>
        <v>#NAME?</v>
      </c>
    </row>
    <row r="41" spans="12:21" x14ac:dyDescent="0.25">
      <c r="L41" s="7" t="str">
        <f>L33</f>
        <v>Wheat</v>
      </c>
      <c r="M41" s="7" t="str">
        <f>L35</f>
        <v>Soy</v>
      </c>
      <c r="N41" s="7">
        <f>ABS(M33-M35)</f>
        <v>3.6666666666666572</v>
      </c>
      <c r="O41" s="7" t="e">
        <f t="array" aca="1" ref="O41" ca="1">STDERR(B4:B6-D4:D6)</f>
        <v>#NAME?</v>
      </c>
      <c r="P41" s="7" t="e">
        <f t="shared" ref="P41:P45" ca="1" si="11">N41/O41</f>
        <v>#NAME?</v>
      </c>
      <c r="Q41" s="7" t="e">
        <f t="shared" ref="Q41:Q45" ca="1" si="12">N41-T41</f>
        <v>#NAME?</v>
      </c>
      <c r="R41" s="7" t="e">
        <f t="shared" ref="R41:R45" ca="1" si="13">N41+T41</f>
        <v>#NAME?</v>
      </c>
      <c r="S41" s="7" t="e">
        <f t="shared" ca="1" si="10"/>
        <v>#NAME?</v>
      </c>
      <c r="T41" s="7" t="e">
        <f t="shared" ref="T41:T45" ca="1" si="14">O41*O$37</f>
        <v>#NAME?</v>
      </c>
      <c r="U41" s="7" t="e">
        <f t="shared" ref="U41:U45" ca="1" si="15">P41/SQRT(COUNT(B$4:B$6))</f>
        <v>#NAME?</v>
      </c>
    </row>
    <row r="42" spans="12:21" x14ac:dyDescent="0.25">
      <c r="L42" s="7" t="str">
        <f>L33</f>
        <v>Wheat</v>
      </c>
      <c r="M42" s="7" t="str">
        <f>L36</f>
        <v>Rice</v>
      </c>
      <c r="N42" s="7">
        <f>ABS(M33-M36)</f>
        <v>23</v>
      </c>
      <c r="O42" s="7" t="e">
        <f t="array" aca="1" ref="O42" ca="1">STDERR(B4:B6-E4:E6)</f>
        <v>#NAME?</v>
      </c>
      <c r="P42" s="7" t="e">
        <f t="shared" ca="1" si="11"/>
        <v>#NAME?</v>
      </c>
      <c r="Q42" s="7" t="e">
        <f t="shared" ca="1" si="12"/>
        <v>#NAME?</v>
      </c>
      <c r="R42" s="7" t="e">
        <f t="shared" ca="1" si="13"/>
        <v>#NAME?</v>
      </c>
      <c r="S42" s="7" t="e">
        <f t="shared" ca="1" si="10"/>
        <v>#NAME?</v>
      </c>
      <c r="T42" s="7" t="e">
        <f t="shared" ca="1" si="14"/>
        <v>#NAME?</v>
      </c>
      <c r="U42" s="7" t="e">
        <f t="shared" ca="1" si="15"/>
        <v>#NAME?</v>
      </c>
    </row>
    <row r="43" spans="12:21" x14ac:dyDescent="0.25">
      <c r="L43" s="7" t="str">
        <f>L34</f>
        <v>Corn</v>
      </c>
      <c r="M43" s="7" t="str">
        <f>L35</f>
        <v>Soy</v>
      </c>
      <c r="N43" s="7">
        <f>ABS(M34-M35)</f>
        <v>14.666666666666657</v>
      </c>
      <c r="O43" s="7" t="e">
        <f t="array" aca="1" ref="O43" ca="1">STDERR(C4:C6-D4:D6)</f>
        <v>#NAME?</v>
      </c>
      <c r="P43" s="7" t="e">
        <f t="shared" ca="1" si="11"/>
        <v>#NAME?</v>
      </c>
      <c r="Q43" s="7" t="e">
        <f t="shared" ca="1" si="12"/>
        <v>#NAME?</v>
      </c>
      <c r="R43" s="7" t="e">
        <f t="shared" ca="1" si="13"/>
        <v>#NAME?</v>
      </c>
      <c r="S43" s="7" t="e">
        <f t="shared" ca="1" si="10"/>
        <v>#NAME?</v>
      </c>
      <c r="T43" s="7" t="e">
        <f t="shared" ca="1" si="14"/>
        <v>#NAME?</v>
      </c>
      <c r="U43" s="7" t="e">
        <f t="shared" ca="1" si="15"/>
        <v>#NAME?</v>
      </c>
    </row>
    <row r="44" spans="12:21" x14ac:dyDescent="0.25">
      <c r="L44" s="7" t="str">
        <f>L34</f>
        <v>Corn</v>
      </c>
      <c r="M44" s="7" t="str">
        <f>L36</f>
        <v>Rice</v>
      </c>
      <c r="N44" s="7">
        <f>ABS(M34-M36)</f>
        <v>4.6666666666666856</v>
      </c>
      <c r="O44" s="7" t="e">
        <f t="array" aca="1" ref="O44" ca="1">STDERR(C4:C6-E4:E6)</f>
        <v>#NAME?</v>
      </c>
      <c r="P44" s="7" t="e">
        <f t="shared" ca="1" si="11"/>
        <v>#NAME?</v>
      </c>
      <c r="Q44" s="7" t="e">
        <f t="shared" ca="1" si="12"/>
        <v>#NAME?</v>
      </c>
      <c r="R44" s="7" t="e">
        <f t="shared" ca="1" si="13"/>
        <v>#NAME?</v>
      </c>
      <c r="S44" s="7" t="e">
        <f t="shared" ca="1" si="10"/>
        <v>#NAME?</v>
      </c>
      <c r="T44" s="7" t="e">
        <f t="shared" ca="1" si="14"/>
        <v>#NAME?</v>
      </c>
      <c r="U44" s="7" t="e">
        <f t="shared" ca="1" si="15"/>
        <v>#NAME?</v>
      </c>
    </row>
    <row r="45" spans="12:21" x14ac:dyDescent="0.25">
      <c r="L45" s="469" t="str">
        <f>L35</f>
        <v>Soy</v>
      </c>
      <c r="M45" s="469" t="str">
        <f>L36</f>
        <v>Rice</v>
      </c>
      <c r="N45" s="469">
        <f>ABS(M35-M36)</f>
        <v>19.333333333333343</v>
      </c>
      <c r="O45" s="469" t="e">
        <f t="array" aca="1" ref="O45" ca="1">STDERR(D4:D6-E4:E6)</f>
        <v>#NAME?</v>
      </c>
      <c r="P45" s="469" t="e">
        <f t="shared" ca="1" si="11"/>
        <v>#NAME?</v>
      </c>
      <c r="Q45" s="469" t="e">
        <f t="shared" ca="1" si="12"/>
        <v>#NAME?</v>
      </c>
      <c r="R45" s="469" t="e">
        <f t="shared" ca="1" si="13"/>
        <v>#NAME?</v>
      </c>
      <c r="S45" s="469" t="e">
        <f t="shared" ca="1" si="10"/>
        <v>#NAME?</v>
      </c>
      <c r="T45" s="469" t="e">
        <f t="shared" ca="1" si="14"/>
        <v>#NAME?</v>
      </c>
      <c r="U45" s="469" t="e">
        <f t="shared" ca="1" si="15"/>
        <v>#NAME?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U47"/>
  <sheetViews>
    <sheetView zoomScaleNormal="100" workbookViewId="0"/>
  </sheetViews>
  <sheetFormatPr defaultRowHeight="15" x14ac:dyDescent="0.25"/>
  <cols>
    <col min="7" max="7" width="17.28515625" customWidth="1"/>
  </cols>
  <sheetData>
    <row r="1" spans="1:15" x14ac:dyDescent="0.25">
      <c r="A1" s="1" t="s">
        <v>310</v>
      </c>
      <c r="G1" t="s">
        <v>248</v>
      </c>
      <c r="O1" t="s">
        <v>120</v>
      </c>
    </row>
    <row r="3" spans="1:15" x14ac:dyDescent="0.25">
      <c r="B3" s="569" t="s">
        <v>250</v>
      </c>
      <c r="C3" s="570"/>
      <c r="D3" s="570"/>
      <c r="E3" s="571"/>
      <c r="G3" t="s">
        <v>52</v>
      </c>
      <c r="H3" s="103" t="s">
        <v>239</v>
      </c>
      <c r="I3" s="103" t="s">
        <v>240</v>
      </c>
      <c r="J3" s="103" t="s">
        <v>241</v>
      </c>
      <c r="K3" s="103" t="s">
        <v>245</v>
      </c>
      <c r="L3" s="103" t="s">
        <v>1</v>
      </c>
    </row>
    <row r="4" spans="1:15" ht="15.75" thickBot="1" x14ac:dyDescent="0.3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G4" s="125" t="s">
        <v>242</v>
      </c>
      <c r="H4" s="125"/>
      <c r="I4" s="125"/>
      <c r="J4" s="125"/>
      <c r="K4" s="125"/>
      <c r="L4" s="125"/>
    </row>
    <row r="5" spans="1:15" x14ac:dyDescent="0.25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s="17" t="s">
        <v>19</v>
      </c>
      <c r="H5">
        <f>COUNT(B5:B9)</f>
        <v>5</v>
      </c>
      <c r="I5">
        <f>COUNT(C5:C9)</f>
        <v>5</v>
      </c>
      <c r="J5">
        <f>COUNT(D5:D9)</f>
        <v>5</v>
      </c>
      <c r="K5">
        <f>COUNT(E5:E9)</f>
        <v>5</v>
      </c>
      <c r="L5" s="17">
        <f>SUM(H5:K5)</f>
        <v>20</v>
      </c>
    </row>
    <row r="6" spans="1:15" x14ac:dyDescent="0.25">
      <c r="A6" s="6"/>
      <c r="B6" s="123">
        <v>156</v>
      </c>
      <c r="C6" s="123">
        <v>150</v>
      </c>
      <c r="D6" s="123">
        <v>178</v>
      </c>
      <c r="E6" s="123">
        <v>125</v>
      </c>
      <c r="G6" s="17" t="s">
        <v>18</v>
      </c>
      <c r="H6" s="17">
        <f>SUM(B5:B9)</f>
        <v>659</v>
      </c>
      <c r="I6" s="17">
        <f>SUM(C5:C9)</f>
        <v>677</v>
      </c>
      <c r="J6" s="17">
        <f>SUM(D5:D9)</f>
        <v>879</v>
      </c>
      <c r="K6" s="17">
        <f>SUM(E5:E9)</f>
        <v>706</v>
      </c>
      <c r="L6" s="17">
        <f>SUM(B5:E9)</f>
        <v>2921</v>
      </c>
    </row>
    <row r="7" spans="1:15" x14ac:dyDescent="0.25">
      <c r="A7" s="124"/>
      <c r="B7" s="123">
        <v>112</v>
      </c>
      <c r="C7" s="123">
        <v>174</v>
      </c>
      <c r="D7" s="123">
        <v>187</v>
      </c>
      <c r="E7" s="123">
        <v>117</v>
      </c>
      <c r="G7" s="17" t="s">
        <v>134</v>
      </c>
      <c r="H7" s="17">
        <f>AVERAGE(B5:B9)</f>
        <v>131.80000000000001</v>
      </c>
      <c r="I7" s="17">
        <f>AVERAGE(C5:C9)</f>
        <v>135.4</v>
      </c>
      <c r="J7" s="17">
        <f>AVERAGE(D5:D9)</f>
        <v>175.8</v>
      </c>
      <c r="K7" s="17">
        <f>AVERAGE(E5:E9)</f>
        <v>141.19999999999999</v>
      </c>
      <c r="L7" s="17">
        <f>AVERAGE(B5:E9)</f>
        <v>146.05000000000001</v>
      </c>
    </row>
    <row r="8" spans="1:15" x14ac:dyDescent="0.25">
      <c r="A8" s="124"/>
      <c r="B8" s="123">
        <v>100</v>
      </c>
      <c r="C8" s="123">
        <v>116</v>
      </c>
      <c r="D8" s="123">
        <v>153</v>
      </c>
      <c r="E8" s="123">
        <v>155</v>
      </c>
      <c r="G8" s="17" t="s">
        <v>62</v>
      </c>
      <c r="H8" s="17">
        <f>VAR(B5:B9)</f>
        <v>844.20000000000073</v>
      </c>
      <c r="I8" s="17">
        <f>VAR(C5:C9)</f>
        <v>707.79999999999927</v>
      </c>
      <c r="J8" s="17">
        <f>VAR(D5:D9)</f>
        <v>278.7</v>
      </c>
      <c r="K8" s="17">
        <f>VAR(E5:E9)</f>
        <v>354.20000000000073</v>
      </c>
      <c r="L8" s="17">
        <f>VAR(B5:E9)</f>
        <v>782.3657894736848</v>
      </c>
    </row>
    <row r="9" spans="1:15" x14ac:dyDescent="0.25">
      <c r="A9" s="124"/>
      <c r="B9" s="22">
        <v>168</v>
      </c>
      <c r="C9" s="22">
        <v>109</v>
      </c>
      <c r="D9" s="22">
        <v>195</v>
      </c>
      <c r="E9" s="22">
        <v>158</v>
      </c>
      <c r="G9" s="17"/>
      <c r="H9" s="17"/>
      <c r="I9" s="17"/>
      <c r="J9" s="17"/>
      <c r="K9" s="17"/>
      <c r="L9" s="17"/>
    </row>
    <row r="10" spans="1:15" ht="15.75" thickBot="1" x14ac:dyDescent="0.3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s="125" t="s">
        <v>243</v>
      </c>
      <c r="H10" s="125"/>
      <c r="I10" s="125"/>
      <c r="J10" s="125"/>
      <c r="K10" s="125"/>
      <c r="L10" s="125"/>
    </row>
    <row r="11" spans="1:15" x14ac:dyDescent="0.25">
      <c r="A11" s="124"/>
      <c r="B11" s="123">
        <v>130</v>
      </c>
      <c r="C11" s="123">
        <v>132</v>
      </c>
      <c r="D11" s="123">
        <v>145</v>
      </c>
      <c r="E11" s="123">
        <v>183</v>
      </c>
      <c r="G11" s="17" t="s">
        <v>19</v>
      </c>
      <c r="H11" s="129">
        <f>COUNT(B10:B14)</f>
        <v>5</v>
      </c>
      <c r="I11" s="129">
        <f>COUNT(C10:C14)</f>
        <v>5</v>
      </c>
      <c r="J11" s="129">
        <f>COUNT(D10:D14)</f>
        <v>5</v>
      </c>
      <c r="K11" s="129">
        <f>COUNT(E10:E14)</f>
        <v>5</v>
      </c>
      <c r="L11" s="17">
        <f>SUM(H11:K11)</f>
        <v>20</v>
      </c>
    </row>
    <row r="12" spans="1:15" x14ac:dyDescent="0.25">
      <c r="A12" s="124"/>
      <c r="B12" s="123">
        <v>176</v>
      </c>
      <c r="C12" s="123">
        <v>120</v>
      </c>
      <c r="D12" s="123">
        <v>159</v>
      </c>
      <c r="E12" s="123">
        <v>142</v>
      </c>
      <c r="G12" s="17" t="s">
        <v>18</v>
      </c>
      <c r="H12" s="17">
        <f>SUM(B10:B14)</f>
        <v>716</v>
      </c>
      <c r="I12" s="17">
        <f>SUM(C10:C14)</f>
        <v>798</v>
      </c>
      <c r="J12" s="17">
        <f>SUM(D10:D14)</f>
        <v>701</v>
      </c>
      <c r="K12" s="17">
        <f>SUM(E10:E14)</f>
        <v>827</v>
      </c>
      <c r="L12" s="17">
        <f>SUM(B10:E14)</f>
        <v>3042</v>
      </c>
    </row>
    <row r="13" spans="1:15" x14ac:dyDescent="0.25">
      <c r="A13" s="124"/>
      <c r="B13" s="123">
        <v>120</v>
      </c>
      <c r="C13" s="123">
        <v>187</v>
      </c>
      <c r="D13" s="123">
        <v>131</v>
      </c>
      <c r="E13" s="123">
        <v>167</v>
      </c>
      <c r="G13" s="17" t="s">
        <v>134</v>
      </c>
      <c r="H13" s="17">
        <f>AVERAGE(B10:B14)</f>
        <v>143.19999999999999</v>
      </c>
      <c r="I13" s="17">
        <f>AVERAGE(C10:C14)</f>
        <v>159.6</v>
      </c>
      <c r="J13" s="17">
        <f>AVERAGE(D10:D14)</f>
        <v>140.19999999999999</v>
      </c>
      <c r="K13" s="17">
        <f>AVERAGE(E10:E14)</f>
        <v>165.4</v>
      </c>
      <c r="L13" s="17">
        <f>AVERAGE(B10:E14)</f>
        <v>152.1</v>
      </c>
    </row>
    <row r="14" spans="1:15" x14ac:dyDescent="0.25">
      <c r="A14" s="124"/>
      <c r="B14" s="22">
        <v>155</v>
      </c>
      <c r="C14" s="22">
        <v>184</v>
      </c>
      <c r="D14" s="22">
        <v>126</v>
      </c>
      <c r="E14" s="22">
        <v>168</v>
      </c>
      <c r="G14" s="17" t="s">
        <v>62</v>
      </c>
      <c r="H14" s="17">
        <f>VAR(B10:B14)</f>
        <v>498.70000000000073</v>
      </c>
      <c r="I14" s="17">
        <f>VAR(C10:C14)</f>
        <v>978.29999999999927</v>
      </c>
      <c r="J14" s="17">
        <f>VAR(D10:D14)</f>
        <v>165.7</v>
      </c>
      <c r="K14" s="17">
        <f>VAR(E10:E14)</f>
        <v>217.3</v>
      </c>
      <c r="L14" s="17">
        <f>VAR(B10:E14)</f>
        <v>511.04210526315728</v>
      </c>
    </row>
    <row r="15" spans="1:15" x14ac:dyDescent="0.25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G15" s="17"/>
      <c r="H15" s="17"/>
      <c r="I15" s="17"/>
      <c r="J15" s="17"/>
      <c r="K15" s="17"/>
      <c r="L15" s="17"/>
    </row>
    <row r="16" spans="1:15" ht="15.75" thickBot="1" x14ac:dyDescent="0.3">
      <c r="A16" s="124"/>
      <c r="B16" s="123">
        <v>180</v>
      </c>
      <c r="C16" s="123">
        <v>138</v>
      </c>
      <c r="D16" s="123">
        <v>206</v>
      </c>
      <c r="E16" s="123">
        <v>173</v>
      </c>
      <c r="G16" s="125" t="s">
        <v>244</v>
      </c>
      <c r="H16" s="125"/>
      <c r="I16" s="125"/>
      <c r="J16" s="125"/>
      <c r="K16" s="125"/>
      <c r="L16" s="125"/>
    </row>
    <row r="17" spans="1:21" x14ac:dyDescent="0.25">
      <c r="A17" s="124"/>
      <c r="B17" s="123">
        <v>147</v>
      </c>
      <c r="C17" s="123">
        <v>178</v>
      </c>
      <c r="D17" s="123">
        <v>188</v>
      </c>
      <c r="E17" s="123">
        <v>154</v>
      </c>
      <c r="G17" s="17" t="s">
        <v>19</v>
      </c>
      <c r="H17" s="17">
        <f>COUNT(B15:B19)</f>
        <v>5</v>
      </c>
      <c r="I17" s="17">
        <f>COUNT(C15:C19)</f>
        <v>5</v>
      </c>
      <c r="J17" s="17">
        <f>COUNT(D15:D19)</f>
        <v>5</v>
      </c>
      <c r="K17" s="17">
        <f>COUNT(E15:E19)</f>
        <v>5</v>
      </c>
      <c r="L17" s="17">
        <f>SUM(H17:K17)</f>
        <v>20</v>
      </c>
    </row>
    <row r="18" spans="1:21" x14ac:dyDescent="0.25">
      <c r="A18" s="124"/>
      <c r="B18" s="123">
        <v>146</v>
      </c>
      <c r="C18" s="123">
        <v>176</v>
      </c>
      <c r="D18" s="123">
        <v>165</v>
      </c>
      <c r="E18" s="123">
        <v>191</v>
      </c>
      <c r="G18" s="17" t="s">
        <v>18</v>
      </c>
      <c r="H18" s="17">
        <f>SUM(B15:B19)</f>
        <v>822</v>
      </c>
      <c r="I18" s="17">
        <f>SUM(C15:C19)</f>
        <v>868</v>
      </c>
      <c r="J18" s="17">
        <f>SUM(D15:D19)</f>
        <v>932</v>
      </c>
      <c r="K18" s="17">
        <f>SUM(E15:E19)</f>
        <v>862</v>
      </c>
      <c r="L18" s="17">
        <f>SUM(B15:E19)</f>
        <v>3484</v>
      </c>
    </row>
    <row r="19" spans="1:21" x14ac:dyDescent="0.25">
      <c r="A19" s="9"/>
      <c r="B19" s="22">
        <v>193</v>
      </c>
      <c r="C19" s="22">
        <v>190</v>
      </c>
      <c r="D19" s="22">
        <v>188</v>
      </c>
      <c r="E19" s="22">
        <v>169</v>
      </c>
      <c r="G19" s="17" t="s">
        <v>134</v>
      </c>
      <c r="H19" s="17">
        <f>AVERAGE(B15:B19)</f>
        <v>164.4</v>
      </c>
      <c r="I19" s="17">
        <f>AVERAGE(C15:C19)</f>
        <v>173.6</v>
      </c>
      <c r="J19" s="17">
        <f>AVERAGE(D15:D19)</f>
        <v>186.4</v>
      </c>
      <c r="K19" s="17">
        <f>AVERAGE(E15:E19)</f>
        <v>172.4</v>
      </c>
      <c r="L19" s="17">
        <f>AVERAGE(B15:E19)</f>
        <v>174.2</v>
      </c>
    </row>
    <row r="20" spans="1:21" x14ac:dyDescent="0.25">
      <c r="G20" s="17" t="s">
        <v>62</v>
      </c>
      <c r="H20" s="17">
        <f>VAR(B15:B19)</f>
        <v>443.30000000000291</v>
      </c>
      <c r="I20" s="17">
        <f>VAR(C15:C19)</f>
        <v>428.80000000000291</v>
      </c>
      <c r="J20" s="17">
        <f>VAR(D15:D19)</f>
        <v>212.3</v>
      </c>
      <c r="K20" s="17">
        <f>VAR(E15:E19)</f>
        <v>175.8</v>
      </c>
      <c r="L20" s="17">
        <f>VAR(B15:E19)</f>
        <v>330.69473684210283</v>
      </c>
    </row>
    <row r="22" spans="1:21" ht="15.75" thickBot="1" x14ac:dyDescent="0.3">
      <c r="G22" s="125" t="s">
        <v>1</v>
      </c>
      <c r="H22" s="125"/>
      <c r="I22" s="125"/>
      <c r="J22" s="125"/>
      <c r="K22" s="125"/>
      <c r="L22" s="125"/>
    </row>
    <row r="23" spans="1:21" x14ac:dyDescent="0.25">
      <c r="G23" s="17" t="s">
        <v>19</v>
      </c>
      <c r="H23" s="17">
        <f>COUNT(B5:B19)</f>
        <v>15</v>
      </c>
      <c r="I23" s="17">
        <f>COUNT(C5:C19)</f>
        <v>15</v>
      </c>
      <c r="J23" s="17">
        <f>COUNT(D5:D19)</f>
        <v>15</v>
      </c>
      <c r="K23" s="17">
        <f>COUNT(E5:E19)</f>
        <v>15</v>
      </c>
      <c r="L23">
        <f>SUM(H23:K23)</f>
        <v>60</v>
      </c>
    </row>
    <row r="24" spans="1:21" x14ac:dyDescent="0.25">
      <c r="G24" s="17" t="s">
        <v>18</v>
      </c>
      <c r="H24" s="17">
        <f>SUM(B5:B19)</f>
        <v>2197</v>
      </c>
      <c r="I24" s="17">
        <f>SUM(C5:C19)</f>
        <v>2343</v>
      </c>
      <c r="J24" s="17">
        <f>SUM(D5:D19)</f>
        <v>2512</v>
      </c>
      <c r="K24" s="17">
        <f>SUM(E5:E19)</f>
        <v>2395</v>
      </c>
      <c r="L24">
        <f>SUM(H24:K24)</f>
        <v>9447</v>
      </c>
    </row>
    <row r="25" spans="1:21" x14ac:dyDescent="0.25">
      <c r="G25" s="17" t="s">
        <v>134</v>
      </c>
      <c r="H25" s="17">
        <f>AVERAGE(B5:B19)</f>
        <v>146.46666666666667</v>
      </c>
      <c r="I25" s="17">
        <f>AVERAGE(C5:C19)</f>
        <v>156.19999999999999</v>
      </c>
      <c r="J25" s="17">
        <f>AVERAGE(D5:D19)</f>
        <v>167.46666666666667</v>
      </c>
      <c r="K25" s="17">
        <f>AVERAGE(E5:E19)</f>
        <v>159.66666666666666</v>
      </c>
      <c r="L25">
        <f>AVERAGE(B5:E19)</f>
        <v>157.44999999999999</v>
      </c>
    </row>
    <row r="26" spans="1:21" x14ac:dyDescent="0.25">
      <c r="G26" s="17" t="s">
        <v>62</v>
      </c>
      <c r="H26" s="17">
        <f>VAR(B5:B19)</f>
        <v>705.83809523809555</v>
      </c>
      <c r="I26" s="17">
        <f>VAR(C5:C19)</f>
        <v>871.02857142857306</v>
      </c>
      <c r="J26" s="17">
        <f>VAR(D5:D19)</f>
        <v>605.98095238095266</v>
      </c>
      <c r="K26" s="17">
        <f>VAR(E5:E19)</f>
        <v>404.95238095237954</v>
      </c>
      <c r="L26">
        <f>VAR(B5:E19)</f>
        <v>671.87881355932359</v>
      </c>
      <c r="P26" t="s">
        <v>596</v>
      </c>
    </row>
    <row r="27" spans="1:21" x14ac:dyDescent="0.25">
      <c r="G27" s="17"/>
      <c r="H27" s="17"/>
      <c r="I27" s="17"/>
      <c r="J27" s="17"/>
    </row>
    <row r="28" spans="1:21" ht="15.75" thickBot="1" x14ac:dyDescent="0.3">
      <c r="G28" t="s">
        <v>101</v>
      </c>
      <c r="P28" t="s">
        <v>101</v>
      </c>
    </row>
    <row r="29" spans="1:21" x14ac:dyDescent="0.25">
      <c r="G29" s="110" t="s">
        <v>135</v>
      </c>
      <c r="H29" s="110" t="s">
        <v>88</v>
      </c>
      <c r="I29" s="110" t="s">
        <v>51</v>
      </c>
      <c r="J29" s="110" t="s">
        <v>92</v>
      </c>
      <c r="K29" s="110" t="s">
        <v>82</v>
      </c>
      <c r="L29" s="110" t="s">
        <v>74</v>
      </c>
      <c r="M29" s="110" t="s">
        <v>136</v>
      </c>
      <c r="P29" s="205" t="s">
        <v>408</v>
      </c>
      <c r="Q29" s="205" t="s">
        <v>88</v>
      </c>
      <c r="R29" s="205" t="s">
        <v>51</v>
      </c>
      <c r="S29" s="205" t="s">
        <v>92</v>
      </c>
      <c r="T29" s="205" t="s">
        <v>82</v>
      </c>
      <c r="U29" s="205" t="s">
        <v>74</v>
      </c>
    </row>
    <row r="30" spans="1:21" x14ac:dyDescent="0.25">
      <c r="G30" s="17" t="s">
        <v>254</v>
      </c>
      <c r="H30" s="17">
        <f>DEVSQ(H39:H41)/L5</f>
        <v>8782.9</v>
      </c>
      <c r="I30" s="17">
        <f>COUNTA(G39:G41)-1</f>
        <v>2</v>
      </c>
      <c r="J30" s="17">
        <f>H30/I30</f>
        <v>4391.45</v>
      </c>
      <c r="K30" s="17">
        <f>J30/J$33</f>
        <v>9.9333471565097717</v>
      </c>
      <c r="L30">
        <f>FDIST(K30,I30,I$33)</f>
        <v>2.4548728137133413E-4</v>
      </c>
      <c r="M30">
        <f>FINV(0.05,I30,I$33)</f>
        <v>3.1907273359284987</v>
      </c>
      <c r="P30" s="17" t="s">
        <v>251</v>
      </c>
      <c r="Q30" s="17" t="e">
        <f ca="1">SSRow(B5:E19,5)</f>
        <v>#NAME?</v>
      </c>
      <c r="R30" s="17" t="e">
        <f ca="1">dfRow(B5:E19,5)</f>
        <v>#NAME?</v>
      </c>
      <c r="S30" s="17" t="e">
        <f ca="1">MSRow(B5:E19,5)</f>
        <v>#NAME?</v>
      </c>
      <c r="T30" s="17" t="e">
        <f ca="1">ANOVARow(B5:E19,5)</f>
        <v>#NAME?</v>
      </c>
      <c r="U30" t="e">
        <f ca="1">ATESTRow(B5:E19,5)</f>
        <v>#NAME?</v>
      </c>
    </row>
    <row r="31" spans="1:21" x14ac:dyDescent="0.25">
      <c r="G31" s="17" t="s">
        <v>255</v>
      </c>
      <c r="H31" s="17">
        <f>DEVSQ(H44:H47)/H23</f>
        <v>3411.65</v>
      </c>
      <c r="I31" s="17">
        <f>COUNTA(G44:G47)-1</f>
        <v>3</v>
      </c>
      <c r="J31" s="17">
        <f>H31/I31</f>
        <v>1137.2166666666667</v>
      </c>
      <c r="K31" s="17">
        <f>J31/J$33</f>
        <v>2.5723549037718416</v>
      </c>
      <c r="L31">
        <f>FDIST(K31,I31,I$33)</f>
        <v>6.4943822161567036E-2</v>
      </c>
      <c r="M31">
        <f>FINV(0.05,I31,I$33)</f>
        <v>2.7980606354356103</v>
      </c>
      <c r="P31" s="17" t="s">
        <v>409</v>
      </c>
      <c r="Q31" s="17" t="e">
        <f ca="1">SSCol(B5:E19,5)</f>
        <v>#NAME?</v>
      </c>
      <c r="R31" s="17" t="e">
        <f ca="1">dfCol(B5:E19,5)</f>
        <v>#NAME?</v>
      </c>
      <c r="S31" s="17" t="e">
        <f ca="1">MSCol(B5:E19,5)</f>
        <v>#NAME?</v>
      </c>
      <c r="T31" s="17" t="e">
        <f ca="1">ANOVACol(B5:E19,5)</f>
        <v>#NAME?</v>
      </c>
      <c r="U31" t="e">
        <f ca="1">ATESTCol(B5:E19,5)</f>
        <v>#NAME?</v>
      </c>
    </row>
    <row r="32" spans="1:21" x14ac:dyDescent="0.25">
      <c r="G32" s="17" t="s">
        <v>120</v>
      </c>
      <c r="H32" s="17">
        <f>H35-H30-H31-H33</f>
        <v>6225.899999999976</v>
      </c>
      <c r="I32" s="17">
        <f>I30*I31</f>
        <v>6</v>
      </c>
      <c r="J32" s="17">
        <f>H32/I32</f>
        <v>1037.649999999996</v>
      </c>
      <c r="K32" s="17">
        <f>J32/J$33</f>
        <v>2.3471376599875495</v>
      </c>
      <c r="L32">
        <f>FDIST(K32,I32,I$33)</f>
        <v>4.5555492136473183E-2</v>
      </c>
      <c r="M32">
        <f>FINV(0.05,I32,I$33)</f>
        <v>2.29460131347063</v>
      </c>
      <c r="P32" s="17" t="s">
        <v>410</v>
      </c>
      <c r="Q32" s="17" t="e">
        <f ca="1">SSInt(B5:E19,5)</f>
        <v>#NAME?</v>
      </c>
      <c r="R32" s="17" t="e">
        <f ca="1">dfInt(B5:E19,5)</f>
        <v>#NAME?</v>
      </c>
      <c r="S32" s="17" t="e">
        <f ca="1">MSInt(B5:E19,5)</f>
        <v>#NAME?</v>
      </c>
      <c r="T32" s="17" t="e">
        <f ca="1">ANOVAInt(B5:E19,5)</f>
        <v>#NAME?</v>
      </c>
      <c r="U32" t="e">
        <f ca="1">ATESTInt(B5:E19,5)</f>
        <v>#NAME?</v>
      </c>
    </row>
    <row r="33" spans="5:21" x14ac:dyDescent="0.25">
      <c r="G33" s="17" t="s">
        <v>249</v>
      </c>
      <c r="H33" s="17">
        <f>SUM(K39:N41)</f>
        <v>21220.400000000005</v>
      </c>
      <c r="I33" s="17">
        <f>COUNT(B5:E19)-COUNTA(G39:G41)*COUNTA(G44:G47)</f>
        <v>48</v>
      </c>
      <c r="J33" s="17">
        <f>H33/I33</f>
        <v>442.09166666666675</v>
      </c>
      <c r="K33" s="17"/>
      <c r="L33" s="17"/>
      <c r="M33" s="17"/>
      <c r="P33" s="17" t="s">
        <v>249</v>
      </c>
      <c r="Q33" s="17" t="e">
        <f ca="1">SSWF(B5:E19,5)</f>
        <v>#NAME?</v>
      </c>
      <c r="R33" s="17" t="e">
        <f ca="1">dfWF(B5:E19,5)</f>
        <v>#NAME?</v>
      </c>
      <c r="S33" s="17" t="e">
        <f ca="1">MSWF(B5:E19,5)</f>
        <v>#NAME?</v>
      </c>
      <c r="T33" s="17"/>
      <c r="U33" s="17"/>
    </row>
    <row r="34" spans="5:21" ht="15.75" thickBot="1" x14ac:dyDescent="0.3">
      <c r="G34" s="17"/>
      <c r="H34" s="17"/>
      <c r="I34" s="17"/>
      <c r="J34" s="17"/>
      <c r="K34" s="17"/>
      <c r="L34" s="17"/>
      <c r="M34" s="17"/>
      <c r="P34" s="18" t="s">
        <v>1</v>
      </c>
      <c r="Q34" s="18" t="e">
        <f ca="1">SSTot(B5:E19,5)</f>
        <v>#NAME?</v>
      </c>
      <c r="R34" s="18" t="e">
        <f ca="1">dfTot(B5:E19,5)</f>
        <v>#NAME?</v>
      </c>
      <c r="S34" s="18" t="e">
        <f ca="1">MSTot(B5:E19,5)</f>
        <v>#NAME?</v>
      </c>
      <c r="T34" s="18"/>
      <c r="U34" s="18"/>
    </row>
    <row r="35" spans="5:21" ht="15.75" thickBot="1" x14ac:dyDescent="0.3">
      <c r="G35" s="18" t="s">
        <v>1</v>
      </c>
      <c r="H35" s="18">
        <f>DEVSQ(B5:E19)</f>
        <v>39640.849999999984</v>
      </c>
      <c r="I35" s="18">
        <f>COUNT(B5:E19)-1</f>
        <v>59</v>
      </c>
      <c r="J35" s="18"/>
      <c r="K35" s="18"/>
      <c r="L35" s="18"/>
      <c r="M35" s="18"/>
    </row>
    <row r="37" spans="5:21" ht="15.75" thickBot="1" x14ac:dyDescent="0.3">
      <c r="E37" s="12"/>
      <c r="P37" s="133" t="s">
        <v>266</v>
      </c>
    </row>
    <row r="38" spans="5:21" x14ac:dyDescent="0.25">
      <c r="G38" s="110" t="s">
        <v>253</v>
      </c>
      <c r="H38" s="110" t="s">
        <v>18</v>
      </c>
      <c r="J38" s="103" t="s">
        <v>257</v>
      </c>
      <c r="K38" s="66" t="s">
        <v>239</v>
      </c>
      <c r="L38" s="66" t="s">
        <v>240</v>
      </c>
      <c r="M38" s="66" t="s">
        <v>241</v>
      </c>
      <c r="N38" s="66" t="s">
        <v>245</v>
      </c>
    </row>
    <row r="39" spans="5:21" x14ac:dyDescent="0.25">
      <c r="G39" t="s">
        <v>242</v>
      </c>
      <c r="H39">
        <f>SUM(B5:E9)</f>
        <v>2921</v>
      </c>
      <c r="J39" t="s">
        <v>242</v>
      </c>
      <c r="K39" s="117">
        <f>DEVSQ(B5:B9)</f>
        <v>3376.7999999999997</v>
      </c>
      <c r="L39" s="118">
        <f>DEVSQ(C5:C9)</f>
        <v>2831.2</v>
      </c>
      <c r="M39" s="118">
        <f>DEVSQ(D5:D9)</f>
        <v>1114.8</v>
      </c>
      <c r="N39" s="119">
        <f>DEVSQ(E5:E9)</f>
        <v>1416.8000000000002</v>
      </c>
      <c r="P39" t="s">
        <v>267</v>
      </c>
      <c r="Q39" s="203">
        <f>DEVSQ(K44:N46)*H5</f>
        <v>18420.450000000004</v>
      </c>
    </row>
    <row r="40" spans="5:21" x14ac:dyDescent="0.25">
      <c r="G40" s="39" t="s">
        <v>243</v>
      </c>
      <c r="H40">
        <f>SUM(B10:E14)</f>
        <v>3042</v>
      </c>
      <c r="J40" t="s">
        <v>243</v>
      </c>
      <c r="K40" s="124">
        <f>DEVSQ(B10:B14)</f>
        <v>1994.8000000000002</v>
      </c>
      <c r="L40" s="7">
        <f>DEVSQ(C10:C14)</f>
        <v>3913.2</v>
      </c>
      <c r="M40" s="7">
        <f>DEVSQ(D10:D14)</f>
        <v>662.8</v>
      </c>
      <c r="N40" s="8">
        <f>DEVSQ(E10:E14)</f>
        <v>869.2</v>
      </c>
      <c r="P40" t="s">
        <v>268</v>
      </c>
      <c r="Q40" s="179">
        <f>H35</f>
        <v>39640.849999999984</v>
      </c>
    </row>
    <row r="41" spans="5:21" ht="15.75" thickBot="1" x14ac:dyDescent="0.3">
      <c r="G41" s="18" t="s">
        <v>244</v>
      </c>
      <c r="H41" s="18">
        <f>SUM(B15:E19)</f>
        <v>3484</v>
      </c>
      <c r="J41" t="s">
        <v>244</v>
      </c>
      <c r="K41" s="9">
        <f>DEVSQ(B15:B19)</f>
        <v>1773.1999999999998</v>
      </c>
      <c r="L41" s="10">
        <f>DEVSQ(C15:C19)</f>
        <v>1715.2000000000003</v>
      </c>
      <c r="M41" s="10">
        <f>DEVSQ(D15:D19)</f>
        <v>849.2</v>
      </c>
      <c r="N41" s="11">
        <f>DEVSQ(E15:E19)</f>
        <v>703.2</v>
      </c>
      <c r="P41" t="s">
        <v>257</v>
      </c>
      <c r="Q41" s="175">
        <f>Q40-Q39</f>
        <v>21220.39999999998</v>
      </c>
    </row>
    <row r="42" spans="5:21" ht="15.75" thickBot="1" x14ac:dyDescent="0.3"/>
    <row r="43" spans="5:21" x14ac:dyDescent="0.25">
      <c r="G43" s="110" t="s">
        <v>252</v>
      </c>
      <c r="H43" s="110" t="s">
        <v>18</v>
      </c>
      <c r="J43" s="103" t="s">
        <v>258</v>
      </c>
      <c r="K43" s="66" t="s">
        <v>239</v>
      </c>
      <c r="L43" s="66" t="s">
        <v>240</v>
      </c>
      <c r="M43" s="66" t="s">
        <v>241</v>
      </c>
      <c r="N43" s="66" t="s">
        <v>245</v>
      </c>
    </row>
    <row r="44" spans="5:21" x14ac:dyDescent="0.25">
      <c r="G44" t="s">
        <v>239</v>
      </c>
      <c r="H44">
        <f>SUM(B5:B19)</f>
        <v>2197</v>
      </c>
      <c r="J44" t="s">
        <v>242</v>
      </c>
      <c r="K44" s="117">
        <f>AVERAGE(B5:B9)</f>
        <v>131.80000000000001</v>
      </c>
      <c r="L44" s="118">
        <f>AVERAGE(C5:C9)</f>
        <v>135.4</v>
      </c>
      <c r="M44" s="118">
        <f>AVERAGE(D5:D9)</f>
        <v>175.8</v>
      </c>
      <c r="N44" s="119">
        <f>AVERAGE(E5:E9)</f>
        <v>141.19999999999999</v>
      </c>
    </row>
    <row r="45" spans="5:21" x14ac:dyDescent="0.25">
      <c r="G45" s="39" t="s">
        <v>240</v>
      </c>
      <c r="H45">
        <f>SUM(C5:C19)</f>
        <v>2343</v>
      </c>
      <c r="J45" t="s">
        <v>243</v>
      </c>
      <c r="K45" s="124">
        <f>AVERAGE(B10:B14)</f>
        <v>143.19999999999999</v>
      </c>
      <c r="L45" s="7">
        <f>AVERAGE(C10:C14)</f>
        <v>159.6</v>
      </c>
      <c r="M45" s="7">
        <f>AVERAGE(D10:D14)</f>
        <v>140.19999999999999</v>
      </c>
      <c r="N45" s="8">
        <f>AVERAGE(E10:E14)</f>
        <v>165.4</v>
      </c>
    </row>
    <row r="46" spans="5:21" x14ac:dyDescent="0.25">
      <c r="G46" t="s">
        <v>241</v>
      </c>
      <c r="H46">
        <f>SUM(D5:D19)</f>
        <v>2512</v>
      </c>
      <c r="J46" t="s">
        <v>244</v>
      </c>
      <c r="K46" s="9">
        <f>AVERAGE(B15:B19)</f>
        <v>164.4</v>
      </c>
      <c r="L46" s="10">
        <f>AVERAGE(C15:C19)</f>
        <v>173.6</v>
      </c>
      <c r="M46" s="10">
        <f>AVERAGE(D15:D19)</f>
        <v>186.4</v>
      </c>
      <c r="N46" s="11">
        <f>AVERAGE(E15:E19)</f>
        <v>172.4</v>
      </c>
    </row>
    <row r="47" spans="5:21" ht="15.75" thickBot="1" x14ac:dyDescent="0.3">
      <c r="G47" s="18" t="s">
        <v>245</v>
      </c>
      <c r="H47" s="18">
        <f>SUM(E5:E19)</f>
        <v>2395</v>
      </c>
      <c r="K47" s="12"/>
    </row>
  </sheetData>
  <mergeCells count="1">
    <mergeCell ref="B3:E3"/>
  </mergeCells>
  <pageMargins left="0.7" right="0.7" top="0.75" bottom="0.75" header="0.3" footer="0.3"/>
  <ignoredErrors>
    <ignoredError sqref="H5 K40:M41 H6:K8 H12:K14 H18:K20 I5:K5 H11:K11 H17:K17 N39:N41 K39:M39 K44:N46" formulaRange="1"/>
  </ignoredError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4"/>
  <dimension ref="A1:Y23"/>
  <sheetViews>
    <sheetView workbookViewId="0"/>
  </sheetViews>
  <sheetFormatPr defaultRowHeight="15" x14ac:dyDescent="0.25"/>
  <cols>
    <col min="1" max="1" width="7.85546875" customWidth="1"/>
    <col min="2" max="5" width="6.42578125" customWidth="1"/>
    <col min="6" max="6" width="4.140625" customWidth="1"/>
    <col min="8" max="11" width="7.140625" customWidth="1"/>
    <col min="13" max="13" width="4.140625" customWidth="1"/>
    <col min="16" max="16" width="4.85546875" customWidth="1"/>
    <col min="20" max="20" width="8.7109375" customWidth="1"/>
  </cols>
  <sheetData>
    <row r="1" spans="1:25" x14ac:dyDescent="0.25">
      <c r="A1" s="1" t="s">
        <v>888</v>
      </c>
      <c r="G1" t="s">
        <v>24</v>
      </c>
      <c r="N1" t="s">
        <v>493</v>
      </c>
      <c r="V1" t="s">
        <v>492</v>
      </c>
    </row>
    <row r="3" spans="1:25" ht="15.75" thickBot="1" x14ac:dyDescent="0.3">
      <c r="B3" s="569" t="s">
        <v>250</v>
      </c>
      <c r="C3" s="570"/>
      <c r="D3" s="570"/>
      <c r="E3" s="571"/>
      <c r="G3" t="s">
        <v>489</v>
      </c>
      <c r="H3" t="str">
        <f>IF(COUNTIF(H5:K7,H5)=COUNT(H5:K7),"balanced","unbalanced")</f>
        <v>balanced</v>
      </c>
      <c r="N3" t="s">
        <v>101</v>
      </c>
      <c r="R3" s="225" t="s">
        <v>31</v>
      </c>
      <c r="S3" s="225">
        <v>0.05</v>
      </c>
      <c r="W3" s="230" t="str">
        <f>A5</f>
        <v>Blend X</v>
      </c>
      <c r="X3" s="230" t="str">
        <f>A10</f>
        <v>Blend Y</v>
      </c>
      <c r="Y3" s="230" t="str">
        <f>A15</f>
        <v>Blend Z</v>
      </c>
    </row>
    <row r="4" spans="1:25" ht="15.75" thickTop="1" x14ac:dyDescent="0.25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H4" s="225" t="str">
        <f>B4</f>
        <v>Wheat</v>
      </c>
      <c r="I4" s="225" t="str">
        <f>C4</f>
        <v>Corn</v>
      </c>
      <c r="J4" s="225" t="str">
        <f>D4</f>
        <v>Soy</v>
      </c>
      <c r="K4" s="225" t="str">
        <f>E4</f>
        <v>Rice</v>
      </c>
      <c r="N4" s="217"/>
      <c r="O4" s="217" t="s">
        <v>88</v>
      </c>
      <c r="P4" s="217" t="s">
        <v>51</v>
      </c>
      <c r="Q4" s="217" t="s">
        <v>92</v>
      </c>
      <c r="R4" s="217" t="s">
        <v>82</v>
      </c>
      <c r="S4" s="217" t="s">
        <v>56</v>
      </c>
      <c r="T4" s="251" t="s">
        <v>865</v>
      </c>
      <c r="V4" s="229" t="str">
        <f>B4</f>
        <v>Wheat</v>
      </c>
      <c r="W4" s="229">
        <f>IF(B5="","",B5)</f>
        <v>123</v>
      </c>
      <c r="X4" s="229">
        <f>IF(B10="","",B10)</f>
        <v>135</v>
      </c>
      <c r="Y4" s="229">
        <f>IF(B15="","",B15)</f>
        <v>156</v>
      </c>
    </row>
    <row r="5" spans="1:25" x14ac:dyDescent="0.25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t="str">
        <f>A5</f>
        <v>Blend X</v>
      </c>
      <c r="H5" s="226">
        <f>COUNT(B5:B9)</f>
        <v>5</v>
      </c>
      <c r="I5" s="227">
        <f>COUNT(C5:C9)</f>
        <v>5</v>
      </c>
      <c r="J5" s="227">
        <f>COUNT(D5:D9)</f>
        <v>5</v>
      </c>
      <c r="K5" s="228">
        <f>COUNT(E5:E9)</f>
        <v>5</v>
      </c>
      <c r="L5">
        <f>COUNT(B5:E9)</f>
        <v>20</v>
      </c>
      <c r="N5" t="s">
        <v>83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>
        <f>O5/(O5+O8)</f>
        <v>0.29273113290871283</v>
      </c>
      <c r="V5" s="206"/>
      <c r="W5" s="206">
        <f>IF(B6="","",B6)</f>
        <v>156</v>
      </c>
      <c r="X5" s="206">
        <f>IF(B11="","",B11)</f>
        <v>130</v>
      </c>
      <c r="Y5" s="206">
        <f>IF(B16="","",B16)</f>
        <v>180</v>
      </c>
    </row>
    <row r="6" spans="1:25" x14ac:dyDescent="0.25">
      <c r="A6" s="6"/>
      <c r="B6" s="123">
        <v>156</v>
      </c>
      <c r="C6" s="123">
        <v>150</v>
      </c>
      <c r="D6" s="123">
        <v>178</v>
      </c>
      <c r="E6" s="123">
        <v>125</v>
      </c>
      <c r="G6" t="str">
        <f>A10</f>
        <v>Blend Y</v>
      </c>
      <c r="H6" s="178">
        <f>COUNT(B10:B14)</f>
        <v>5</v>
      </c>
      <c r="I6" s="7">
        <f>COUNT(C10:C14)</f>
        <v>5</v>
      </c>
      <c r="J6" s="7">
        <f>COUNT(D10:D14)</f>
        <v>5</v>
      </c>
      <c r="K6" s="40">
        <f>COUNT(E10:E14)</f>
        <v>5</v>
      </c>
      <c r="L6">
        <f>COUNT(B10:E14)</f>
        <v>20</v>
      </c>
      <c r="N6" t="s">
        <v>238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>
        <f>O6/(O6+O8)</f>
        <v>0.13850450936889119</v>
      </c>
      <c r="V6" s="206"/>
      <c r="W6" s="206">
        <f>IF(B7="","",B7)</f>
        <v>112</v>
      </c>
      <c r="X6" s="206">
        <f>IF(B12="","",B12)</f>
        <v>176</v>
      </c>
      <c r="Y6" s="206">
        <f>IF(B17="","",B17)</f>
        <v>147</v>
      </c>
    </row>
    <row r="7" spans="1:25" x14ac:dyDescent="0.25">
      <c r="A7" s="124"/>
      <c r="B7" s="123">
        <v>112</v>
      </c>
      <c r="C7" s="123">
        <v>174</v>
      </c>
      <c r="D7" s="123">
        <v>187</v>
      </c>
      <c r="E7" s="123">
        <v>117</v>
      </c>
      <c r="G7" t="str">
        <f>A15</f>
        <v>Blend Z</v>
      </c>
      <c r="H7" s="221">
        <f>COUNT(B15:B19)</f>
        <v>5</v>
      </c>
      <c r="I7" s="222">
        <f>COUNT(C15:C19)</f>
        <v>5</v>
      </c>
      <c r="J7" s="222">
        <f>COUNT(D15:D19)</f>
        <v>5</v>
      </c>
      <c r="K7" s="223">
        <f>COUNT(E15:E19)</f>
        <v>5</v>
      </c>
      <c r="L7">
        <f>COUNT(B15:E19)</f>
        <v>20</v>
      </c>
      <c r="N7" t="s">
        <v>410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>
        <f>O7/(O7+O8)</f>
        <v>0.22683931896102769</v>
      </c>
      <c r="V7" s="206"/>
      <c r="W7" s="206">
        <f>IF(B8="","",B8)</f>
        <v>100</v>
      </c>
      <c r="X7" s="206">
        <f>IF(B13="","",B13)</f>
        <v>120</v>
      </c>
      <c r="Y7" s="206">
        <f>IF(B18="","",B18)</f>
        <v>146</v>
      </c>
    </row>
    <row r="8" spans="1:25" x14ac:dyDescent="0.25">
      <c r="A8" s="124"/>
      <c r="B8" s="123">
        <v>100</v>
      </c>
      <c r="C8" s="123">
        <v>116</v>
      </c>
      <c r="D8" s="123">
        <v>153</v>
      </c>
      <c r="E8" s="123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249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219"/>
      <c r="W8" s="219">
        <f>IF(B9="","",B9)</f>
        <v>168</v>
      </c>
      <c r="X8" s="219">
        <f>IF(B14="","",B14)</f>
        <v>155</v>
      </c>
      <c r="Y8" s="219">
        <f>IF(B19="","",B19)</f>
        <v>193</v>
      </c>
    </row>
    <row r="9" spans="1:25" x14ac:dyDescent="0.25">
      <c r="A9" s="124"/>
      <c r="B9" s="22">
        <v>168</v>
      </c>
      <c r="C9" s="22">
        <v>109</v>
      </c>
      <c r="D9" s="22">
        <v>195</v>
      </c>
      <c r="E9" s="22">
        <v>158</v>
      </c>
      <c r="N9" s="224" t="s">
        <v>1</v>
      </c>
      <c r="O9" s="224">
        <f>Q9*P9</f>
        <v>39640.850000000093</v>
      </c>
      <c r="P9" s="224">
        <f>L8-1</f>
        <v>59</v>
      </c>
      <c r="Q9" s="224">
        <f>L22</f>
        <v>671.87881355932359</v>
      </c>
      <c r="R9" s="224"/>
      <c r="S9" s="224"/>
      <c r="T9" s="224"/>
      <c r="V9" s="229" t="str">
        <f>C4</f>
        <v>Corn</v>
      </c>
      <c r="W9" s="229">
        <f>IF(C5="","",C5)</f>
        <v>128</v>
      </c>
      <c r="X9" s="229">
        <f>IF(C10="","",C10)</f>
        <v>175</v>
      </c>
      <c r="Y9" s="229">
        <f>IF(C15="","",C15)</f>
        <v>186</v>
      </c>
    </row>
    <row r="10" spans="1:25" x14ac:dyDescent="0.25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t="s">
        <v>259</v>
      </c>
      <c r="V10" s="206"/>
      <c r="W10" s="206">
        <f>IF(C6="","",C6)</f>
        <v>150</v>
      </c>
      <c r="X10" s="206">
        <f>IF(C11="","",C11)</f>
        <v>132</v>
      </c>
      <c r="Y10" s="206">
        <f>IF(C16="","",C16)</f>
        <v>138</v>
      </c>
    </row>
    <row r="11" spans="1:25" x14ac:dyDescent="0.25">
      <c r="A11" s="124"/>
      <c r="B11" s="123">
        <v>130</v>
      </c>
      <c r="C11" s="123">
        <v>132</v>
      </c>
      <c r="D11" s="123">
        <v>145</v>
      </c>
      <c r="E11" s="123">
        <v>183</v>
      </c>
      <c r="H11" s="225" t="str">
        <f>B4</f>
        <v>Wheat</v>
      </c>
      <c r="I11" s="225" t="str">
        <f>C4</f>
        <v>Corn</v>
      </c>
      <c r="J11" s="225" t="str">
        <f>D4</f>
        <v>Soy</v>
      </c>
      <c r="K11" s="225" t="str">
        <f>E4</f>
        <v>Rice</v>
      </c>
      <c r="V11" s="206"/>
      <c r="W11" s="206">
        <f>IF(C7="","",C7)</f>
        <v>174</v>
      </c>
      <c r="X11" s="206">
        <f>IF(C12="","",C12)</f>
        <v>120</v>
      </c>
      <c r="Y11" s="206">
        <f>IF(C17="","",C17)</f>
        <v>178</v>
      </c>
    </row>
    <row r="12" spans="1:25" x14ac:dyDescent="0.25">
      <c r="A12" s="124"/>
      <c r="B12" s="123">
        <v>176</v>
      </c>
      <c r="C12" s="123">
        <v>120</v>
      </c>
      <c r="D12" s="123">
        <v>159</v>
      </c>
      <c r="E12" s="123">
        <v>142</v>
      </c>
      <c r="G12" t="str">
        <f>A5</f>
        <v>Blend X</v>
      </c>
      <c r="H12" s="226">
        <f>AVERAGE(B5:B9)</f>
        <v>131.80000000000001</v>
      </c>
      <c r="I12" s="227">
        <f>AVERAGE(C5:C9)</f>
        <v>135.4</v>
      </c>
      <c r="J12" s="227">
        <f>AVERAGE(D5:D9)</f>
        <v>175.8</v>
      </c>
      <c r="K12" s="228">
        <f>AVERAGE(E5:E9)</f>
        <v>141.19999999999999</v>
      </c>
      <c r="L12">
        <f>AVERAGE(B5:E9)</f>
        <v>146.05000000000001</v>
      </c>
      <c r="V12" s="206"/>
      <c r="W12" s="206">
        <f>IF(C8="","",C8)</f>
        <v>116</v>
      </c>
      <c r="X12" s="206">
        <f>IF(C13="","",C13)</f>
        <v>187</v>
      </c>
      <c r="Y12" s="206">
        <f>IF(C18="","",C18)</f>
        <v>176</v>
      </c>
    </row>
    <row r="13" spans="1:25" x14ac:dyDescent="0.25">
      <c r="A13" s="124"/>
      <c r="B13" s="123">
        <v>120</v>
      </c>
      <c r="C13" s="123">
        <v>187</v>
      </c>
      <c r="D13" s="123">
        <v>131</v>
      </c>
      <c r="E13" s="123">
        <v>167</v>
      </c>
      <c r="G13" t="str">
        <f>A10</f>
        <v>Blend Y</v>
      </c>
      <c r="H13" s="178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40">
        <f>AVERAGE(E10:E14)</f>
        <v>165.4</v>
      </c>
      <c r="L13">
        <f>AVERAGE(B10:E14)</f>
        <v>152.1</v>
      </c>
      <c r="V13" s="219"/>
      <c r="W13" s="219">
        <f>IF(C9="","",C9)</f>
        <v>109</v>
      </c>
      <c r="X13" s="219">
        <f>IF(C14="","",C14)</f>
        <v>184</v>
      </c>
      <c r="Y13" s="219">
        <f>IF(C19="","",C19)</f>
        <v>190</v>
      </c>
    </row>
    <row r="14" spans="1:25" x14ac:dyDescent="0.25">
      <c r="A14" s="124"/>
      <c r="B14" s="22">
        <v>155</v>
      </c>
      <c r="C14" s="22">
        <v>184</v>
      </c>
      <c r="D14" s="22">
        <v>126</v>
      </c>
      <c r="E14" s="22">
        <v>168</v>
      </c>
      <c r="G14" t="str">
        <f>A15</f>
        <v>Blend Z</v>
      </c>
      <c r="H14" s="221">
        <f>AVERAGE(B15:B19)</f>
        <v>164.4</v>
      </c>
      <c r="I14" s="222">
        <f>AVERAGE(C15:C19)</f>
        <v>173.6</v>
      </c>
      <c r="J14" s="222">
        <f>AVERAGE(D15:D19)</f>
        <v>186.4</v>
      </c>
      <c r="K14" s="223">
        <f>AVERAGE(E15:E19)</f>
        <v>172.4</v>
      </c>
      <c r="L14">
        <f>AVERAGE(B15:E19)</f>
        <v>174.2</v>
      </c>
      <c r="V14" s="229" t="str">
        <f>D4</f>
        <v>Soy</v>
      </c>
      <c r="W14" s="229">
        <f>IF(D5="","",D5)</f>
        <v>166</v>
      </c>
      <c r="X14" s="229">
        <f>IF(D10="","",D10)</f>
        <v>140</v>
      </c>
      <c r="Y14" s="229">
        <f>IF(D15="","",D15)</f>
        <v>185</v>
      </c>
    </row>
    <row r="15" spans="1:25" x14ac:dyDescent="0.25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s="206"/>
      <c r="W15" s="206">
        <f>IF(D6="","",D6)</f>
        <v>178</v>
      </c>
      <c r="X15" s="206">
        <f>IF(D11="","",D11)</f>
        <v>145</v>
      </c>
      <c r="Y15" s="206">
        <f>IF(D16="","",D16)</f>
        <v>206</v>
      </c>
    </row>
    <row r="16" spans="1:25" x14ac:dyDescent="0.25">
      <c r="A16" s="124"/>
      <c r="B16" s="123">
        <v>180</v>
      </c>
      <c r="C16" s="123">
        <v>138</v>
      </c>
      <c r="D16" s="123">
        <v>206</v>
      </c>
      <c r="E16" s="123">
        <v>173</v>
      </c>
      <c r="V16" s="206"/>
      <c r="W16" s="206">
        <f>IF(D7="","",D7)</f>
        <v>187</v>
      </c>
      <c r="X16" s="206">
        <f>IF(D12="","",D12)</f>
        <v>159</v>
      </c>
      <c r="Y16" s="206">
        <f>IF(D17="","",D17)</f>
        <v>188</v>
      </c>
    </row>
    <row r="17" spans="1:25" x14ac:dyDescent="0.25">
      <c r="A17" s="124"/>
      <c r="B17" s="123">
        <v>147</v>
      </c>
      <c r="C17" s="123">
        <v>178</v>
      </c>
      <c r="D17" s="123">
        <v>188</v>
      </c>
      <c r="E17" s="123">
        <v>154</v>
      </c>
      <c r="G17" t="s">
        <v>490</v>
      </c>
      <c r="V17" s="206"/>
      <c r="W17" s="206">
        <f>IF(D8="","",D8)</f>
        <v>153</v>
      </c>
      <c r="X17" s="206">
        <f>IF(D13="","",D13)</f>
        <v>131</v>
      </c>
      <c r="Y17" s="206">
        <f>IF(D18="","",D18)</f>
        <v>165</v>
      </c>
    </row>
    <row r="18" spans="1:25" x14ac:dyDescent="0.25">
      <c r="A18" s="124"/>
      <c r="B18" s="123">
        <v>146</v>
      </c>
      <c r="C18" s="123">
        <v>176</v>
      </c>
      <c r="D18" s="123">
        <v>165</v>
      </c>
      <c r="E18" s="123">
        <v>191</v>
      </c>
      <c r="H18" s="225" t="str">
        <f>B4</f>
        <v>Wheat</v>
      </c>
      <c r="I18" s="225" t="str">
        <f>C4</f>
        <v>Corn</v>
      </c>
      <c r="J18" s="225" t="str">
        <f>D4</f>
        <v>Soy</v>
      </c>
      <c r="K18" s="225" t="str">
        <f>E4</f>
        <v>Rice</v>
      </c>
      <c r="V18" s="219"/>
      <c r="W18" s="219">
        <f>IF(D9="","",D9)</f>
        <v>195</v>
      </c>
      <c r="X18" s="219">
        <f>IF(D14="","",D14)</f>
        <v>126</v>
      </c>
      <c r="Y18" s="219">
        <f>IF(D19="","",D19)</f>
        <v>188</v>
      </c>
    </row>
    <row r="19" spans="1:25" x14ac:dyDescent="0.25">
      <c r="A19" s="9"/>
      <c r="B19" s="22">
        <v>193</v>
      </c>
      <c r="C19" s="22">
        <v>190</v>
      </c>
      <c r="D19" s="22">
        <v>188</v>
      </c>
      <c r="E19" s="22">
        <v>169</v>
      </c>
      <c r="G19" t="str">
        <f>A5</f>
        <v>Blend X</v>
      </c>
      <c r="H19" s="226">
        <f>VAR(B5:B9)</f>
        <v>844.20000000000073</v>
      </c>
      <c r="I19" s="227">
        <f>VAR(C5:C9)</f>
        <v>707.79999999999927</v>
      </c>
      <c r="J19" s="227">
        <f>VAR(D5:D9)</f>
        <v>278.7</v>
      </c>
      <c r="K19" s="228">
        <f>VAR(E5:E9)</f>
        <v>354.20000000000073</v>
      </c>
      <c r="L19">
        <f>VAR(B5:E9)</f>
        <v>782.3657894736848</v>
      </c>
      <c r="V19" s="229" t="str">
        <f>E4</f>
        <v>Rice</v>
      </c>
      <c r="W19" s="229">
        <f>IF(E5="","",E5)</f>
        <v>151</v>
      </c>
      <c r="X19" s="229">
        <f>IF(E10="","",E10)</f>
        <v>167</v>
      </c>
      <c r="Y19" s="229">
        <f>IF(E15="","",E15)</f>
        <v>175</v>
      </c>
    </row>
    <row r="20" spans="1:25" x14ac:dyDescent="0.25">
      <c r="G20" t="str">
        <f>A10</f>
        <v>Blend Y</v>
      </c>
      <c r="H20" s="178">
        <f>VAR(B10:B14)</f>
        <v>498.70000000000073</v>
      </c>
      <c r="I20" s="7">
        <f>VAR(C10:C14)</f>
        <v>978.29999999999927</v>
      </c>
      <c r="J20" s="7">
        <f>VAR(D10:D14)</f>
        <v>165.7</v>
      </c>
      <c r="K20" s="40">
        <f>VAR(E10:E14)</f>
        <v>217.3</v>
      </c>
      <c r="L20">
        <f>VAR(B10:E14)</f>
        <v>511.04210526315728</v>
      </c>
      <c r="V20" s="206"/>
      <c r="W20" s="206">
        <f>IF(E6="","",E6)</f>
        <v>125</v>
      </c>
      <c r="X20" s="206">
        <f>IF(E11="","",E11)</f>
        <v>183</v>
      </c>
      <c r="Y20" s="206">
        <f>IF(E16="","",E16)</f>
        <v>173</v>
      </c>
    </row>
    <row r="21" spans="1:25" x14ac:dyDescent="0.25">
      <c r="G21" t="str">
        <f>A15</f>
        <v>Blend Z</v>
      </c>
      <c r="H21" s="221">
        <f>VAR(B15:B19)</f>
        <v>443.30000000000291</v>
      </c>
      <c r="I21" s="222">
        <f>VAR(C15:C19)</f>
        <v>428.80000000000291</v>
      </c>
      <c r="J21" s="222">
        <f>VAR(D15:D19)</f>
        <v>212.3</v>
      </c>
      <c r="K21" s="223">
        <f>VAR(E15:E19)</f>
        <v>175.8</v>
      </c>
      <c r="L21">
        <f>VAR(B15:E19)</f>
        <v>330.69473684210283</v>
      </c>
      <c r="V21" s="206"/>
      <c r="W21" s="206">
        <f>IF(E7="","",E7)</f>
        <v>117</v>
      </c>
      <c r="X21" s="206">
        <f>IF(E12="","",E12)</f>
        <v>142</v>
      </c>
      <c r="Y21" s="206">
        <f>IF(E17="","",E17)</f>
        <v>154</v>
      </c>
    </row>
    <row r="22" spans="1:25" x14ac:dyDescent="0.25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  <c r="V22" s="206"/>
      <c r="W22" s="206">
        <f>IF(E8="","",E8)</f>
        <v>155</v>
      </c>
      <c r="X22" s="206">
        <f>IF(E13="","",E13)</f>
        <v>167</v>
      </c>
      <c r="Y22" s="206">
        <f>IF(E18="","",E18)</f>
        <v>191</v>
      </c>
    </row>
    <row r="23" spans="1:25" x14ac:dyDescent="0.25">
      <c r="V23" s="219"/>
      <c r="W23" s="219">
        <f>IF(E9="","",E9)</f>
        <v>158</v>
      </c>
      <c r="X23" s="219">
        <f>IF(E14="","",E14)</f>
        <v>168</v>
      </c>
      <c r="Y23" s="219">
        <f>IF(E19="","",E19)</f>
        <v>169</v>
      </c>
    </row>
  </sheetData>
  <mergeCells count="1">
    <mergeCell ref="B3:E3"/>
  </mergeCells>
  <pageMargins left="0.7" right="0.7" top="0.75" bottom="0.75" header="0.3" footer="0.3"/>
  <ignoredErrors>
    <ignoredError sqref="H5:K7 H12:K14 H19:K21" formulaRange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X29"/>
  <sheetViews>
    <sheetView workbookViewId="0"/>
  </sheetViews>
  <sheetFormatPr defaultRowHeight="15" x14ac:dyDescent="0.25"/>
  <cols>
    <col min="3" max="3" width="7.5703125" customWidth="1"/>
    <col min="15" max="15" width="17.28515625" customWidth="1"/>
    <col min="22" max="22" width="9.140625" customWidth="1"/>
    <col min="23" max="23" width="18.140625" customWidth="1"/>
    <col min="24" max="24" width="22.140625" customWidth="1"/>
  </cols>
  <sheetData>
    <row r="1" spans="1:24" x14ac:dyDescent="0.25">
      <c r="A1" s="1" t="s">
        <v>247</v>
      </c>
      <c r="B1" s="1"/>
      <c r="O1" t="s">
        <v>248</v>
      </c>
    </row>
    <row r="3" spans="1:24" ht="15.75" thickBot="1" x14ac:dyDescent="0.3">
      <c r="A3" s="130" t="s">
        <v>251</v>
      </c>
      <c r="B3" s="120" t="s">
        <v>250</v>
      </c>
      <c r="C3" s="570" t="s">
        <v>256</v>
      </c>
      <c r="D3" s="570"/>
      <c r="E3" s="570"/>
      <c r="F3" s="570"/>
      <c r="G3" s="571"/>
      <c r="H3" s="37"/>
      <c r="I3" s="126" t="s">
        <v>19</v>
      </c>
      <c r="J3" s="127" t="s">
        <v>18</v>
      </c>
      <c r="K3" s="127" t="s">
        <v>7</v>
      </c>
      <c r="L3" s="128" t="s">
        <v>62</v>
      </c>
      <c r="M3" s="132" t="s">
        <v>88</v>
      </c>
      <c r="O3" t="s">
        <v>101</v>
      </c>
      <c r="W3" t="s">
        <v>260</v>
      </c>
    </row>
    <row r="4" spans="1:24" ht="15.75" thickTop="1" x14ac:dyDescent="0.25">
      <c r="A4" s="117" t="s">
        <v>242</v>
      </c>
      <c r="B4" s="123" t="s">
        <v>239</v>
      </c>
      <c r="C4" s="117">
        <v>123</v>
      </c>
      <c r="D4" s="118">
        <v>156</v>
      </c>
      <c r="E4" s="118">
        <v>112</v>
      </c>
      <c r="F4" s="118">
        <v>100</v>
      </c>
      <c r="G4" s="119">
        <v>168</v>
      </c>
      <c r="H4" s="7"/>
      <c r="I4" s="117">
        <f>COUNT(C4:G4)</f>
        <v>5</v>
      </c>
      <c r="J4" s="118">
        <f>SUM(C4:G4)</f>
        <v>659</v>
      </c>
      <c r="K4" s="118">
        <f>AVERAGE(C4:G4)</f>
        <v>131.80000000000001</v>
      </c>
      <c r="L4" s="118">
        <f>VAR(C4:G4)</f>
        <v>844.20000000000073</v>
      </c>
      <c r="M4" s="119">
        <f>DEVSQ(C4:G4)</f>
        <v>3376.7999999999997</v>
      </c>
      <c r="O4" s="110" t="s">
        <v>135</v>
      </c>
      <c r="P4" s="110" t="s">
        <v>88</v>
      </c>
      <c r="Q4" s="110" t="s">
        <v>51</v>
      </c>
      <c r="R4" s="110" t="s">
        <v>92</v>
      </c>
      <c r="S4" s="110" t="s">
        <v>82</v>
      </c>
      <c r="T4" s="110" t="s">
        <v>74</v>
      </c>
      <c r="U4" s="251" t="s">
        <v>865</v>
      </c>
    </row>
    <row r="5" spans="1:24" x14ac:dyDescent="0.25">
      <c r="A5" s="124" t="s">
        <v>242</v>
      </c>
      <c r="B5" s="123" t="s">
        <v>240</v>
      </c>
      <c r="C5" s="124">
        <v>128</v>
      </c>
      <c r="D5" s="7">
        <v>150</v>
      </c>
      <c r="E5" s="7">
        <v>174</v>
      </c>
      <c r="F5" s="7">
        <v>116</v>
      </c>
      <c r="G5" s="8">
        <v>109</v>
      </c>
      <c r="H5" s="7"/>
      <c r="I5" s="124">
        <f t="shared" ref="I5:I15" si="0">COUNT(C5:G5)</f>
        <v>5</v>
      </c>
      <c r="J5" s="7">
        <f t="shared" ref="J5:J15" si="1">SUM(C5:G5)</f>
        <v>677</v>
      </c>
      <c r="K5" s="7">
        <f t="shared" ref="K5:K15" si="2">AVERAGE(C5:G5)</f>
        <v>135.4</v>
      </c>
      <c r="L5" s="7">
        <f t="shared" ref="L5:L15" si="3">VAR(C5:G5)</f>
        <v>707.79999999999927</v>
      </c>
      <c r="M5" s="8">
        <f t="shared" ref="M5:M15" si="4">DEVSQ(C5:G5)</f>
        <v>2831.2</v>
      </c>
      <c r="O5" s="17" t="s">
        <v>254</v>
      </c>
      <c r="P5" s="17">
        <f>DEVSQ(J17:J19)/I17</f>
        <v>8782.9</v>
      </c>
      <c r="Q5" s="17">
        <f>COUNTA(H17:H19)-1</f>
        <v>2</v>
      </c>
      <c r="R5" s="17">
        <f>P5/Q5</f>
        <v>4391.45</v>
      </c>
      <c r="S5" s="17">
        <f>R5/R$8</f>
        <v>9.9333471565097717</v>
      </c>
      <c r="T5">
        <f>FDIST(S5,Q5,Q$8)</f>
        <v>2.4548728137133413E-4</v>
      </c>
      <c r="U5">
        <f>P5/(P5+P8)</f>
        <v>0.29273113290871333</v>
      </c>
      <c r="W5" s="17" t="s">
        <v>254</v>
      </c>
      <c r="X5" s="14" t="s">
        <v>261</v>
      </c>
    </row>
    <row r="6" spans="1:24" x14ac:dyDescent="0.25">
      <c r="A6" s="124" t="s">
        <v>242</v>
      </c>
      <c r="B6" s="123" t="s">
        <v>241</v>
      </c>
      <c r="C6" s="124">
        <v>166</v>
      </c>
      <c r="D6" s="7">
        <v>178</v>
      </c>
      <c r="E6" s="7">
        <v>187</v>
      </c>
      <c r="F6" s="7">
        <v>153</v>
      </c>
      <c r="G6" s="8">
        <v>195</v>
      </c>
      <c r="H6" s="7"/>
      <c r="I6" s="124">
        <f t="shared" si="0"/>
        <v>5</v>
      </c>
      <c r="J6" s="7">
        <f t="shared" si="1"/>
        <v>879</v>
      </c>
      <c r="K6" s="7">
        <f t="shared" si="2"/>
        <v>175.8</v>
      </c>
      <c r="L6" s="7">
        <f t="shared" si="3"/>
        <v>278.7</v>
      </c>
      <c r="M6" s="8">
        <f t="shared" si="4"/>
        <v>1114.8</v>
      </c>
      <c r="O6" s="17" t="s">
        <v>255</v>
      </c>
      <c r="P6" s="17">
        <f>DEVSQ(J21:J24)/I21</f>
        <v>3411.65</v>
      </c>
      <c r="Q6" s="17">
        <f>COUNTA(H21:H24)-1</f>
        <v>3</v>
      </c>
      <c r="R6" s="17">
        <f>P6/Q6</f>
        <v>1137.2166666666667</v>
      </c>
      <c r="S6" s="17">
        <f>R6/R$8</f>
        <v>2.5723549037718416</v>
      </c>
      <c r="T6">
        <f>FDIST(S6,Q6,Q$8)</f>
        <v>6.4943822161567036E-2</v>
      </c>
      <c r="U6">
        <f>P6/(P6+P8)</f>
        <v>0.1385045093688913</v>
      </c>
      <c r="W6" s="17" t="s">
        <v>255</v>
      </c>
      <c r="X6" s="14" t="s">
        <v>262</v>
      </c>
    </row>
    <row r="7" spans="1:24" x14ac:dyDescent="0.25">
      <c r="A7" s="124" t="s">
        <v>242</v>
      </c>
      <c r="B7" s="131" t="s">
        <v>245</v>
      </c>
      <c r="C7" s="124">
        <v>151</v>
      </c>
      <c r="D7" s="7">
        <v>125</v>
      </c>
      <c r="E7" s="7">
        <v>117</v>
      </c>
      <c r="F7" s="7">
        <v>155</v>
      </c>
      <c r="G7" s="8">
        <v>158</v>
      </c>
      <c r="H7" s="7"/>
      <c r="I7" s="124">
        <f t="shared" si="0"/>
        <v>5</v>
      </c>
      <c r="J7" s="7">
        <f t="shared" si="1"/>
        <v>706</v>
      </c>
      <c r="K7" s="7">
        <f t="shared" si="2"/>
        <v>141.19999999999999</v>
      </c>
      <c r="L7" s="7">
        <f t="shared" si="3"/>
        <v>354.20000000000073</v>
      </c>
      <c r="M7" s="8">
        <f t="shared" si="4"/>
        <v>1416.8000000000002</v>
      </c>
      <c r="O7" s="17" t="s">
        <v>120</v>
      </c>
      <c r="P7" s="17">
        <f>P10-P5-P6-P8</f>
        <v>6225.8999999999905</v>
      </c>
      <c r="Q7" s="17">
        <f>Q5*Q6</f>
        <v>6</v>
      </c>
      <c r="R7" s="17">
        <f>P7/Q7</f>
        <v>1037.6499999999985</v>
      </c>
      <c r="S7" s="17">
        <f>R7/R$8</f>
        <v>2.3471376599875553</v>
      </c>
      <c r="T7">
        <f>FDIST(S7,Q7,Q$8)</f>
        <v>4.5555492136472767E-2</v>
      </c>
      <c r="U7">
        <f>P7/(P7+P8)</f>
        <v>0.22683931896102541</v>
      </c>
      <c r="W7" s="17" t="s">
        <v>120</v>
      </c>
      <c r="X7" s="14" t="s">
        <v>263</v>
      </c>
    </row>
    <row r="8" spans="1:24" x14ac:dyDescent="0.25">
      <c r="A8" s="124" t="s">
        <v>243</v>
      </c>
      <c r="B8" s="123" t="s">
        <v>239</v>
      </c>
      <c r="C8" s="124">
        <v>135</v>
      </c>
      <c r="D8" s="7">
        <v>130</v>
      </c>
      <c r="E8" s="7">
        <v>176</v>
      </c>
      <c r="F8" s="7">
        <v>120</v>
      </c>
      <c r="G8" s="8">
        <v>155</v>
      </c>
      <c r="H8" s="7"/>
      <c r="I8" s="124">
        <f t="shared" si="0"/>
        <v>5</v>
      </c>
      <c r="J8" s="7">
        <f t="shared" si="1"/>
        <v>716</v>
      </c>
      <c r="K8" s="7">
        <f t="shared" si="2"/>
        <v>143.19999999999999</v>
      </c>
      <c r="L8" s="7">
        <f t="shared" si="3"/>
        <v>498.70000000000073</v>
      </c>
      <c r="M8" s="8">
        <f t="shared" si="4"/>
        <v>1994.8000000000002</v>
      </c>
      <c r="O8" s="17" t="s">
        <v>249</v>
      </c>
      <c r="P8" s="17">
        <f>SUM(M4:M15)</f>
        <v>21220.400000000005</v>
      </c>
      <c r="Q8" s="17">
        <f>COUNT(C4:G15)-COUNTA(H17:H19)*COUNTA(H21:H24)</f>
        <v>48</v>
      </c>
      <c r="R8" s="17">
        <f>P8/Q8</f>
        <v>442.09166666666675</v>
      </c>
      <c r="S8" s="17"/>
      <c r="T8" s="17"/>
      <c r="W8" s="17" t="s">
        <v>249</v>
      </c>
      <c r="X8" s="14" t="s">
        <v>264</v>
      </c>
    </row>
    <row r="9" spans="1:24" x14ac:dyDescent="0.25">
      <c r="A9" s="124" t="s">
        <v>243</v>
      </c>
      <c r="B9" s="123" t="s">
        <v>240</v>
      </c>
      <c r="C9" s="124">
        <v>175</v>
      </c>
      <c r="D9" s="7">
        <v>132</v>
      </c>
      <c r="E9" s="7">
        <v>120</v>
      </c>
      <c r="F9" s="7">
        <v>187</v>
      </c>
      <c r="G9" s="8">
        <v>184</v>
      </c>
      <c r="H9" s="7"/>
      <c r="I9" s="124">
        <f t="shared" si="0"/>
        <v>5</v>
      </c>
      <c r="J9" s="7">
        <f t="shared" si="1"/>
        <v>798</v>
      </c>
      <c r="K9" s="7">
        <f t="shared" si="2"/>
        <v>159.6</v>
      </c>
      <c r="L9" s="7">
        <f t="shared" si="3"/>
        <v>978.29999999999927</v>
      </c>
      <c r="M9" s="8">
        <f t="shared" si="4"/>
        <v>3913.2</v>
      </c>
      <c r="O9" s="17"/>
      <c r="P9" s="17"/>
      <c r="Q9" s="17"/>
      <c r="R9" s="17"/>
      <c r="S9" s="17"/>
      <c r="T9" s="17"/>
      <c r="W9" s="17" t="s">
        <v>1</v>
      </c>
      <c r="X9" s="14" t="s">
        <v>265</v>
      </c>
    </row>
    <row r="10" spans="1:24" ht="15.75" thickBot="1" x14ac:dyDescent="0.3">
      <c r="A10" s="124" t="s">
        <v>243</v>
      </c>
      <c r="B10" s="123" t="s">
        <v>241</v>
      </c>
      <c r="C10" s="124">
        <v>140</v>
      </c>
      <c r="D10" s="7">
        <v>145</v>
      </c>
      <c r="E10" s="7">
        <v>159</v>
      </c>
      <c r="F10" s="7">
        <v>131</v>
      </c>
      <c r="G10" s="8">
        <v>126</v>
      </c>
      <c r="H10" s="7"/>
      <c r="I10" s="124">
        <f t="shared" si="0"/>
        <v>5</v>
      </c>
      <c r="J10" s="7">
        <f t="shared" si="1"/>
        <v>701</v>
      </c>
      <c r="K10" s="7">
        <f t="shared" si="2"/>
        <v>140.19999999999999</v>
      </c>
      <c r="L10" s="7">
        <f t="shared" si="3"/>
        <v>165.7</v>
      </c>
      <c r="M10" s="8">
        <f t="shared" si="4"/>
        <v>662.8</v>
      </c>
      <c r="O10" s="18" t="s">
        <v>1</v>
      </c>
      <c r="P10" s="18">
        <f>DEVSQ(C4:G15)</f>
        <v>39640.85</v>
      </c>
      <c r="Q10" s="18">
        <f>COUNT(C4:G15)-1</f>
        <v>59</v>
      </c>
      <c r="R10" s="18"/>
      <c r="S10" s="18"/>
      <c r="T10" s="18"/>
      <c r="U10" s="18"/>
    </row>
    <row r="11" spans="1:24" x14ac:dyDescent="0.25">
      <c r="A11" s="124" t="s">
        <v>243</v>
      </c>
      <c r="B11" s="131" t="s">
        <v>245</v>
      </c>
      <c r="C11" s="124">
        <v>167</v>
      </c>
      <c r="D11" s="7">
        <v>183</v>
      </c>
      <c r="E11" s="7">
        <v>142</v>
      </c>
      <c r="F11" s="7">
        <v>167</v>
      </c>
      <c r="G11" s="8">
        <v>168</v>
      </c>
      <c r="H11" s="7"/>
      <c r="I11" s="124">
        <f t="shared" si="0"/>
        <v>5</v>
      </c>
      <c r="J11" s="7">
        <f t="shared" si="1"/>
        <v>827</v>
      </c>
      <c r="K11" s="7">
        <f t="shared" si="2"/>
        <v>165.4</v>
      </c>
      <c r="L11" s="7">
        <f t="shared" si="3"/>
        <v>217.3</v>
      </c>
      <c r="M11" s="8">
        <f t="shared" si="4"/>
        <v>869.2</v>
      </c>
    </row>
    <row r="12" spans="1:24" x14ac:dyDescent="0.25">
      <c r="A12" s="124" t="s">
        <v>244</v>
      </c>
      <c r="B12" s="123" t="s">
        <v>239</v>
      </c>
      <c r="C12" s="124">
        <v>156</v>
      </c>
      <c r="D12" s="7">
        <v>180</v>
      </c>
      <c r="E12" s="7">
        <v>147</v>
      </c>
      <c r="F12" s="7">
        <v>146</v>
      </c>
      <c r="G12" s="8">
        <v>193</v>
      </c>
      <c r="H12" s="7"/>
      <c r="I12" s="124">
        <f t="shared" si="0"/>
        <v>5</v>
      </c>
      <c r="J12" s="7">
        <f t="shared" si="1"/>
        <v>822</v>
      </c>
      <c r="K12" s="7">
        <f t="shared" si="2"/>
        <v>164.4</v>
      </c>
      <c r="L12" s="7">
        <f t="shared" si="3"/>
        <v>443.30000000000291</v>
      </c>
      <c r="M12" s="8">
        <f t="shared" si="4"/>
        <v>1773.1999999999998</v>
      </c>
    </row>
    <row r="13" spans="1:24" x14ac:dyDescent="0.25">
      <c r="A13" s="124" t="s">
        <v>244</v>
      </c>
      <c r="B13" s="123" t="s">
        <v>240</v>
      </c>
      <c r="C13" s="124">
        <v>186</v>
      </c>
      <c r="D13" s="7">
        <v>138</v>
      </c>
      <c r="E13" s="7">
        <v>178</v>
      </c>
      <c r="F13" s="7">
        <v>176</v>
      </c>
      <c r="G13" s="8">
        <v>190</v>
      </c>
      <c r="H13" s="7"/>
      <c r="I13" s="124">
        <f t="shared" si="0"/>
        <v>5</v>
      </c>
      <c r="J13" s="7">
        <f t="shared" si="1"/>
        <v>868</v>
      </c>
      <c r="K13" s="7">
        <f t="shared" si="2"/>
        <v>173.6</v>
      </c>
      <c r="L13" s="7">
        <f t="shared" si="3"/>
        <v>428.80000000000291</v>
      </c>
      <c r="M13" s="8">
        <f t="shared" si="4"/>
        <v>1715.2000000000003</v>
      </c>
    </row>
    <row r="14" spans="1:24" x14ac:dyDescent="0.25">
      <c r="A14" s="124" t="s">
        <v>244</v>
      </c>
      <c r="B14" s="123" t="s">
        <v>241</v>
      </c>
      <c r="C14" s="124">
        <v>185</v>
      </c>
      <c r="D14" s="7">
        <v>206</v>
      </c>
      <c r="E14" s="7">
        <v>188</v>
      </c>
      <c r="F14" s="7">
        <v>165</v>
      </c>
      <c r="G14" s="8">
        <v>188</v>
      </c>
      <c r="H14" s="7"/>
      <c r="I14" s="124">
        <f t="shared" si="0"/>
        <v>5</v>
      </c>
      <c r="J14" s="7">
        <f t="shared" si="1"/>
        <v>932</v>
      </c>
      <c r="K14" s="7">
        <f t="shared" si="2"/>
        <v>186.4</v>
      </c>
      <c r="L14" s="7">
        <f t="shared" si="3"/>
        <v>212.3</v>
      </c>
      <c r="M14" s="8">
        <f t="shared" si="4"/>
        <v>849.2</v>
      </c>
    </row>
    <row r="15" spans="1:24" x14ac:dyDescent="0.25">
      <c r="A15" s="9" t="s">
        <v>244</v>
      </c>
      <c r="B15" s="43" t="s">
        <v>245</v>
      </c>
      <c r="C15" s="9">
        <v>175</v>
      </c>
      <c r="D15" s="10">
        <v>173</v>
      </c>
      <c r="E15" s="10">
        <v>154</v>
      </c>
      <c r="F15" s="10">
        <v>191</v>
      </c>
      <c r="G15" s="11">
        <v>169</v>
      </c>
      <c r="H15" s="7"/>
      <c r="I15" s="9">
        <f t="shared" si="0"/>
        <v>5</v>
      </c>
      <c r="J15" s="10">
        <f t="shared" si="1"/>
        <v>862</v>
      </c>
      <c r="K15" s="10">
        <f t="shared" si="2"/>
        <v>172.4</v>
      </c>
      <c r="L15" s="10">
        <f t="shared" si="3"/>
        <v>175.8</v>
      </c>
      <c r="M15" s="11">
        <f t="shared" si="4"/>
        <v>703.2</v>
      </c>
    </row>
    <row r="17" spans="8:12" x14ac:dyDescent="0.25">
      <c r="H17" t="s">
        <v>242</v>
      </c>
      <c r="I17" s="117">
        <f>SUMIF($A$4:$A$15,H17,$I$4:$I$15)</f>
        <v>20</v>
      </c>
      <c r="J17" s="118">
        <f>SUMIF($A$4:$A$15,H17,$J$4:$J$15)</f>
        <v>2921</v>
      </c>
      <c r="K17" s="119">
        <f>J17/I17</f>
        <v>146.05000000000001</v>
      </c>
    </row>
    <row r="18" spans="8:12" x14ac:dyDescent="0.25">
      <c r="H18" t="s">
        <v>243</v>
      </c>
      <c r="I18" s="124">
        <f>SUMIF($A$4:$A$15,H18,$I$4:$I$15)</f>
        <v>20</v>
      </c>
      <c r="J18" s="7">
        <f>SUMIF($A$4:$A$15,H18,$J$4:$J$15)</f>
        <v>3042</v>
      </c>
      <c r="K18" s="8">
        <f>J18/I18</f>
        <v>152.1</v>
      </c>
    </row>
    <row r="19" spans="8:12" x14ac:dyDescent="0.25">
      <c r="H19" t="s">
        <v>244</v>
      </c>
      <c r="I19" s="9">
        <f>SUMIF($A$4:$A$15,H19,$I$4:$I$15)</f>
        <v>20</v>
      </c>
      <c r="J19" s="10">
        <f>SUMIF($A$4:$A$15,H19,$J$4:$J$15)</f>
        <v>3484</v>
      </c>
      <c r="K19" s="11">
        <f>J19/I19</f>
        <v>174.2</v>
      </c>
    </row>
    <row r="21" spans="8:12" x14ac:dyDescent="0.25">
      <c r="H21" s="8" t="s">
        <v>239</v>
      </c>
      <c r="I21" s="117">
        <f>SUMIF($B$4:$B$15,H21,$I$4:$I$15)</f>
        <v>15</v>
      </c>
      <c r="J21" s="118">
        <f>SUMIF($B$4:$B$15,H21,$J$4:$J$15)</f>
        <v>2197</v>
      </c>
      <c r="K21" s="119">
        <f>J21/I21</f>
        <v>146.46666666666667</v>
      </c>
    </row>
    <row r="22" spans="8:12" x14ac:dyDescent="0.25">
      <c r="H22" s="8" t="s">
        <v>240</v>
      </c>
      <c r="I22" s="124">
        <f>SUMIF($B$4:$B$15,H22,$I$4:$I$15)</f>
        <v>15</v>
      </c>
      <c r="J22" s="7">
        <f>SUMIF($B$4:$B$15,H22,$J$4:$J$15)</f>
        <v>2343</v>
      </c>
      <c r="K22" s="8">
        <f>J22/I22</f>
        <v>156.19999999999999</v>
      </c>
    </row>
    <row r="23" spans="8:12" x14ac:dyDescent="0.25">
      <c r="H23" s="8" t="s">
        <v>241</v>
      </c>
      <c r="I23" s="124">
        <f>SUMIF($B$4:$B$15,H23,$I$4:$I$15)</f>
        <v>15</v>
      </c>
      <c r="J23" s="7">
        <f>SUMIF($B$4:$B$15,H23,$J$4:$J$15)</f>
        <v>2512</v>
      </c>
      <c r="K23" s="8">
        <f>J23/I23</f>
        <v>167.46666666666667</v>
      </c>
    </row>
    <row r="24" spans="8:12" x14ac:dyDescent="0.25">
      <c r="H24" s="114" t="s">
        <v>245</v>
      </c>
      <c r="I24" s="9">
        <f>SUMIF($B$4:$B$15,H24,$I$4:$I$15)</f>
        <v>15</v>
      </c>
      <c r="J24" s="10">
        <f>SUMIF($B$4:$B$15,H24,$J$4:$J$15)</f>
        <v>2395</v>
      </c>
      <c r="K24" s="11">
        <f>J24/I24</f>
        <v>159.66666666666666</v>
      </c>
    </row>
    <row r="26" spans="8:12" x14ac:dyDescent="0.25">
      <c r="H26" s="103" t="s">
        <v>259</v>
      </c>
      <c r="I26" s="66" t="s">
        <v>239</v>
      </c>
      <c r="J26" s="66" t="s">
        <v>240</v>
      </c>
      <c r="K26" s="66" t="s">
        <v>241</v>
      </c>
      <c r="L26" s="66" t="s">
        <v>245</v>
      </c>
    </row>
    <row r="27" spans="8:12" x14ac:dyDescent="0.25">
      <c r="H27" t="s">
        <v>242</v>
      </c>
      <c r="I27" s="117">
        <f>AVERAGEIFS($K$4:$K$15,$A$4:$A$15,$H27,$B$4:$B$15,I$26)</f>
        <v>131.80000000000001</v>
      </c>
      <c r="J27" s="118">
        <f t="shared" ref="J27:L29" si="5">AVERAGEIFS($K$4:$K$15,$A$4:$A$15,$H27,$B$4:$B$15,J$26)</f>
        <v>135.4</v>
      </c>
      <c r="K27" s="118">
        <f t="shared" si="5"/>
        <v>175.8</v>
      </c>
      <c r="L27" s="119">
        <f t="shared" si="5"/>
        <v>141.19999999999999</v>
      </c>
    </row>
    <row r="28" spans="8:12" x14ac:dyDescent="0.25">
      <c r="H28" t="s">
        <v>243</v>
      </c>
      <c r="I28" s="124">
        <f>AVERAGEIFS($K$4:$K$15,$A$4:$A$15,$H28,$B$4:$B$15,I$26)</f>
        <v>143.19999999999999</v>
      </c>
      <c r="J28" s="7">
        <f t="shared" si="5"/>
        <v>159.6</v>
      </c>
      <c r="K28" s="7">
        <f t="shared" si="5"/>
        <v>140.19999999999999</v>
      </c>
      <c r="L28" s="8">
        <f t="shared" si="5"/>
        <v>165.4</v>
      </c>
    </row>
    <row r="29" spans="8:12" x14ac:dyDescent="0.25">
      <c r="H29" t="s">
        <v>244</v>
      </c>
      <c r="I29" s="9">
        <f>AVERAGEIFS($K$4:$K$15,$A$4:$A$15,$H29,$B$4:$B$15,I$26)</f>
        <v>164.4</v>
      </c>
      <c r="J29" s="10">
        <f t="shared" si="5"/>
        <v>173.6</v>
      </c>
      <c r="K29" s="10">
        <f t="shared" si="5"/>
        <v>186.4</v>
      </c>
      <c r="L29" s="11">
        <f t="shared" si="5"/>
        <v>172.4</v>
      </c>
    </row>
  </sheetData>
  <mergeCells count="1">
    <mergeCell ref="C3:G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5"/>
  <dimension ref="A1:V27"/>
  <sheetViews>
    <sheetView zoomScale="95" zoomScaleNormal="95" workbookViewId="0"/>
  </sheetViews>
  <sheetFormatPr defaultRowHeight="15" x14ac:dyDescent="0.25"/>
  <cols>
    <col min="1" max="1" width="8" customWidth="1"/>
    <col min="2" max="2" width="6.85546875" customWidth="1"/>
    <col min="3" max="3" width="4.85546875" customWidth="1"/>
    <col min="4" max="4" width="4.140625" customWidth="1"/>
    <col min="10" max="10" width="4.140625" customWidth="1"/>
    <col min="11" max="11" width="8.42578125" customWidth="1"/>
    <col min="13" max="13" width="4.42578125" customWidth="1"/>
    <col min="17" max="17" width="8.7109375" customWidth="1"/>
    <col min="18" max="18" width="4.140625" customWidth="1"/>
    <col min="19" max="19" width="7.140625" customWidth="1"/>
    <col min="20" max="22" width="6.85546875" customWidth="1"/>
  </cols>
  <sheetData>
    <row r="1" spans="1:22" x14ac:dyDescent="0.25">
      <c r="A1" s="1"/>
      <c r="E1" t="s">
        <v>24</v>
      </c>
      <c r="K1" t="s">
        <v>493</v>
      </c>
      <c r="S1" t="s">
        <v>495</v>
      </c>
    </row>
    <row r="2" spans="1:22" x14ac:dyDescent="0.25">
      <c r="A2" s="1"/>
    </row>
    <row r="3" spans="1:22" ht="15.75" thickBot="1" x14ac:dyDescent="0.3">
      <c r="A3" t="s">
        <v>494</v>
      </c>
      <c r="B3" t="s">
        <v>250</v>
      </c>
      <c r="C3" s="12" t="s">
        <v>256</v>
      </c>
      <c r="E3" t="s">
        <v>489</v>
      </c>
      <c r="F3" t="str">
        <f ca="1">IF(COUNTIF(F5:H6,F5)=COUNT(F5:H6),"balanced","unbalanced")</f>
        <v>balanced</v>
      </c>
      <c r="K3" t="s">
        <v>101</v>
      </c>
      <c r="O3" s="225" t="s">
        <v>31</v>
      </c>
      <c r="P3" s="225">
        <v>0.05</v>
      </c>
      <c r="S3" s="229" t="e">
        <f t="array" aca="1" ref="S3:V11" ca="1">StdAnova2(A4:C27)</f>
        <v>#NAME?</v>
      </c>
      <c r="T3" s="546" t="e">
        <f ca="1"/>
        <v>#NAME?</v>
      </c>
      <c r="U3" s="546" t="e">
        <f ca="1"/>
        <v>#NAME?</v>
      </c>
      <c r="V3" s="546" t="e">
        <f ca="1"/>
        <v>#NAME?</v>
      </c>
    </row>
    <row r="4" spans="1:22" ht="15.75" thickTop="1" x14ac:dyDescent="0.25">
      <c r="A4" s="226" t="s">
        <v>242</v>
      </c>
      <c r="B4" s="227" t="s">
        <v>239</v>
      </c>
      <c r="C4" s="228">
        <v>123</v>
      </c>
      <c r="F4" t="e">
        <f t="array" aca="1" ref="F4:H4" ca="1">TRANSPOSE(SortUnique(B4:B27))</f>
        <v>#NAME?</v>
      </c>
      <c r="G4" t="e">
        <f ca="1"/>
        <v>#NAME?</v>
      </c>
      <c r="H4" t="e">
        <f ca="1"/>
        <v>#NAME?</v>
      </c>
      <c r="K4" s="217"/>
      <c r="L4" s="217" t="s">
        <v>88</v>
      </c>
      <c r="M4" s="217" t="s">
        <v>51</v>
      </c>
      <c r="N4" s="217" t="s">
        <v>92</v>
      </c>
      <c r="O4" s="217" t="s">
        <v>82</v>
      </c>
      <c r="P4" s="217" t="s">
        <v>56</v>
      </c>
      <c r="Q4" s="251" t="s">
        <v>865</v>
      </c>
      <c r="S4" s="229" t="e">
        <f ca="1"/>
        <v>#NAME?</v>
      </c>
      <c r="T4" s="229" t="e">
        <f ca="1"/>
        <v>#NAME?</v>
      </c>
      <c r="U4" s="229" t="e">
        <f ca="1"/>
        <v>#NAME?</v>
      </c>
      <c r="V4" s="229" t="e">
        <f ca="1"/>
        <v>#NAME?</v>
      </c>
    </row>
    <row r="5" spans="1:22" x14ac:dyDescent="0.25">
      <c r="A5" s="178" t="s">
        <v>242</v>
      </c>
      <c r="B5" s="7" t="s">
        <v>239</v>
      </c>
      <c r="C5" s="40">
        <v>156</v>
      </c>
      <c r="E5" t="e">
        <f t="array" aca="1" ref="E5:E6" ca="1">SortUnique(A4:A27)</f>
        <v>#NAME?</v>
      </c>
      <c r="F5" s="226">
        <f t="array" ref="F5" ca="1">COUNTIFS($A$4:$A$27,$E5,$B$4:$B$27,F$4)</f>
        <v>0</v>
      </c>
      <c r="G5" s="227">
        <f t="array" ref="G5" ca="1">COUNTIFS($A$4:$A$27,$E5,$B$4:$B$27,G$4)</f>
        <v>0</v>
      </c>
      <c r="H5" s="228">
        <f t="array" ref="H5" ca="1">COUNTIFS($A$4:$A$27,$E5,$B$4:$B$27,H$4)</f>
        <v>0</v>
      </c>
      <c r="I5">
        <f t="array" ref="I5" ca="1">SUM(F5:H5)</f>
        <v>0</v>
      </c>
      <c r="K5" t="s">
        <v>83</v>
      </c>
      <c r="L5" t="e">
        <f ca="1">DEVSQ(I11:I12)*I5</f>
        <v>#DIV/0!</v>
      </c>
      <c r="M5">
        <f ca="1">COUNT(I11:I12)-1</f>
        <v>-1</v>
      </c>
      <c r="N5" t="e">
        <f ca="1">L5/M5</f>
        <v>#DIV/0!</v>
      </c>
      <c r="O5" t="e">
        <f ca="1">N5/N8</f>
        <v>#DIV/0!</v>
      </c>
      <c r="P5" t="e">
        <f ca="1">FDIST(O5,M5,M8)</f>
        <v>#DIV/0!</v>
      </c>
      <c r="Q5" t="e">
        <f ca="1">L5/(L5+L8)</f>
        <v>#DIV/0!</v>
      </c>
      <c r="S5" s="206" t="e">
        <f ca="1"/>
        <v>#NAME?</v>
      </c>
      <c r="T5" s="206" t="e">
        <f ca="1"/>
        <v>#NAME?</v>
      </c>
      <c r="U5" s="206" t="e">
        <f ca="1"/>
        <v>#NAME?</v>
      </c>
      <c r="V5" s="206" t="e">
        <f ca="1"/>
        <v>#NAME?</v>
      </c>
    </row>
    <row r="6" spans="1:22" x14ac:dyDescent="0.25">
      <c r="A6" s="178" t="s">
        <v>242</v>
      </c>
      <c r="B6" s="7" t="s">
        <v>239</v>
      </c>
      <c r="C6" s="40">
        <v>112</v>
      </c>
      <c r="E6" t="e">
        <f ca="1"/>
        <v>#NAME?</v>
      </c>
      <c r="F6" s="221">
        <f t="array" ref="F6" ca="1">COUNTIFS($A$4:$A$27,$E6,$B$4:$B$27,F$4)</f>
        <v>0</v>
      </c>
      <c r="G6" s="222">
        <f t="array" ref="G6" ca="1">COUNTIFS($A$4:$A$27,$E6,$B$4:$B$27,G$4)</f>
        <v>0</v>
      </c>
      <c r="H6" s="223">
        <f t="array" ref="H6" ca="1">COUNTIFS($A$4:$A$27,$E6,$B$4:$B$27,H$4)</f>
        <v>0</v>
      </c>
      <c r="I6">
        <f t="array" ref="I6" ca="1">SUM(F6:H6)</f>
        <v>0</v>
      </c>
      <c r="K6" t="s">
        <v>238</v>
      </c>
      <c r="L6" t="e">
        <f ca="1">DEVSQ(F13:H13)*F7</f>
        <v>#DIV/0!</v>
      </c>
      <c r="M6">
        <f ca="1">COUNT(F13:H13)-1</f>
        <v>-1</v>
      </c>
      <c r="N6" t="e">
        <f ca="1">L6/M6</f>
        <v>#DIV/0!</v>
      </c>
      <c r="O6" t="e">
        <f ca="1">N6/N8</f>
        <v>#DIV/0!</v>
      </c>
      <c r="P6" t="e">
        <f ca="1">FDIST(O6,M6,M8)</f>
        <v>#DIV/0!</v>
      </c>
      <c r="Q6" t="e">
        <f ca="1">L6/(L6+L8)</f>
        <v>#DIV/0!</v>
      </c>
      <c r="S6" s="206" t="e">
        <f ca="1"/>
        <v>#NAME?</v>
      </c>
      <c r="T6" s="206" t="e">
        <f ca="1"/>
        <v>#NAME?</v>
      </c>
      <c r="U6" s="206" t="e">
        <f ca="1"/>
        <v>#NAME?</v>
      </c>
      <c r="V6" s="206" t="e">
        <f ca="1"/>
        <v>#NAME?</v>
      </c>
    </row>
    <row r="7" spans="1:22" x14ac:dyDescent="0.25">
      <c r="A7" s="178" t="s">
        <v>242</v>
      </c>
      <c r="B7" s="7" t="s">
        <v>239</v>
      </c>
      <c r="C7" s="40">
        <v>100</v>
      </c>
      <c r="F7">
        <f t="array" ref="F7" ca="1">SUM(F5:F6)</f>
        <v>0</v>
      </c>
      <c r="G7">
        <f t="array" ref="G7" ca="1">SUM(G5:G6)</f>
        <v>0</v>
      </c>
      <c r="H7">
        <f t="array" ref="H7" ca="1">SUM(H5:H6)</f>
        <v>0</v>
      </c>
      <c r="I7">
        <f t="array" ref="I7" ca="1">SUM(I5:I6)</f>
        <v>0</v>
      </c>
      <c r="K7" t="s">
        <v>410</v>
      </c>
      <c r="L7" t="e">
        <f ca="1">L9-L5-L6-L8</f>
        <v>#DIV/0!</v>
      </c>
      <c r="M7">
        <f ca="1">M6*M5</f>
        <v>1</v>
      </c>
      <c r="N7" t="e">
        <f ca="1">L7/M7</f>
        <v>#DIV/0!</v>
      </c>
      <c r="O7" t="e">
        <f ca="1">N7/N8</f>
        <v>#DIV/0!</v>
      </c>
      <c r="P7" t="e">
        <f ca="1">FDIST(O7,M7,M8)</f>
        <v>#DIV/0!</v>
      </c>
      <c r="Q7" t="e">
        <f ca="1">L7/(L7+L8)</f>
        <v>#DIV/0!</v>
      </c>
      <c r="S7" s="219" t="e">
        <f ca="1"/>
        <v>#NAME?</v>
      </c>
      <c r="T7" s="219" t="e">
        <f ca="1"/>
        <v>#NAME?</v>
      </c>
      <c r="U7" s="219" t="e">
        <f ca="1"/>
        <v>#NAME?</v>
      </c>
      <c r="V7" s="219" t="e">
        <f ca="1"/>
        <v>#NAME?</v>
      </c>
    </row>
    <row r="8" spans="1:22" x14ac:dyDescent="0.25">
      <c r="A8" s="178" t="s">
        <v>242</v>
      </c>
      <c r="B8" s="7" t="s">
        <v>240</v>
      </c>
      <c r="C8" s="40">
        <v>128</v>
      </c>
      <c r="K8" t="s">
        <v>249</v>
      </c>
      <c r="L8" t="e">
        <f ca="1">SUM(F17:H18)*(F5-1)</f>
        <v>#NAME?</v>
      </c>
      <c r="M8">
        <f ca="1">M9-M5-M6-M7</f>
        <v>0</v>
      </c>
      <c r="N8" t="e">
        <f ca="1">L8/M8</f>
        <v>#NAME?</v>
      </c>
      <c r="S8" s="229" t="e">
        <f ca="1"/>
        <v>#NAME?</v>
      </c>
      <c r="T8" s="229" t="e">
        <f ca="1"/>
        <v>#NAME?</v>
      </c>
      <c r="U8" s="229" t="e">
        <f ca="1"/>
        <v>#NAME?</v>
      </c>
      <c r="V8" s="229" t="e">
        <f ca="1"/>
        <v>#NAME?</v>
      </c>
    </row>
    <row r="9" spans="1:22" x14ac:dyDescent="0.25">
      <c r="A9" s="178" t="s">
        <v>242</v>
      </c>
      <c r="B9" s="7" t="s">
        <v>240</v>
      </c>
      <c r="C9" s="40">
        <v>150</v>
      </c>
      <c r="E9" t="s">
        <v>259</v>
      </c>
      <c r="K9" s="224" t="s">
        <v>1</v>
      </c>
      <c r="L9" s="224">
        <f ca="1">N9*M9</f>
        <v>-645.73731884057884</v>
      </c>
      <c r="M9" s="224">
        <f ca="1">I7-1</f>
        <v>-1</v>
      </c>
      <c r="N9" s="224">
        <f>I19</f>
        <v>645.73731884057884</v>
      </c>
      <c r="O9" s="224"/>
      <c r="P9" s="224"/>
      <c r="Q9" s="224"/>
      <c r="S9" s="206" t="e">
        <f ca="1"/>
        <v>#NAME?</v>
      </c>
      <c r="T9" s="206" t="e">
        <f ca="1"/>
        <v>#NAME?</v>
      </c>
      <c r="U9" s="206" t="e">
        <f ca="1"/>
        <v>#NAME?</v>
      </c>
      <c r="V9" s="206" t="e">
        <f ca="1"/>
        <v>#NAME?</v>
      </c>
    </row>
    <row r="10" spans="1:22" x14ac:dyDescent="0.25">
      <c r="A10" s="178" t="s">
        <v>242</v>
      </c>
      <c r="B10" s="7" t="s">
        <v>240</v>
      </c>
      <c r="C10" s="40">
        <v>174</v>
      </c>
      <c r="F10" t="e">
        <f t="array" aca="1" ref="F10:H10" ca="1">TRANSPOSE(SortUnique(B4:B27))</f>
        <v>#NAME?</v>
      </c>
      <c r="G10" t="e">
        <f ca="1"/>
        <v>#NAME?</v>
      </c>
      <c r="H10" t="e">
        <f ca="1"/>
        <v>#NAME?</v>
      </c>
      <c r="S10" s="206" t="e">
        <f ca="1"/>
        <v>#NAME?</v>
      </c>
      <c r="T10" s="206" t="e">
        <f ca="1"/>
        <v>#NAME?</v>
      </c>
      <c r="U10" s="206" t="e">
        <f ca="1"/>
        <v>#NAME?</v>
      </c>
      <c r="V10" s="206" t="e">
        <f ca="1"/>
        <v>#NAME?</v>
      </c>
    </row>
    <row r="11" spans="1:22" x14ac:dyDescent="0.25">
      <c r="A11" s="178" t="s">
        <v>242</v>
      </c>
      <c r="B11" s="7" t="s">
        <v>240</v>
      </c>
      <c r="C11" s="40">
        <v>116</v>
      </c>
      <c r="E11" t="e">
        <f t="array" aca="1" ref="E11:E12" ca="1">SortUnique(A4:A27)</f>
        <v>#NAME?</v>
      </c>
      <c r="F11" s="226" t="e">
        <f t="array" ref="F11" ca="1">AVERAGEIFS($C$4:$C$27,$A$4:$A$27,$E11,$B$4:$B$27,F$10)</f>
        <v>#DIV/0!</v>
      </c>
      <c r="G11" s="227" t="e">
        <f t="array" ref="G11" ca="1">AVERAGEIFS($C$4:$C$27,$A$4:$A$27,$E11,$B$4:$B$27,G$10)</f>
        <v>#DIV/0!</v>
      </c>
      <c r="H11" s="228" t="e">
        <f t="array" ref="H11" ca="1">AVERAGEIFS($C$4:$C$27,$A$4:$A$27,$E11,$B$4:$B$27,H$10)</f>
        <v>#DIV/0!</v>
      </c>
      <c r="I11" t="e">
        <f t="array" ref="I11" ca="1">AVERAGE(F11:H11)</f>
        <v>#DIV/0!</v>
      </c>
      <c r="S11" s="219" t="e">
        <f ca="1"/>
        <v>#NAME?</v>
      </c>
      <c r="T11" s="219" t="e">
        <f ca="1"/>
        <v>#NAME?</v>
      </c>
      <c r="U11" s="219" t="e">
        <f ca="1"/>
        <v>#NAME?</v>
      </c>
      <c r="V11" s="219" t="e">
        <f ca="1"/>
        <v>#NAME?</v>
      </c>
    </row>
    <row r="12" spans="1:22" x14ac:dyDescent="0.25">
      <c r="A12" s="178" t="s">
        <v>242</v>
      </c>
      <c r="B12" s="7" t="s">
        <v>241</v>
      </c>
      <c r="C12" s="40">
        <v>166</v>
      </c>
      <c r="E12" t="e">
        <f ca="1"/>
        <v>#NAME?</v>
      </c>
      <c r="F12" s="221" t="e">
        <f t="array" ref="F12" ca="1">AVERAGEIFS($C$4:$C$27,$A$4:$A$27,$E12,$B$4:$B$27,F$10)</f>
        <v>#DIV/0!</v>
      </c>
      <c r="G12" s="222" t="e">
        <f t="array" ref="G12" ca="1">AVERAGEIFS($C$4:$C$27,$A$4:$A$27,$E12,$B$4:$B$27,G$10)</f>
        <v>#DIV/0!</v>
      </c>
      <c r="H12" s="223" t="e">
        <f t="array" ref="H12" ca="1">AVERAGEIFS($C$4:$C$27,$A$4:$A$27,$E12,$B$4:$B$27,H$10)</f>
        <v>#DIV/0!</v>
      </c>
      <c r="I12" t="e">
        <f t="array" ref="I12" ca="1">AVERAGE(F12:H12)</f>
        <v>#DIV/0!</v>
      </c>
    </row>
    <row r="13" spans="1:22" x14ac:dyDescent="0.25">
      <c r="A13" s="178" t="s">
        <v>242</v>
      </c>
      <c r="B13" s="7" t="s">
        <v>241</v>
      </c>
      <c r="C13" s="40">
        <v>178</v>
      </c>
      <c r="F13" t="e">
        <f t="array" ref="F13" ca="1">AVERAGE(F11:F12)</f>
        <v>#DIV/0!</v>
      </c>
      <c r="G13" t="e">
        <f t="array" ref="G13" ca="1">AVERAGE(G11:G12)</f>
        <v>#DIV/0!</v>
      </c>
      <c r="H13" t="e">
        <f t="array" ref="H13" ca="1">AVERAGE(H11:H12)</f>
        <v>#DIV/0!</v>
      </c>
      <c r="I13" t="e">
        <f t="array" ref="I13" ca="1">AVERAGE(I11:I12)</f>
        <v>#DIV/0!</v>
      </c>
    </row>
    <row r="14" spans="1:22" x14ac:dyDescent="0.25">
      <c r="A14" s="178" t="s">
        <v>242</v>
      </c>
      <c r="B14" s="7" t="s">
        <v>241</v>
      </c>
      <c r="C14" s="40">
        <v>187</v>
      </c>
    </row>
    <row r="15" spans="1:22" x14ac:dyDescent="0.25">
      <c r="A15" s="178" t="s">
        <v>242</v>
      </c>
      <c r="B15" s="7" t="s">
        <v>241</v>
      </c>
      <c r="C15" s="40">
        <v>153</v>
      </c>
      <c r="E15" t="s">
        <v>490</v>
      </c>
    </row>
    <row r="16" spans="1:22" x14ac:dyDescent="0.25">
      <c r="A16" s="178" t="s">
        <v>243</v>
      </c>
      <c r="B16" s="7" t="s">
        <v>239</v>
      </c>
      <c r="C16" s="40">
        <v>135</v>
      </c>
      <c r="F16" t="e">
        <f t="array" aca="1" ref="F16:H16" ca="1">TRANSPOSE(SortUnique(B4:B27))</f>
        <v>#NAME?</v>
      </c>
      <c r="G16" t="e">
        <f ca="1"/>
        <v>#NAME?</v>
      </c>
      <c r="H16" t="e">
        <f ca="1"/>
        <v>#NAME?</v>
      </c>
    </row>
    <row r="17" spans="1:9" x14ac:dyDescent="0.25">
      <c r="A17" s="178" t="s">
        <v>243</v>
      </c>
      <c r="B17" s="7" t="s">
        <v>239</v>
      </c>
      <c r="C17" s="40">
        <v>130</v>
      </c>
      <c r="E17" t="e">
        <f t="array" aca="1" ref="E17:E18" ca="1">SortUnique(A4:A27)</f>
        <v>#NAME?</v>
      </c>
      <c r="F17" s="226" t="e">
        <f t="array" aca="1" ref="F17" ca="1">VAR(IF(($A$4:$A$27=$E17)*($B$4:$B$27=F$16),$C$4:$C$27))</f>
        <v>#NAME?</v>
      </c>
      <c r="G17" s="227" t="e">
        <f t="array" aca="1" ref="G17" ca="1">VAR(IF(($A$4:$A$27=$E17)*($B$4:$B$27=G$16),$C$4:$C$27))</f>
        <v>#NAME?</v>
      </c>
      <c r="H17" s="228" t="e">
        <f t="array" aca="1" ref="H17" ca="1">VAR(IF(($A$4:$A$27=$E17)*($B$4:$B$27=H$16),$C$4:$C$27))</f>
        <v>#NAME?</v>
      </c>
      <c r="I17" t="e">
        <f t="array" aca="1" ref="I17" ca="1">VAR(IF($A$4:$A$27=$E17,$C$4:$C$27))</f>
        <v>#NAME?</v>
      </c>
    </row>
    <row r="18" spans="1:9" x14ac:dyDescent="0.25">
      <c r="A18" s="178" t="s">
        <v>243</v>
      </c>
      <c r="B18" s="7" t="s">
        <v>239</v>
      </c>
      <c r="C18" s="40">
        <v>176</v>
      </c>
      <c r="E18" t="e">
        <f ca="1"/>
        <v>#NAME?</v>
      </c>
      <c r="F18" s="221" t="e">
        <f t="array" aca="1" ref="F18" ca="1">VAR(IF(($A$4:$A$27=$E18)*($B$4:$B$27=F$16),$C$4:$C$27))</f>
        <v>#NAME?</v>
      </c>
      <c r="G18" s="222" t="e">
        <f t="array" aca="1" ref="G18" ca="1">VAR(IF(($A$4:$A$27=$E18)*($B$4:$B$27=G$16),$C$4:$C$27))</f>
        <v>#NAME?</v>
      </c>
      <c r="H18" s="223" t="e">
        <f t="array" aca="1" ref="H18" ca="1">VAR(IF(($A$4:$A$27=$E18)*($B$4:$B$27=H$16),$C$4:$C$27))</f>
        <v>#NAME?</v>
      </c>
      <c r="I18" t="e">
        <f t="array" aca="1" ref="I18" ca="1">VAR(IF($A$4:$A$27=$E18,$C$4:$C$27))</f>
        <v>#NAME?</v>
      </c>
    </row>
    <row r="19" spans="1:9" x14ac:dyDescent="0.25">
      <c r="A19" s="178" t="s">
        <v>243</v>
      </c>
      <c r="B19" s="7" t="s">
        <v>239</v>
      </c>
      <c r="C19" s="40">
        <v>120</v>
      </c>
      <c r="F19" t="e">
        <f t="array" aca="1" ref="F19" ca="1">VAR(IF($B$4:$B$27=F$16,$C$4:$C$27))</f>
        <v>#NAME?</v>
      </c>
      <c r="G19" t="e">
        <f t="array" aca="1" ref="G19" ca="1">VAR(IF($B$4:$B$27=G$16,$C$4:$C$27))</f>
        <v>#NAME?</v>
      </c>
      <c r="H19" t="e">
        <f t="array" aca="1" ref="H19" ca="1">VAR(IF($B$4:$B$27=H$16,$C$4:$C$27))</f>
        <v>#NAME?</v>
      </c>
      <c r="I19">
        <f>VAR(C4:C27)</f>
        <v>645.73731884057884</v>
      </c>
    </row>
    <row r="20" spans="1:9" x14ac:dyDescent="0.25">
      <c r="A20" s="178" t="s">
        <v>243</v>
      </c>
      <c r="B20" s="7" t="s">
        <v>240</v>
      </c>
      <c r="C20" s="40">
        <v>175</v>
      </c>
    </row>
    <row r="21" spans="1:9" x14ac:dyDescent="0.25">
      <c r="A21" s="178" t="s">
        <v>243</v>
      </c>
      <c r="B21" s="7" t="s">
        <v>240</v>
      </c>
      <c r="C21" s="40">
        <v>132</v>
      </c>
    </row>
    <row r="22" spans="1:9" x14ac:dyDescent="0.25">
      <c r="A22" s="178" t="s">
        <v>243</v>
      </c>
      <c r="B22" s="7" t="s">
        <v>240</v>
      </c>
      <c r="C22" s="40">
        <v>120</v>
      </c>
    </row>
    <row r="23" spans="1:9" x14ac:dyDescent="0.25">
      <c r="A23" s="178" t="s">
        <v>243</v>
      </c>
      <c r="B23" s="7" t="s">
        <v>240</v>
      </c>
      <c r="C23" s="40">
        <v>187</v>
      </c>
    </row>
    <row r="24" spans="1:9" x14ac:dyDescent="0.25">
      <c r="A24" s="178" t="s">
        <v>243</v>
      </c>
      <c r="B24" s="7" t="s">
        <v>241</v>
      </c>
      <c r="C24" s="40">
        <v>140</v>
      </c>
    </row>
    <row r="25" spans="1:9" x14ac:dyDescent="0.25">
      <c r="A25" s="178" t="s">
        <v>243</v>
      </c>
      <c r="B25" s="7" t="s">
        <v>241</v>
      </c>
      <c r="C25" s="40">
        <v>145</v>
      </c>
    </row>
    <row r="26" spans="1:9" x14ac:dyDescent="0.25">
      <c r="A26" s="178" t="s">
        <v>243</v>
      </c>
      <c r="B26" s="7" t="s">
        <v>241</v>
      </c>
      <c r="C26" s="40">
        <v>159</v>
      </c>
    </row>
    <row r="27" spans="1:9" x14ac:dyDescent="0.25">
      <c r="A27" s="221" t="s">
        <v>243</v>
      </c>
      <c r="B27" s="222" t="s">
        <v>241</v>
      </c>
      <c r="C27" s="223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9"/>
  <dimension ref="B1:BI24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6.85546875" customWidth="1"/>
    <col min="3" max="5" width="7.7109375" customWidth="1"/>
    <col min="6" max="6" width="4.42578125" customWidth="1"/>
    <col min="7" max="7" width="7" customWidth="1"/>
    <col min="12" max="12" width="4.140625" customWidth="1"/>
    <col min="15" max="15" width="4.140625" customWidth="1"/>
    <col min="19" max="19" width="8.7109375" customWidth="1"/>
    <col min="20" max="20" width="2.28515625" customWidth="1"/>
    <col min="21" max="26" width="13.140625" customWidth="1"/>
    <col min="29" max="34" width="11.85546875" customWidth="1"/>
    <col min="37" max="42" width="11.42578125" customWidth="1"/>
    <col min="44" max="44" width="10" customWidth="1"/>
    <col min="45" max="50" width="13.7109375" customWidth="1"/>
    <col min="52" max="52" width="19.28515625" customWidth="1"/>
    <col min="53" max="58" width="13.140625" customWidth="1"/>
  </cols>
  <sheetData>
    <row r="1" spans="2:61" x14ac:dyDescent="0.25">
      <c r="B1" s="1" t="s">
        <v>650</v>
      </c>
    </row>
    <row r="3" spans="2:61" x14ac:dyDescent="0.25">
      <c r="B3" s="7"/>
      <c r="C3" s="572" t="s">
        <v>654</v>
      </c>
      <c r="D3" s="568"/>
      <c r="E3" s="573"/>
      <c r="F3" s="369"/>
      <c r="G3" t="s">
        <v>24</v>
      </c>
      <c r="M3" t="s">
        <v>493</v>
      </c>
      <c r="U3" t="s">
        <v>655</v>
      </c>
      <c r="AB3" t="s">
        <v>464</v>
      </c>
      <c r="AJ3" t="s">
        <v>468</v>
      </c>
      <c r="AR3" t="s">
        <v>463</v>
      </c>
      <c r="AZ3" t="s">
        <v>24</v>
      </c>
      <c r="BH3" t="s">
        <v>479</v>
      </c>
    </row>
    <row r="4" spans="2:61" x14ac:dyDescent="0.25">
      <c r="B4" s="187" t="s">
        <v>112</v>
      </c>
      <c r="C4" s="345" t="s">
        <v>651</v>
      </c>
      <c r="D4" s="346" t="s">
        <v>652</v>
      </c>
      <c r="E4" s="346" t="s">
        <v>653</v>
      </c>
      <c r="F4" s="23"/>
    </row>
    <row r="5" spans="2:61" ht="15.75" thickBot="1" x14ac:dyDescent="0.3">
      <c r="B5" s="178" t="s">
        <v>486</v>
      </c>
      <c r="C5" s="347">
        <v>12.3</v>
      </c>
      <c r="D5" s="348">
        <v>13.5</v>
      </c>
      <c r="E5" s="349">
        <v>15.6</v>
      </c>
      <c r="F5" s="41"/>
      <c r="G5" t="s">
        <v>489</v>
      </c>
      <c r="H5" t="str">
        <f>IF(COUNTIF(H7:J8,H7)=COUNT(H7:J8),"balanced","unbalanced")</f>
        <v>balanced</v>
      </c>
      <c r="M5" t="s">
        <v>101</v>
      </c>
      <c r="Q5" s="315" t="s">
        <v>31</v>
      </c>
      <c r="R5" s="315">
        <v>0.05</v>
      </c>
      <c r="U5" s="23" t="s">
        <v>656</v>
      </c>
      <c r="V5" s="23" t="s">
        <v>657</v>
      </c>
      <c r="W5" s="23" t="s">
        <v>658</v>
      </c>
      <c r="X5" s="23" t="s">
        <v>659</v>
      </c>
      <c r="Y5" s="23" t="s">
        <v>660</v>
      </c>
      <c r="Z5" s="23" t="s">
        <v>661</v>
      </c>
      <c r="AC5" s="103" t="str">
        <f t="shared" ref="AC5:AH5" si="0">U5</f>
        <v>High-Direct</v>
      </c>
      <c r="AD5" s="103" t="str">
        <f t="shared" si="0"/>
        <v>High-OEM</v>
      </c>
      <c r="AE5" s="103" t="str">
        <f t="shared" si="0"/>
        <v>High-Reseller</v>
      </c>
      <c r="AF5" s="103" t="str">
        <f t="shared" si="0"/>
        <v>Low-Direct</v>
      </c>
      <c r="AG5" s="103" t="str">
        <f t="shared" si="0"/>
        <v>Low-OEM</v>
      </c>
      <c r="AH5" s="103" t="str">
        <f t="shared" si="0"/>
        <v>Low-Reseller</v>
      </c>
      <c r="AJ5" s="267"/>
      <c r="AK5" s="267" t="str">
        <f t="shared" ref="AK5:AP5" si="1">U5</f>
        <v>High-Direct</v>
      </c>
      <c r="AL5" s="267" t="str">
        <f t="shared" si="1"/>
        <v>High-OEM</v>
      </c>
      <c r="AM5" s="267" t="str">
        <f t="shared" si="1"/>
        <v>High-Reseller</v>
      </c>
      <c r="AN5" s="267" t="str">
        <f t="shared" si="1"/>
        <v>Low-Direct</v>
      </c>
      <c r="AO5" s="267" t="str">
        <f t="shared" si="1"/>
        <v>Low-OEM</v>
      </c>
      <c r="AP5" s="267" t="str">
        <f t="shared" si="1"/>
        <v>Low-Reseller</v>
      </c>
      <c r="AR5" s="267"/>
      <c r="AS5" s="267" t="str">
        <f t="shared" ref="AS5:AX5" si="2">U5</f>
        <v>High-Direct</v>
      </c>
      <c r="AT5" s="267" t="str">
        <f t="shared" si="2"/>
        <v>High-OEM</v>
      </c>
      <c r="AU5" s="267" t="str">
        <f t="shared" si="2"/>
        <v>High-Reseller</v>
      </c>
      <c r="AV5" s="267" t="str">
        <f t="shared" si="2"/>
        <v>Low-Direct</v>
      </c>
      <c r="AW5" s="267" t="str">
        <f t="shared" si="2"/>
        <v>Low-OEM</v>
      </c>
      <c r="AX5" s="267" t="str">
        <f t="shared" si="2"/>
        <v>Low-Reseller</v>
      </c>
      <c r="AZ5" s="267"/>
      <c r="BA5" s="267" t="str">
        <f t="shared" ref="BA5:BF5" si="3">U5</f>
        <v>High-Direct</v>
      </c>
      <c r="BB5" s="267" t="str">
        <f t="shared" si="3"/>
        <v>High-OEM</v>
      </c>
      <c r="BC5" s="267" t="str">
        <f t="shared" si="3"/>
        <v>High-Reseller</v>
      </c>
      <c r="BD5" s="267" t="str">
        <f t="shared" si="3"/>
        <v>Low-Direct</v>
      </c>
      <c r="BE5" s="267" t="str">
        <f t="shared" si="3"/>
        <v>Low-OEM</v>
      </c>
      <c r="BF5" s="267" t="str">
        <f t="shared" si="3"/>
        <v>Low-Reseller</v>
      </c>
      <c r="BH5" t="s">
        <v>480</v>
      </c>
      <c r="BI5" s="12" t="s">
        <v>56</v>
      </c>
    </row>
    <row r="6" spans="2:61" ht="15.75" thickTop="1" x14ac:dyDescent="0.25">
      <c r="B6" s="178"/>
      <c r="C6" s="202">
        <v>15.6</v>
      </c>
      <c r="D6" s="350">
        <v>13</v>
      </c>
      <c r="E6" s="272">
        <v>18</v>
      </c>
      <c r="F6" s="41"/>
      <c r="H6" s="315" t="str">
        <f>C4</f>
        <v>Direct</v>
      </c>
      <c r="I6" s="315" t="str">
        <f>D4</f>
        <v>OEM</v>
      </c>
      <c r="J6" s="315" t="str">
        <f>E4</f>
        <v>Reseller</v>
      </c>
      <c r="M6" s="251"/>
      <c r="N6" s="251" t="s">
        <v>88</v>
      </c>
      <c r="O6" s="251" t="s">
        <v>51</v>
      </c>
      <c r="P6" s="251" t="s">
        <v>92</v>
      </c>
      <c r="Q6" s="251" t="s">
        <v>82</v>
      </c>
      <c r="R6" s="251" t="s">
        <v>56</v>
      </c>
      <c r="S6" s="251" t="s">
        <v>865</v>
      </c>
      <c r="U6" s="347">
        <v>12.3</v>
      </c>
      <c r="V6" s="271">
        <v>13.5</v>
      </c>
      <c r="W6" s="271">
        <v>15.6</v>
      </c>
      <c r="X6" s="271">
        <v>9.3000000000000007</v>
      </c>
      <c r="Y6" s="271">
        <v>17.5</v>
      </c>
      <c r="Z6" s="349">
        <v>18.600000000000001</v>
      </c>
      <c r="AB6" t="s">
        <v>43</v>
      </c>
      <c r="AC6" s="351">
        <f t="shared" ref="AC6:AH6" si="4">MIN(U6:U15)</f>
        <v>10</v>
      </c>
      <c r="AD6" s="352">
        <f t="shared" si="4"/>
        <v>12</v>
      </c>
      <c r="AE6" s="352">
        <f t="shared" si="4"/>
        <v>14.6</v>
      </c>
      <c r="AF6" s="352">
        <f t="shared" si="4"/>
        <v>6.7</v>
      </c>
      <c r="AG6" s="352">
        <f t="shared" si="4"/>
        <v>12</v>
      </c>
      <c r="AH6" s="353">
        <f t="shared" si="4"/>
        <v>13.8</v>
      </c>
      <c r="AJ6" t="s">
        <v>374</v>
      </c>
      <c r="AK6" t="e">
        <f t="shared" ref="AK6:AP6" ca="1" si="5">SHAPIRO(U6:U15)</f>
        <v>#NAME?</v>
      </c>
      <c r="AL6" t="e">
        <f t="shared" ca="1" si="5"/>
        <v>#NAME?</v>
      </c>
      <c r="AM6" t="e">
        <f t="shared" ca="1" si="5"/>
        <v>#NAME?</v>
      </c>
      <c r="AN6" t="e">
        <f t="shared" ca="1" si="5"/>
        <v>#NAME?</v>
      </c>
      <c r="AO6" t="e">
        <f t="shared" ca="1" si="5"/>
        <v>#NAME?</v>
      </c>
      <c r="AP6" t="e">
        <f t="shared" ca="1" si="5"/>
        <v>#NAME?</v>
      </c>
      <c r="AR6" s="315" t="s">
        <v>4</v>
      </c>
      <c r="AS6" s="26">
        <f t="shared" ref="AS6:AX6" si="6">AVERAGE(U6:U15)</f>
        <v>15.929999999999998</v>
      </c>
      <c r="AT6" s="26">
        <f t="shared" si="6"/>
        <v>15.190000000000001</v>
      </c>
      <c r="AU6" s="26">
        <f t="shared" si="6"/>
        <v>18.499999999999996</v>
      </c>
      <c r="AV6" s="26">
        <f t="shared" si="6"/>
        <v>11.280000000000001</v>
      </c>
      <c r="AW6" s="26">
        <f t="shared" si="6"/>
        <v>16.25</v>
      </c>
      <c r="AX6" s="26">
        <f t="shared" si="6"/>
        <v>18.53</v>
      </c>
      <c r="AZ6" t="s">
        <v>7</v>
      </c>
      <c r="BA6" s="26">
        <f t="shared" ref="BA6:BF6" si="7">AVERAGE(U6:U15)</f>
        <v>15.929999999999998</v>
      </c>
      <c r="BB6" s="26">
        <f t="shared" si="7"/>
        <v>15.190000000000001</v>
      </c>
      <c r="BC6" s="26">
        <f t="shared" si="7"/>
        <v>18.499999999999996</v>
      </c>
      <c r="BD6" s="26">
        <f t="shared" si="7"/>
        <v>11.280000000000001</v>
      </c>
      <c r="BE6" s="26">
        <f t="shared" si="7"/>
        <v>16.25</v>
      </c>
      <c r="BF6" s="26">
        <f t="shared" si="7"/>
        <v>18.53</v>
      </c>
      <c r="BH6" t="s">
        <v>481</v>
      </c>
      <c r="BI6" s="344" t="e">
        <f ca="1">LEVENE(U6:Z15)</f>
        <v>#NAME?</v>
      </c>
    </row>
    <row r="7" spans="2:61" x14ac:dyDescent="0.25">
      <c r="B7" s="178"/>
      <c r="C7" s="202">
        <v>16.600000000000001</v>
      </c>
      <c r="D7" s="350">
        <v>14</v>
      </c>
      <c r="E7" s="272">
        <v>18.5</v>
      </c>
      <c r="F7" s="41"/>
      <c r="G7" t="str">
        <f>B5</f>
        <v>High</v>
      </c>
      <c r="H7" s="343">
        <f>COUNT(C5:C14)</f>
        <v>10</v>
      </c>
      <c r="I7" s="338">
        <f>COUNT(D5:D14)</f>
        <v>10</v>
      </c>
      <c r="J7" s="339">
        <f>COUNT(E5:E14)</f>
        <v>10</v>
      </c>
      <c r="K7">
        <f>COUNT(C5:E14)</f>
        <v>30</v>
      </c>
      <c r="M7" t="s">
        <v>83</v>
      </c>
      <c r="N7">
        <f>DEVSQ(K13:K14)*K7</f>
        <v>21.12266666666682</v>
      </c>
      <c r="O7">
        <f>COUNT(K13:K14)-1</f>
        <v>1</v>
      </c>
      <c r="P7">
        <f>N7/O7</f>
        <v>21.12266666666682</v>
      </c>
      <c r="Q7">
        <f>P7/P10</f>
        <v>1.5679283876218006</v>
      </c>
      <c r="R7">
        <f>FDIST(Q7,O7,O10)</f>
        <v>0.21590446204793107</v>
      </c>
      <c r="S7">
        <f>N7/(N7+N10)</f>
        <v>2.8216426869191492E-2</v>
      </c>
      <c r="U7" s="202">
        <v>15.6</v>
      </c>
      <c r="V7" s="41">
        <v>13</v>
      </c>
      <c r="W7" s="41">
        <v>18</v>
      </c>
      <c r="X7" s="41">
        <v>12.1</v>
      </c>
      <c r="Y7" s="41">
        <v>13.2</v>
      </c>
      <c r="Z7" s="272">
        <v>13.8</v>
      </c>
      <c r="AB7" t="s">
        <v>44</v>
      </c>
      <c r="AC7" s="359">
        <f t="shared" ref="AC7:AH7" si="8">QUARTILE(U6:U15,1)-AC6</f>
        <v>3.0500000000000007</v>
      </c>
      <c r="AD7" s="41">
        <f t="shared" si="8"/>
        <v>1.0250000000000004</v>
      </c>
      <c r="AE7" s="41">
        <f t="shared" si="8"/>
        <v>1.2249999999999996</v>
      </c>
      <c r="AF7" s="41">
        <f t="shared" si="8"/>
        <v>1.9999999999999991</v>
      </c>
      <c r="AG7" s="41">
        <f t="shared" si="8"/>
        <v>2.8249999999999993</v>
      </c>
      <c r="AH7" s="360">
        <f t="shared" si="8"/>
        <v>3.5500000000000007</v>
      </c>
      <c r="AJ7" t="s">
        <v>56</v>
      </c>
      <c r="AK7" t="e">
        <f t="shared" ref="AK7:AP7" ca="1" si="9">SWTEST(U6:U15)</f>
        <v>#NAME?</v>
      </c>
      <c r="AL7" t="e">
        <f t="shared" ca="1" si="9"/>
        <v>#NAME?</v>
      </c>
      <c r="AM7" t="e">
        <f t="shared" ca="1" si="9"/>
        <v>#NAME?</v>
      </c>
      <c r="AN7" t="e">
        <f t="shared" ca="1" si="9"/>
        <v>#NAME?</v>
      </c>
      <c r="AO7" t="e">
        <f t="shared" ca="1" si="9"/>
        <v>#NAME?</v>
      </c>
      <c r="AP7" t="e">
        <f t="shared" ca="1" si="9"/>
        <v>#NAME?</v>
      </c>
      <c r="AR7" s="315" t="s">
        <v>6</v>
      </c>
      <c r="AS7">
        <f t="shared" ref="AS7:AX7" si="10">STDEV(U6:U15)</f>
        <v>3.8896015220071138</v>
      </c>
      <c r="AT7">
        <f t="shared" si="10"/>
        <v>4.0492660514660619</v>
      </c>
      <c r="AU7">
        <f t="shared" si="10"/>
        <v>4.1507696742759688</v>
      </c>
      <c r="AV7">
        <f t="shared" si="10"/>
        <v>3.7472360184244802</v>
      </c>
      <c r="AW7">
        <f t="shared" si="10"/>
        <v>2.3253434632806869</v>
      </c>
      <c r="AX7">
        <f t="shared" si="10"/>
        <v>3.5534177600976973</v>
      </c>
      <c r="AZ7" t="s">
        <v>8</v>
      </c>
      <c r="BA7">
        <f t="shared" ref="BA7:BF7" si="11">STDEV(U6:U15)/SQRT(COUNT(U6:U15))</f>
        <v>1.2300000000000022</v>
      </c>
      <c r="BB7">
        <f t="shared" si="11"/>
        <v>1.2804903574629349</v>
      </c>
      <c r="BC7">
        <f t="shared" si="11"/>
        <v>1.3125886213467275</v>
      </c>
      <c r="BD7">
        <f t="shared" si="11"/>
        <v>1.1849800748442039</v>
      </c>
      <c r="BE7">
        <f t="shared" si="11"/>
        <v>0.73533816861510859</v>
      </c>
      <c r="BF7">
        <f t="shared" si="11"/>
        <v>1.1236893600002509</v>
      </c>
      <c r="BH7" t="s">
        <v>482</v>
      </c>
      <c r="BI7" s="206" t="e">
        <f ca="1">LEVENE(U6:Z15,1)</f>
        <v>#NAME?</v>
      </c>
    </row>
    <row r="8" spans="2:61" x14ac:dyDescent="0.25">
      <c r="B8" s="178"/>
      <c r="C8" s="202">
        <v>17.8</v>
      </c>
      <c r="D8" s="350">
        <v>14.5</v>
      </c>
      <c r="E8" s="272">
        <v>20.6</v>
      </c>
      <c r="F8" s="41"/>
      <c r="G8" t="str">
        <f>B15</f>
        <v>Low</v>
      </c>
      <c r="H8" s="221">
        <f>COUNT(C15:C24)</f>
        <v>10</v>
      </c>
      <c r="I8" s="222">
        <f>COUNT(D15:D24)</f>
        <v>10</v>
      </c>
      <c r="J8" s="223">
        <f>COUNT(E15:E24)</f>
        <v>10</v>
      </c>
      <c r="K8">
        <f>COUNT(C15:E24)</f>
        <v>30</v>
      </c>
      <c r="M8" t="s">
        <v>238</v>
      </c>
      <c r="N8">
        <f>DEVSQ(H15:J15)*H9</f>
        <v>242.62233333333353</v>
      </c>
      <c r="O8">
        <f>COUNT(H15:J15)-1</f>
        <v>2</v>
      </c>
      <c r="P8">
        <f>N8/O8</f>
        <v>121.31116666666676</v>
      </c>
      <c r="Q8">
        <f>P8/P10</f>
        <v>9.0048867860206236</v>
      </c>
      <c r="R8">
        <f>FDIST(Q8,O8,O10)</f>
        <v>4.2175718649531619E-4</v>
      </c>
      <c r="S8">
        <f>N8/(N8+N10)</f>
        <v>0.25010179422413548</v>
      </c>
      <c r="U8" s="202">
        <v>16.600000000000001</v>
      </c>
      <c r="V8" s="41">
        <v>14</v>
      </c>
      <c r="W8" s="41">
        <v>18.5</v>
      </c>
      <c r="X8" s="41">
        <v>10.4</v>
      </c>
      <c r="Y8" s="41">
        <v>16.7</v>
      </c>
      <c r="Z8" s="272">
        <v>17.5</v>
      </c>
      <c r="AB8" t="s">
        <v>45</v>
      </c>
      <c r="AC8" s="359">
        <f t="shared" ref="AC8:AH8" si="12">MEDIAN(U6:U15)-QUARTILE(U6:U15,1)</f>
        <v>3.0500000000000007</v>
      </c>
      <c r="AD8" s="41">
        <f t="shared" si="12"/>
        <v>0.72499999999999964</v>
      </c>
      <c r="AE8" s="41">
        <f t="shared" si="12"/>
        <v>2.4250000000000007</v>
      </c>
      <c r="AF8" s="41">
        <f t="shared" si="12"/>
        <v>1.9500000000000011</v>
      </c>
      <c r="AG8" s="41">
        <f t="shared" si="12"/>
        <v>1.9250000000000007</v>
      </c>
      <c r="AH8" s="360">
        <f t="shared" si="12"/>
        <v>0.35000000000000142</v>
      </c>
      <c r="AJ8" t="s">
        <v>70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R8" s="357" t="s">
        <v>465</v>
      </c>
      <c r="AS8" s="358">
        <f t="shared" ref="AS8:AX8" si="13">COUNTIF(AS11:AS20,"&gt;=2.5")+COUNTIF(AS11:AS20,"&lt;=-2.5")</f>
        <v>0</v>
      </c>
      <c r="AT8" s="358">
        <f t="shared" si="13"/>
        <v>1</v>
      </c>
      <c r="AU8" s="358">
        <f t="shared" si="13"/>
        <v>1</v>
      </c>
      <c r="AV8" s="358">
        <f t="shared" si="13"/>
        <v>0</v>
      </c>
      <c r="AW8" s="358">
        <f t="shared" si="13"/>
        <v>0</v>
      </c>
      <c r="AX8" s="358">
        <f t="shared" si="13"/>
        <v>1</v>
      </c>
      <c r="AZ8" t="s">
        <v>9</v>
      </c>
      <c r="BA8" s="26">
        <f t="shared" ref="BA8:BF8" si="14">MEDIAN(U6:U15)</f>
        <v>16.100000000000001</v>
      </c>
      <c r="BB8" s="26">
        <f t="shared" si="14"/>
        <v>13.75</v>
      </c>
      <c r="BC8" s="26">
        <f t="shared" si="14"/>
        <v>18.25</v>
      </c>
      <c r="BD8" s="26">
        <f t="shared" si="14"/>
        <v>10.65</v>
      </c>
      <c r="BE8" s="26">
        <f t="shared" si="14"/>
        <v>16.75</v>
      </c>
      <c r="BF8" s="26">
        <f t="shared" si="14"/>
        <v>17.700000000000003</v>
      </c>
      <c r="BH8" t="s">
        <v>483</v>
      </c>
      <c r="BI8" s="219" t="e">
        <f ca="1">LEVENE(U6:Z15,-1)</f>
        <v>#NAME?</v>
      </c>
    </row>
    <row r="9" spans="2:61" x14ac:dyDescent="0.25">
      <c r="B9" s="178"/>
      <c r="C9" s="202">
        <v>18.7</v>
      </c>
      <c r="D9" s="350">
        <v>15.9</v>
      </c>
      <c r="E9" s="272">
        <v>18.8</v>
      </c>
      <c r="F9" s="41"/>
      <c r="H9">
        <f>COUNT(C5:C24)</f>
        <v>20</v>
      </c>
      <c r="I9">
        <f>COUNT(D5:D24)</f>
        <v>20</v>
      </c>
      <c r="J9">
        <f>COUNT(E5:E24)</f>
        <v>20</v>
      </c>
      <c r="K9">
        <f>COUNT(C5:E24)</f>
        <v>60</v>
      </c>
      <c r="M9" t="s">
        <v>410</v>
      </c>
      <c r="N9">
        <f>N11-N7-N8-N10</f>
        <v>92.612333333328024</v>
      </c>
      <c r="O9">
        <f>O8*O7</f>
        <v>2</v>
      </c>
      <c r="P9">
        <f>N9/O9</f>
        <v>46.306166666664012</v>
      </c>
      <c r="Q9">
        <f>P9/P10</f>
        <v>3.437291057250111</v>
      </c>
      <c r="R9">
        <f>FDIST(Q9,O9,O10)</f>
        <v>3.934229640332091E-2</v>
      </c>
      <c r="S9">
        <f>N9/(N9+N10)</f>
        <v>0.11293025554688298</v>
      </c>
      <c r="U9" s="202">
        <v>17.8</v>
      </c>
      <c r="V9" s="41">
        <v>14.5</v>
      </c>
      <c r="W9" s="41">
        <v>20.6</v>
      </c>
      <c r="X9" s="41">
        <v>13.5</v>
      </c>
      <c r="Y9" s="41">
        <v>18.3</v>
      </c>
      <c r="Z9" s="272">
        <v>17.3</v>
      </c>
      <c r="AB9" t="s">
        <v>46</v>
      </c>
      <c r="AC9" s="359">
        <f t="shared" ref="AC9:AH9" si="15">QUARTILE(U6:U15,3)-MEDIAN(U6:U15)</f>
        <v>2.375</v>
      </c>
      <c r="AD9" s="41">
        <f t="shared" si="15"/>
        <v>1.8000000000000007</v>
      </c>
      <c r="AE9" s="41">
        <f t="shared" si="15"/>
        <v>0.55000000000000071</v>
      </c>
      <c r="AF9" s="41">
        <f t="shared" si="15"/>
        <v>2.5</v>
      </c>
      <c r="AG9" s="41">
        <f t="shared" si="15"/>
        <v>1.3500000000000014</v>
      </c>
      <c r="AH9" s="360">
        <f t="shared" si="15"/>
        <v>1.1999999999999957</v>
      </c>
      <c r="AJ9" s="224" t="s">
        <v>469</v>
      </c>
      <c r="AK9" s="265" t="e">
        <f t="shared" ref="AK9:AP9" ca="1" si="16">IF(AK7&lt;AK8,"no","yes")</f>
        <v>#NAME?</v>
      </c>
      <c r="AL9" s="265" t="e">
        <f t="shared" ca="1" si="16"/>
        <v>#NAME?</v>
      </c>
      <c r="AM9" s="265" t="e">
        <f t="shared" ca="1" si="16"/>
        <v>#NAME?</v>
      </c>
      <c r="AN9" s="265" t="e">
        <f t="shared" ca="1" si="16"/>
        <v>#NAME?</v>
      </c>
      <c r="AO9" s="265" t="e">
        <f t="shared" ca="1" si="16"/>
        <v>#NAME?</v>
      </c>
      <c r="AP9" s="265" t="e">
        <f t="shared" ca="1" si="16"/>
        <v>#NAME?</v>
      </c>
      <c r="AR9" s="315" t="s">
        <v>466</v>
      </c>
      <c r="AS9">
        <f t="shared" ref="AS9:AX9" si="17">COUNTIF(AS11:AS20,"")</f>
        <v>0</v>
      </c>
      <c r="AT9">
        <f t="shared" si="17"/>
        <v>0</v>
      </c>
      <c r="AU9">
        <f t="shared" si="17"/>
        <v>0</v>
      </c>
      <c r="AV9">
        <f t="shared" si="17"/>
        <v>0</v>
      </c>
      <c r="AW9">
        <f t="shared" si="17"/>
        <v>0</v>
      </c>
      <c r="AX9">
        <f t="shared" si="17"/>
        <v>0</v>
      </c>
      <c r="AZ9" t="s">
        <v>10</v>
      </c>
      <c r="BA9" t="e">
        <f t="shared" ref="BA9:BF9" si="18">MODE(U6:U15)</f>
        <v>#N/A</v>
      </c>
      <c r="BB9" t="e">
        <f t="shared" si="18"/>
        <v>#N/A</v>
      </c>
      <c r="BC9">
        <f t="shared" si="18"/>
        <v>18.8</v>
      </c>
      <c r="BD9" t="e">
        <f t="shared" si="18"/>
        <v>#N/A</v>
      </c>
      <c r="BE9">
        <f t="shared" si="18"/>
        <v>16.7</v>
      </c>
      <c r="BF9" t="e">
        <f t="shared" si="18"/>
        <v>#N/A</v>
      </c>
    </row>
    <row r="10" spans="2:61" x14ac:dyDescent="0.25">
      <c r="B10" s="178"/>
      <c r="C10" s="202">
        <v>15.3</v>
      </c>
      <c r="D10" s="350">
        <v>13.1</v>
      </c>
      <c r="E10" s="272">
        <v>16.5</v>
      </c>
      <c r="F10" s="41"/>
      <c r="M10" t="s">
        <v>249</v>
      </c>
      <c r="N10">
        <f>SUM(H19:J20)*(H7-1)</f>
        <v>727.47200000000112</v>
      </c>
      <c r="O10">
        <f>O11-O7-O8-O9</f>
        <v>54</v>
      </c>
      <c r="P10">
        <f>N10/O10</f>
        <v>13.471703703703724</v>
      </c>
      <c r="U10" s="202">
        <v>18.7</v>
      </c>
      <c r="V10" s="41">
        <v>15.9</v>
      </c>
      <c r="W10" s="41">
        <v>18.8</v>
      </c>
      <c r="X10" s="41">
        <v>15.5</v>
      </c>
      <c r="Y10" s="41">
        <v>16.7</v>
      </c>
      <c r="Z10" s="272">
        <v>19.100000000000001</v>
      </c>
      <c r="AB10" t="s">
        <v>47</v>
      </c>
      <c r="AC10" s="354">
        <f t="shared" ref="AC10:AH10" si="19">MAX(U6:U15)-QUARTILE(U6:U15,3)</f>
        <v>3.8249999999999993</v>
      </c>
      <c r="AD10" s="355">
        <f t="shared" si="19"/>
        <v>10.149999999999999</v>
      </c>
      <c r="AE10" s="355">
        <f t="shared" si="19"/>
        <v>10.099999999999998</v>
      </c>
      <c r="AF10" s="355">
        <f t="shared" si="19"/>
        <v>5.4500000000000011</v>
      </c>
      <c r="AG10" s="355">
        <f t="shared" si="19"/>
        <v>0.59999999999999787</v>
      </c>
      <c r="AH10" s="356">
        <f t="shared" si="19"/>
        <v>8.8000000000000007</v>
      </c>
      <c r="AR10" s="316" t="s">
        <v>467</v>
      </c>
      <c r="AS10" s="224">
        <f t="shared" ref="AS10:AX10" si="20">COUNTIF(AS11:AS20," ******* ")</f>
        <v>0</v>
      </c>
      <c r="AT10" s="224">
        <f t="shared" si="20"/>
        <v>0</v>
      </c>
      <c r="AU10" s="224">
        <f t="shared" si="20"/>
        <v>0</v>
      </c>
      <c r="AV10" s="224">
        <f t="shared" si="20"/>
        <v>0</v>
      </c>
      <c r="AW10" s="224">
        <f t="shared" si="20"/>
        <v>0</v>
      </c>
      <c r="AX10" s="224">
        <f t="shared" si="20"/>
        <v>0</v>
      </c>
      <c r="AZ10" t="s">
        <v>11</v>
      </c>
      <c r="BA10">
        <f t="shared" ref="BA10:BF10" si="21">STDEV(U6:U15)</f>
        <v>3.8896015220071138</v>
      </c>
      <c r="BB10">
        <f t="shared" si="21"/>
        <v>4.0492660514660619</v>
      </c>
      <c r="BC10">
        <f t="shared" si="21"/>
        <v>4.1507696742759688</v>
      </c>
      <c r="BD10">
        <f t="shared" si="21"/>
        <v>3.7472360184244802</v>
      </c>
      <c r="BE10">
        <f t="shared" si="21"/>
        <v>2.3253434632806869</v>
      </c>
      <c r="BF10">
        <f t="shared" si="21"/>
        <v>3.5534177600976973</v>
      </c>
    </row>
    <row r="11" spans="2:61" x14ac:dyDescent="0.25">
      <c r="B11" s="178"/>
      <c r="C11" s="202">
        <v>19.5</v>
      </c>
      <c r="D11" s="350">
        <v>12.6</v>
      </c>
      <c r="E11" s="272">
        <v>18.8</v>
      </c>
      <c r="F11" s="41"/>
      <c r="G11" t="s">
        <v>259</v>
      </c>
      <c r="M11" s="224" t="s">
        <v>1</v>
      </c>
      <c r="N11" s="224">
        <f>P11*O11</f>
        <v>1083.8293333333295</v>
      </c>
      <c r="O11" s="224">
        <f>K9-1</f>
        <v>59</v>
      </c>
      <c r="P11" s="224">
        <f>K21</f>
        <v>18.369988700564907</v>
      </c>
      <c r="Q11" s="224"/>
      <c r="R11" s="224"/>
      <c r="S11" s="224"/>
      <c r="U11" s="202">
        <v>15.3</v>
      </c>
      <c r="V11" s="41">
        <v>13.1</v>
      </c>
      <c r="W11" s="41">
        <v>16.5</v>
      </c>
      <c r="X11" s="41">
        <v>18.600000000000001</v>
      </c>
      <c r="Y11" s="41">
        <v>16.8</v>
      </c>
      <c r="Z11" s="272">
        <v>16.899999999999999</v>
      </c>
      <c r="AR11" s="315">
        <v>1</v>
      </c>
      <c r="AS11">
        <f>IF(U6="","",IF(ISNUMBER(U6),STANDARDIZE(U6,AS$6,AS$7)," ******* "))</f>
        <v>-0.93325755336676319</v>
      </c>
      <c r="AT11">
        <f t="shared" ref="AT11:AX20" si="22">IF(V6="","",IF(ISNUMBER(V6),STANDARDIZE(V6,AT$6,AT$7)," ******* "))</f>
        <v>-0.41735958529771744</v>
      </c>
      <c r="AU11">
        <f t="shared" si="22"/>
        <v>-0.69866560362828434</v>
      </c>
      <c r="AV11">
        <f t="shared" si="22"/>
        <v>-0.52838945565870399</v>
      </c>
      <c r="AW11">
        <f t="shared" si="22"/>
        <v>0.53755499767610693</v>
      </c>
      <c r="AX11">
        <f t="shared" si="22"/>
        <v>1.9699344328733166E-2</v>
      </c>
      <c r="AY11" t="str">
        <f>IF(COUNTIF(AS11:AX11,"&gt;=2.5")+COUNTIF(AS11:AX11,"&lt;=-2.5")&gt;0,"*","")</f>
        <v/>
      </c>
      <c r="AZ11" t="s">
        <v>12</v>
      </c>
      <c r="BA11">
        <f t="shared" ref="BA11:BF11" si="23">VAR(U6:U15)</f>
        <v>15.129000000000056</v>
      </c>
      <c r="BB11">
        <f t="shared" si="23"/>
        <v>16.396555555555551</v>
      </c>
      <c r="BC11">
        <f t="shared" si="23"/>
        <v>17.228888888889035</v>
      </c>
      <c r="BD11">
        <f t="shared" si="23"/>
        <v>14.041777777777749</v>
      </c>
      <c r="BE11">
        <f t="shared" si="23"/>
        <v>5.4072222222222184</v>
      </c>
      <c r="BF11">
        <f t="shared" si="23"/>
        <v>12.626777777777736</v>
      </c>
    </row>
    <row r="12" spans="2:61" x14ac:dyDescent="0.25">
      <c r="B12" s="178"/>
      <c r="C12" s="202">
        <v>22.3</v>
      </c>
      <c r="D12" s="350">
        <v>25.7</v>
      </c>
      <c r="E12" s="272">
        <v>28.9</v>
      </c>
      <c r="F12" s="41"/>
      <c r="H12" s="315" t="str">
        <f>C4</f>
        <v>Direct</v>
      </c>
      <c r="I12" s="315" t="str">
        <f>D4</f>
        <v>OEM</v>
      </c>
      <c r="J12" s="315" t="str">
        <f>E4</f>
        <v>Reseller</v>
      </c>
      <c r="U12" s="202">
        <v>19.5</v>
      </c>
      <c r="V12" s="41">
        <v>12.6</v>
      </c>
      <c r="W12" s="41">
        <v>18.8</v>
      </c>
      <c r="X12" s="41">
        <v>8.5</v>
      </c>
      <c r="Y12" s="41">
        <v>14.2</v>
      </c>
      <c r="Z12" s="272">
        <v>27.7</v>
      </c>
      <c r="AR12" s="315">
        <f>AR11+1</f>
        <v>2</v>
      </c>
      <c r="AS12">
        <f t="shared" ref="AS12:AS20" si="24">IF(U7="","",IF(ISNUMBER(U7),STANDARDIZE(U7,AS$6,AS$7)," ******* "))</f>
        <v>-8.4841595760614452E-2</v>
      </c>
      <c r="AT12">
        <f t="shared" si="22"/>
        <v>-0.54083875254556268</v>
      </c>
      <c r="AU12">
        <f t="shared" si="22"/>
        <v>-0.12045958683246209</v>
      </c>
      <c r="AV12">
        <f t="shared" si="22"/>
        <v>0.21882795638390728</v>
      </c>
      <c r="AW12">
        <f t="shared" si="22"/>
        <v>-1.3116341943297012</v>
      </c>
      <c r="AX12">
        <f t="shared" si="22"/>
        <v>-1.3311128382129644</v>
      </c>
      <c r="AY12" t="str">
        <f t="shared" ref="AY12:AY20" si="25">IF(COUNTIF(AS12:AX12,"&gt;=2.5")+COUNTIF(AS12:AX12,"&lt;=-2.5")&gt;0,"*","")</f>
        <v/>
      </c>
      <c r="AZ12" t="s">
        <v>13</v>
      </c>
      <c r="BA12">
        <f t="shared" ref="BA12:BF12" si="26">KURT(U6:U15)</f>
        <v>-0.7242613271647973</v>
      </c>
      <c r="BB12">
        <f t="shared" si="26"/>
        <v>5.7568033926645645</v>
      </c>
      <c r="BC12">
        <f t="shared" si="26"/>
        <v>4.6638893235027217</v>
      </c>
      <c r="BD12">
        <f t="shared" si="26"/>
        <v>6.5830402011730627E-2</v>
      </c>
      <c r="BE12">
        <f t="shared" si="26"/>
        <v>-0.54627423047098844</v>
      </c>
      <c r="BF12">
        <f t="shared" si="26"/>
        <v>6.0414157569564191</v>
      </c>
    </row>
    <row r="13" spans="2:61" x14ac:dyDescent="0.25">
      <c r="B13" s="178"/>
      <c r="C13" s="202">
        <v>11.2</v>
      </c>
      <c r="D13" s="350">
        <v>17.600000000000001</v>
      </c>
      <c r="E13" s="272">
        <v>14.7</v>
      </c>
      <c r="F13" s="41"/>
      <c r="G13" t="str">
        <f>B5</f>
        <v>High</v>
      </c>
      <c r="H13" s="351">
        <f>AVERAGE(C5:C14)</f>
        <v>15.929999999999998</v>
      </c>
      <c r="I13" s="352">
        <f>AVERAGE(D5:D14)</f>
        <v>15.190000000000001</v>
      </c>
      <c r="J13" s="353">
        <f>AVERAGE(E5:E14)</f>
        <v>18.499999999999996</v>
      </c>
      <c r="K13" s="26">
        <f>AVERAGE(C5:E14)</f>
        <v>16.540000000000003</v>
      </c>
      <c r="U13" s="202">
        <v>22.3</v>
      </c>
      <c r="V13" s="41">
        <v>25.7</v>
      </c>
      <c r="W13" s="41">
        <v>28.9</v>
      </c>
      <c r="X13" s="41">
        <v>6.7</v>
      </c>
      <c r="Y13" s="41">
        <v>12</v>
      </c>
      <c r="Z13" s="272">
        <v>17.8</v>
      </c>
      <c r="AR13" s="315">
        <f t="shared" ref="AR13:AR20" si="27">AR12+1</f>
        <v>3</v>
      </c>
      <c r="AS13">
        <f t="shared" si="24"/>
        <v>0.17225414896852204</v>
      </c>
      <c r="AT13">
        <f t="shared" si="22"/>
        <v>-0.29388041804987214</v>
      </c>
      <c r="AU13">
        <f t="shared" si="22"/>
        <v>8.5591684376469568E-16</v>
      </c>
      <c r="AV13">
        <f t="shared" si="22"/>
        <v>-0.23483975807053528</v>
      </c>
      <c r="AW13">
        <f t="shared" si="22"/>
        <v>0.19351979916339818</v>
      </c>
      <c r="AX13">
        <f t="shared" si="22"/>
        <v>-0.28986178083707287</v>
      </c>
      <c r="AY13" t="str">
        <f t="shared" si="25"/>
        <v/>
      </c>
      <c r="AZ13" t="s">
        <v>14</v>
      </c>
      <c r="BA13">
        <f t="shared" ref="BA13:BF13" si="28">SKEW(U6:U15)</f>
        <v>-7.1754789626583979E-2</v>
      </c>
      <c r="BB13">
        <f t="shared" si="28"/>
        <v>2.2989481540619106</v>
      </c>
      <c r="BC13">
        <f t="shared" si="28"/>
        <v>1.9178174585289594</v>
      </c>
      <c r="BD13">
        <f t="shared" si="28"/>
        <v>0.76486140153858695</v>
      </c>
      <c r="BE13">
        <f t="shared" si="28"/>
        <v>-0.86371109376944799</v>
      </c>
      <c r="BF13">
        <f t="shared" si="28"/>
        <v>2.0339906650785413</v>
      </c>
    </row>
    <row r="14" spans="2:61" x14ac:dyDescent="0.25">
      <c r="B14" s="178"/>
      <c r="C14" s="250">
        <v>10</v>
      </c>
      <c r="D14" s="274">
        <v>12</v>
      </c>
      <c r="E14" s="273">
        <v>14.6</v>
      </c>
      <c r="F14" s="41"/>
      <c r="G14" t="str">
        <f>B15</f>
        <v>Low</v>
      </c>
      <c r="H14" s="354">
        <f>AVERAGE(C15:C24)</f>
        <v>11.280000000000001</v>
      </c>
      <c r="I14" s="355">
        <f>AVERAGE(D15:D24)</f>
        <v>16.25</v>
      </c>
      <c r="J14" s="356">
        <f>AVERAGE(E15:E24)</f>
        <v>18.53</v>
      </c>
      <c r="K14" s="26">
        <f>AVERAGE(C15:E24)</f>
        <v>15.353333333333332</v>
      </c>
      <c r="U14" s="202">
        <v>11.2</v>
      </c>
      <c r="V14" s="41">
        <v>17.600000000000001</v>
      </c>
      <c r="W14" s="41">
        <v>14.7</v>
      </c>
      <c r="X14" s="41">
        <v>7.3</v>
      </c>
      <c r="Y14" s="41">
        <v>18.7</v>
      </c>
      <c r="Z14" s="272">
        <v>17.600000000000001</v>
      </c>
      <c r="AR14" s="315">
        <f t="shared" si="27"/>
        <v>4</v>
      </c>
      <c r="AS14">
        <f t="shared" si="24"/>
        <v>0.48076904264348513</v>
      </c>
      <c r="AT14">
        <f t="shared" si="22"/>
        <v>-0.17040125080202684</v>
      </c>
      <c r="AU14">
        <f t="shared" si="22"/>
        <v>0.50593026469634561</v>
      </c>
      <c r="AV14">
        <f t="shared" si="22"/>
        <v>0.5924366624052132</v>
      </c>
      <c r="AW14">
        <f t="shared" si="22"/>
        <v>0.88159019618881562</v>
      </c>
      <c r="AX14">
        <f t="shared" si="22"/>
        <v>-0.34614562177631009</v>
      </c>
      <c r="AY14" t="str">
        <f t="shared" si="25"/>
        <v/>
      </c>
      <c r="AZ14" t="s">
        <v>15</v>
      </c>
      <c r="BA14">
        <f t="shared" ref="BA14:BF14" si="29">BA15-BA16</f>
        <v>12.3</v>
      </c>
      <c r="BB14">
        <f t="shared" si="29"/>
        <v>13.7</v>
      </c>
      <c r="BC14">
        <f t="shared" si="29"/>
        <v>14.299999999999999</v>
      </c>
      <c r="BD14">
        <f t="shared" si="29"/>
        <v>11.900000000000002</v>
      </c>
      <c r="BE14">
        <f t="shared" si="29"/>
        <v>6.6999999999999993</v>
      </c>
      <c r="BF14">
        <f t="shared" si="29"/>
        <v>13.899999999999999</v>
      </c>
    </row>
    <row r="15" spans="2:61" x14ac:dyDescent="0.25">
      <c r="B15" s="343" t="s">
        <v>487</v>
      </c>
      <c r="C15" s="347">
        <v>9.3000000000000007</v>
      </c>
      <c r="D15" s="348">
        <v>17.5</v>
      </c>
      <c r="E15" s="349">
        <v>18.600000000000001</v>
      </c>
      <c r="F15" s="41"/>
      <c r="H15" s="26">
        <f>AVERAGE(C5:C24)</f>
        <v>13.604999999999999</v>
      </c>
      <c r="I15" s="26">
        <f>AVERAGE(D5:D24)</f>
        <v>15.719999999999999</v>
      </c>
      <c r="J15" s="26">
        <f>AVERAGE(E5:E24)</f>
        <v>18.515000000000001</v>
      </c>
      <c r="K15" s="26">
        <f>AVERAGE(C5:E24)</f>
        <v>15.946666666666667</v>
      </c>
      <c r="U15" s="250">
        <v>10</v>
      </c>
      <c r="V15" s="270">
        <v>12</v>
      </c>
      <c r="W15" s="270">
        <v>14.6</v>
      </c>
      <c r="X15" s="270">
        <v>10.9</v>
      </c>
      <c r="Y15" s="270">
        <v>18.399999999999999</v>
      </c>
      <c r="Z15" s="273">
        <v>19</v>
      </c>
      <c r="AR15" s="315">
        <f t="shared" si="27"/>
        <v>5</v>
      </c>
      <c r="AS15">
        <f t="shared" si="24"/>
        <v>0.71215521289970718</v>
      </c>
      <c r="AT15">
        <f t="shared" si="22"/>
        <v>0.1753404174919401</v>
      </c>
      <c r="AU15">
        <f t="shared" si="22"/>
        <v>7.2275752099478799E-2</v>
      </c>
      <c r="AV15">
        <f t="shared" si="22"/>
        <v>1.1261633852927928</v>
      </c>
      <c r="AW15">
        <f t="shared" si="22"/>
        <v>0.19351979916339818</v>
      </c>
      <c r="AX15">
        <f t="shared" si="22"/>
        <v>0.16040894667682665</v>
      </c>
      <c r="AY15" t="str">
        <f t="shared" si="25"/>
        <v/>
      </c>
      <c r="AZ15" t="s">
        <v>17</v>
      </c>
      <c r="BA15" s="26">
        <f t="shared" ref="BA15:BF15" si="30">MAX(U6:U15)</f>
        <v>22.3</v>
      </c>
      <c r="BB15" s="26">
        <f t="shared" si="30"/>
        <v>25.7</v>
      </c>
      <c r="BC15" s="26">
        <f t="shared" si="30"/>
        <v>28.9</v>
      </c>
      <c r="BD15" s="26">
        <f t="shared" si="30"/>
        <v>18.600000000000001</v>
      </c>
      <c r="BE15" s="26">
        <f t="shared" si="30"/>
        <v>18.7</v>
      </c>
      <c r="BF15" s="26">
        <f t="shared" si="30"/>
        <v>27.7</v>
      </c>
    </row>
    <row r="16" spans="2:61" x14ac:dyDescent="0.25">
      <c r="B16" s="178"/>
      <c r="C16" s="202">
        <v>12.1</v>
      </c>
      <c r="D16" s="350">
        <v>13.2</v>
      </c>
      <c r="E16" s="272">
        <v>13.8</v>
      </c>
      <c r="F16" s="41"/>
      <c r="AR16" s="315">
        <f t="shared" si="27"/>
        <v>6</v>
      </c>
      <c r="AS16">
        <f t="shared" si="24"/>
        <v>-0.161970319179355</v>
      </c>
      <c r="AT16">
        <f t="shared" si="22"/>
        <v>-0.51614291909599375</v>
      </c>
      <c r="AU16">
        <f t="shared" si="22"/>
        <v>-0.48183834732985092</v>
      </c>
      <c r="AV16">
        <f t="shared" si="22"/>
        <v>1.9534398057685418</v>
      </c>
      <c r="AW16">
        <f t="shared" si="22"/>
        <v>0.23652419897748733</v>
      </c>
      <c r="AX16">
        <f t="shared" si="22"/>
        <v>-0.45871330365478546</v>
      </c>
      <c r="AY16" t="str">
        <f t="shared" si="25"/>
        <v/>
      </c>
      <c r="AZ16" t="s">
        <v>16</v>
      </c>
      <c r="BA16" s="26">
        <f t="shared" ref="BA16:BF16" si="31">MIN(U6:U15)</f>
        <v>10</v>
      </c>
      <c r="BB16" s="26">
        <f t="shared" si="31"/>
        <v>12</v>
      </c>
      <c r="BC16" s="26">
        <f t="shared" si="31"/>
        <v>14.6</v>
      </c>
      <c r="BD16" s="26">
        <f t="shared" si="31"/>
        <v>6.7</v>
      </c>
      <c r="BE16" s="26">
        <f t="shared" si="31"/>
        <v>12</v>
      </c>
      <c r="BF16" s="26">
        <f t="shared" si="31"/>
        <v>13.8</v>
      </c>
    </row>
    <row r="17" spans="2:58" x14ac:dyDescent="0.25">
      <c r="B17" s="178"/>
      <c r="C17" s="202">
        <v>10.4</v>
      </c>
      <c r="D17" s="350">
        <v>16.7</v>
      </c>
      <c r="E17" s="272">
        <v>17.5</v>
      </c>
      <c r="F17" s="41"/>
      <c r="G17" t="s">
        <v>490</v>
      </c>
      <c r="AR17" s="315">
        <f t="shared" si="27"/>
        <v>7</v>
      </c>
      <c r="AS17">
        <f t="shared" si="24"/>
        <v>0.91783180868301628</v>
      </c>
      <c r="AT17">
        <f t="shared" si="22"/>
        <v>-0.63962208634383899</v>
      </c>
      <c r="AU17">
        <f t="shared" si="22"/>
        <v>7.2275752099478799E-2</v>
      </c>
      <c r="AV17">
        <f t="shared" si="22"/>
        <v>-0.7418801448137361</v>
      </c>
      <c r="AW17">
        <f t="shared" si="22"/>
        <v>-0.88159019618881562</v>
      </c>
      <c r="AX17">
        <f t="shared" si="22"/>
        <v>2.5806141070640338</v>
      </c>
      <c r="AY17" t="str">
        <f t="shared" si="25"/>
        <v>*</v>
      </c>
      <c r="AZ17" t="s">
        <v>18</v>
      </c>
      <c r="BA17" s="26">
        <f t="shared" ref="BA17:BF17" si="32">SUM(U6:U15)</f>
        <v>159.29999999999998</v>
      </c>
      <c r="BB17" s="26">
        <f t="shared" si="32"/>
        <v>151.9</v>
      </c>
      <c r="BC17" s="26">
        <f t="shared" si="32"/>
        <v>184.99999999999997</v>
      </c>
      <c r="BD17" s="26">
        <f t="shared" si="32"/>
        <v>112.80000000000001</v>
      </c>
      <c r="BE17" s="26">
        <f t="shared" si="32"/>
        <v>162.5</v>
      </c>
      <c r="BF17" s="26">
        <f t="shared" si="32"/>
        <v>185.3</v>
      </c>
    </row>
    <row r="18" spans="2:58" x14ac:dyDescent="0.25">
      <c r="B18" s="178"/>
      <c r="C18" s="202">
        <v>13.5</v>
      </c>
      <c r="D18" s="350">
        <v>18.3</v>
      </c>
      <c r="E18" s="272">
        <v>17.3</v>
      </c>
      <c r="F18" s="41"/>
      <c r="H18" s="315" t="str">
        <f>C4</f>
        <v>Direct</v>
      </c>
      <c r="I18" s="315" t="str">
        <f>D4</f>
        <v>OEM</v>
      </c>
      <c r="J18" s="315" t="str">
        <f>E4</f>
        <v>Reseller</v>
      </c>
      <c r="AR18" s="315">
        <f t="shared" si="27"/>
        <v>8</v>
      </c>
      <c r="AS18">
        <f t="shared" si="24"/>
        <v>1.6376998939245972</v>
      </c>
      <c r="AT18">
        <f t="shared" si="22"/>
        <v>2.5955320955497077</v>
      </c>
      <c r="AU18">
        <f t="shared" si="22"/>
        <v>2.5055594061152298</v>
      </c>
      <c r="AV18">
        <f t="shared" si="22"/>
        <v>-1.2222341954125577</v>
      </c>
      <c r="AW18">
        <f t="shared" si="22"/>
        <v>-1.8276869920987635</v>
      </c>
      <c r="AX18">
        <f t="shared" si="22"/>
        <v>-0.2054360194282166</v>
      </c>
      <c r="AY18" t="str">
        <f t="shared" si="25"/>
        <v>*</v>
      </c>
      <c r="AZ18" t="s">
        <v>19</v>
      </c>
      <c r="BA18">
        <f t="shared" ref="BA18:BF18" si="33">COUNT(U6:U15)</f>
        <v>10</v>
      </c>
      <c r="BB18">
        <f t="shared" si="33"/>
        <v>10</v>
      </c>
      <c r="BC18">
        <f t="shared" si="33"/>
        <v>10</v>
      </c>
      <c r="BD18">
        <f t="shared" si="33"/>
        <v>10</v>
      </c>
      <c r="BE18">
        <f t="shared" si="33"/>
        <v>10</v>
      </c>
      <c r="BF18">
        <f t="shared" si="33"/>
        <v>10</v>
      </c>
    </row>
    <row r="19" spans="2:58" x14ac:dyDescent="0.25">
      <c r="B19" s="178"/>
      <c r="C19" s="202">
        <v>15.5</v>
      </c>
      <c r="D19" s="350">
        <v>16.7</v>
      </c>
      <c r="E19" s="272">
        <v>19.100000000000001</v>
      </c>
      <c r="F19" s="41"/>
      <c r="G19" t="str">
        <f>B5</f>
        <v>High</v>
      </c>
      <c r="H19" s="343">
        <f>VAR(C5:C14)</f>
        <v>15.129000000000056</v>
      </c>
      <c r="I19" s="338">
        <f>VAR(D5:D14)</f>
        <v>16.396555555555551</v>
      </c>
      <c r="J19" s="339">
        <f>VAR(E5:E14)</f>
        <v>17.228888888889035</v>
      </c>
      <c r="K19">
        <f>VAR(C5:E14)</f>
        <v>17.212137931034423</v>
      </c>
      <c r="AR19" s="315">
        <f t="shared" si="27"/>
        <v>9</v>
      </c>
      <c r="AS19">
        <f t="shared" si="24"/>
        <v>-1.2160628725688132</v>
      </c>
      <c r="AT19">
        <f t="shared" si="22"/>
        <v>0.59516958613461435</v>
      </c>
      <c r="AU19">
        <f t="shared" si="22"/>
        <v>-0.91549285992671769</v>
      </c>
      <c r="AV19">
        <f t="shared" si="22"/>
        <v>-1.062116178546284</v>
      </c>
      <c r="AW19">
        <f t="shared" si="22"/>
        <v>1.0536077954451692</v>
      </c>
      <c r="AX19">
        <f t="shared" si="22"/>
        <v>-0.26171986036745376</v>
      </c>
      <c r="AY19" t="str">
        <f t="shared" si="25"/>
        <v/>
      </c>
      <c r="AZ19" t="s">
        <v>3</v>
      </c>
      <c r="BA19">
        <f t="shared" ref="BA19:BF19" si="34">GEOMEAN(U6:U15)</f>
        <v>15.479781757173916</v>
      </c>
      <c r="BB19">
        <f t="shared" si="34"/>
        <v>14.809620033997035</v>
      </c>
      <c r="BC19">
        <f t="shared" si="34"/>
        <v>18.14597769994575</v>
      </c>
      <c r="BD19">
        <f t="shared" si="34"/>
        <v>10.751580614025185</v>
      </c>
      <c r="BE19">
        <f t="shared" si="34"/>
        <v>16.087680453328471</v>
      </c>
      <c r="BF19">
        <f t="shared" si="34"/>
        <v>18.26653735947415</v>
      </c>
    </row>
    <row r="20" spans="2:58" x14ac:dyDescent="0.25">
      <c r="B20" s="178"/>
      <c r="C20" s="202">
        <v>18.600000000000001</v>
      </c>
      <c r="D20" s="350">
        <v>16.8</v>
      </c>
      <c r="E20" s="272">
        <v>16.899999999999999</v>
      </c>
      <c r="F20" s="41"/>
      <c r="G20" t="str">
        <f>B15</f>
        <v>Low</v>
      </c>
      <c r="H20" s="221">
        <f>VAR(C15:C24)</f>
        <v>14.041777777777749</v>
      </c>
      <c r="I20" s="222">
        <f>VAR(D15:D24)</f>
        <v>5.4072222222222184</v>
      </c>
      <c r="J20" s="223">
        <f>VAR(E15:E24)</f>
        <v>12.626777777777736</v>
      </c>
      <c r="K20">
        <f>VAR(C15:E24)</f>
        <v>19.432919540229985</v>
      </c>
      <c r="AR20" s="316">
        <f t="shared" si="27"/>
        <v>10</v>
      </c>
      <c r="AS20" s="224">
        <f t="shared" si="24"/>
        <v>-1.5245777662437763</v>
      </c>
      <c r="AT20" s="224">
        <f t="shared" si="22"/>
        <v>-0.78779708704125329</v>
      </c>
      <c r="AU20" s="224">
        <f t="shared" si="22"/>
        <v>-0.93958477729321022</v>
      </c>
      <c r="AV20" s="224">
        <f t="shared" si="22"/>
        <v>-0.10140807734864035</v>
      </c>
      <c r="AW20" s="224">
        <f t="shared" si="22"/>
        <v>0.92459459600290328</v>
      </c>
      <c r="AX20" s="224">
        <f t="shared" si="22"/>
        <v>0.13226702620720754</v>
      </c>
      <c r="AY20" t="str">
        <f t="shared" si="25"/>
        <v/>
      </c>
      <c r="AZ20" t="s">
        <v>20</v>
      </c>
      <c r="BA20">
        <f t="shared" ref="BA20:BF20" si="35">HARMEAN(U6:U15)</f>
        <v>15.013429270123462</v>
      </c>
      <c r="BB20">
        <f t="shared" si="35"/>
        <v>14.51279179987845</v>
      </c>
      <c r="BC20">
        <f t="shared" si="35"/>
        <v>17.845436886101893</v>
      </c>
      <c r="BD20">
        <f t="shared" si="35"/>
        <v>10.263682093672168</v>
      </c>
      <c r="BE20">
        <f t="shared" si="35"/>
        <v>15.913198956778311</v>
      </c>
      <c r="BF20">
        <f t="shared" si="35"/>
        <v>18.036484388798751</v>
      </c>
    </row>
    <row r="21" spans="2:58" x14ac:dyDescent="0.25">
      <c r="B21" s="178"/>
      <c r="C21" s="202">
        <v>8.5</v>
      </c>
      <c r="D21" s="350">
        <v>14.2</v>
      </c>
      <c r="E21" s="272">
        <v>27.7</v>
      </c>
      <c r="F21" s="41"/>
      <c r="H21">
        <f>VAR(C5:C24)</f>
        <v>19.507868421052677</v>
      </c>
      <c r="I21">
        <f>VAR(D5:D24)</f>
        <v>10.623789473684203</v>
      </c>
      <c r="J21">
        <f>VAR(E5:E24)</f>
        <v>14.142394736842155</v>
      </c>
      <c r="K21">
        <f>VAR(C5:E24)</f>
        <v>18.369988700564907</v>
      </c>
      <c r="AZ21" t="s">
        <v>21</v>
      </c>
      <c r="BA21">
        <f t="shared" ref="BA21:BF21" si="36">AVEDEV(U6:U15)</f>
        <v>3.05</v>
      </c>
      <c r="BB21">
        <f t="shared" si="36"/>
        <v>2.7260000000000004</v>
      </c>
      <c r="BC21">
        <f t="shared" si="36"/>
        <v>2.62</v>
      </c>
      <c r="BD21">
        <f t="shared" si="36"/>
        <v>2.9160000000000004</v>
      </c>
      <c r="BE21">
        <f t="shared" si="36"/>
        <v>1.8699999999999999</v>
      </c>
      <c r="BF21">
        <f t="shared" si="36"/>
        <v>2.056</v>
      </c>
    </row>
    <row r="22" spans="2:58" x14ac:dyDescent="0.25">
      <c r="B22" s="178"/>
      <c r="C22" s="202">
        <v>6.7</v>
      </c>
      <c r="D22" s="350">
        <v>12</v>
      </c>
      <c r="E22" s="272">
        <v>17.8</v>
      </c>
      <c r="F22" s="41"/>
      <c r="AZ22" t="s">
        <v>22</v>
      </c>
      <c r="BA22" t="e">
        <f t="shared" ref="BA22:BF22" ca="1" si="37">MAD(U6:U15)</f>
        <v>#NAME?</v>
      </c>
      <c r="BB22" t="e">
        <f t="shared" ca="1" si="37"/>
        <v>#NAME?</v>
      </c>
      <c r="BC22" t="e">
        <f t="shared" ca="1" si="37"/>
        <v>#NAME?</v>
      </c>
      <c r="BD22" t="e">
        <f t="shared" ca="1" si="37"/>
        <v>#NAME?</v>
      </c>
      <c r="BE22" t="e">
        <f t="shared" ca="1" si="37"/>
        <v>#NAME?</v>
      </c>
      <c r="BF22" t="e">
        <f t="shared" ca="1" si="37"/>
        <v>#NAME?</v>
      </c>
    </row>
    <row r="23" spans="2:58" x14ac:dyDescent="0.25">
      <c r="B23" s="178"/>
      <c r="C23" s="202">
        <v>7.3</v>
      </c>
      <c r="D23" s="350">
        <v>18.7</v>
      </c>
      <c r="E23" s="272">
        <v>17.600000000000001</v>
      </c>
      <c r="F23" s="41"/>
      <c r="AZ23" s="224" t="s">
        <v>23</v>
      </c>
      <c r="BA23" s="224" t="e">
        <f t="shared" ref="BA23:BF23" ca="1" si="38">IQR(U6:U15,FALSE)</f>
        <v>#NAME?</v>
      </c>
      <c r="BB23" s="224" t="e">
        <f t="shared" ca="1" si="38"/>
        <v>#NAME?</v>
      </c>
      <c r="BC23" s="224" t="e">
        <f t="shared" ca="1" si="38"/>
        <v>#NAME?</v>
      </c>
      <c r="BD23" s="224" t="e">
        <f t="shared" ca="1" si="38"/>
        <v>#NAME?</v>
      </c>
      <c r="BE23" s="224" t="e">
        <f t="shared" ca="1" si="38"/>
        <v>#NAME?</v>
      </c>
      <c r="BF23" s="224" t="e">
        <f t="shared" ca="1" si="38"/>
        <v>#NAME?</v>
      </c>
    </row>
    <row r="24" spans="2:58" x14ac:dyDescent="0.25">
      <c r="B24" s="221"/>
      <c r="C24" s="250">
        <v>10.9</v>
      </c>
      <c r="D24" s="274">
        <v>18.399999999999999</v>
      </c>
      <c r="E24" s="273">
        <v>19</v>
      </c>
      <c r="F24" s="41"/>
    </row>
  </sheetData>
  <mergeCells count="1">
    <mergeCell ref="C3:E3"/>
  </mergeCells>
  <pageMargins left="0.7" right="0.7" top="0.75" bottom="0.75" header="0.3" footer="0.3"/>
  <pageSetup paperSize="9" orientation="portrait" verticalDpi="0" r:id="rId1"/>
  <ignoredErrors>
    <ignoredError sqref="H7:J8 H13:J14 H19:J20" formulaRange="1"/>
    <ignoredError sqref="BA9:BF9" evalError="1"/>
  </ignoredErrors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S20"/>
  <sheetViews>
    <sheetView workbookViewId="0">
      <selection activeCell="B1" sqref="B1"/>
    </sheetView>
  </sheetViews>
  <sheetFormatPr defaultRowHeight="15" x14ac:dyDescent="0.25"/>
  <cols>
    <col min="1" max="1" width="2.140625" customWidth="1"/>
    <col min="2" max="2" width="7.85546875" customWidth="1"/>
    <col min="3" max="3" width="5" customWidth="1"/>
    <col min="4" max="4" width="3.28515625" customWidth="1"/>
    <col min="5" max="5" width="5.5703125" customWidth="1"/>
    <col min="6" max="6" width="7.28515625" customWidth="1"/>
    <col min="7" max="9" width="4.85546875" customWidth="1"/>
    <col min="10" max="10" width="6.5703125" customWidth="1"/>
    <col min="11" max="19" width="8.5703125" customWidth="1"/>
  </cols>
  <sheetData>
    <row r="1" spans="2:19" x14ac:dyDescent="0.25">
      <c r="B1" t="s">
        <v>662</v>
      </c>
    </row>
    <row r="3" spans="2:19" x14ac:dyDescent="0.25">
      <c r="B3" s="361" t="s">
        <v>380</v>
      </c>
      <c r="C3" s="252" t="s">
        <v>86</v>
      </c>
      <c r="D3" s="362">
        <v>1</v>
      </c>
      <c r="F3" t="s">
        <v>495</v>
      </c>
      <c r="K3" t="s">
        <v>655</v>
      </c>
    </row>
    <row r="4" spans="2:19" x14ac:dyDescent="0.25">
      <c r="B4" s="180" t="s">
        <v>380</v>
      </c>
      <c r="C4" s="7" t="s">
        <v>78</v>
      </c>
      <c r="D4" s="181">
        <v>2</v>
      </c>
    </row>
    <row r="5" spans="2:19" x14ac:dyDescent="0.25">
      <c r="B5" s="180" t="s">
        <v>380</v>
      </c>
      <c r="C5" s="7" t="s">
        <v>79</v>
      </c>
      <c r="D5" s="181">
        <v>5</v>
      </c>
      <c r="F5" s="344" t="e">
        <f t="array" aca="1" ref="F5:I11" ca="1">StdAnova2(B3:D20)</f>
        <v>#NAME?</v>
      </c>
      <c r="G5" s="363" t="e">
        <f ca="1"/>
        <v>#NAME?</v>
      </c>
      <c r="H5" s="363" t="e">
        <f ca="1"/>
        <v>#NAME?</v>
      </c>
      <c r="I5" s="363" t="e">
        <f ca="1"/>
        <v>#NAME?</v>
      </c>
      <c r="K5" t="e">
        <f ca="1">F6&amp;"-"&amp;G5</f>
        <v>#NAME?</v>
      </c>
      <c r="L5" t="e">
        <f ca="1">F6&amp;"-"&amp;H5</f>
        <v>#NAME?</v>
      </c>
      <c r="M5" t="e">
        <f ca="1">F6&amp;"-"&amp;I5</f>
        <v>#NAME?</v>
      </c>
      <c r="N5" t="e">
        <f ca="1">F8&amp;"-"&amp;G5</f>
        <v>#NAME?</v>
      </c>
      <c r="O5" t="e">
        <f ca="1">F8&amp;"-"&amp;H5</f>
        <v>#NAME?</v>
      </c>
      <c r="P5" t="e">
        <f ca="1">F8&amp;"-"&amp;I5</f>
        <v>#NAME?</v>
      </c>
      <c r="Q5" t="e">
        <f ca="1">F10&amp;"-"&amp;G5</f>
        <v>#NAME?</v>
      </c>
      <c r="R5" t="e">
        <f ca="1">F10&amp;"-"&amp;H5</f>
        <v>#NAME?</v>
      </c>
      <c r="S5" t="e">
        <f ca="1">F10&amp;"-"&amp;I5</f>
        <v>#NAME?</v>
      </c>
    </row>
    <row r="6" spans="2:19" x14ac:dyDescent="0.25">
      <c r="B6" s="180" t="s">
        <v>380</v>
      </c>
      <c r="C6" s="7" t="s">
        <v>86</v>
      </c>
      <c r="D6" s="181">
        <v>4</v>
      </c>
      <c r="F6" s="344" t="e">
        <f ca="1"/>
        <v>#NAME?</v>
      </c>
      <c r="G6" s="344" t="e">
        <f ca="1"/>
        <v>#NAME?</v>
      </c>
      <c r="H6" s="344" t="e">
        <f ca="1"/>
        <v>#NAME?</v>
      </c>
      <c r="I6" s="344" t="e">
        <f ca="1"/>
        <v>#NAME?</v>
      </c>
      <c r="K6" s="343" t="e">
        <f t="shared" ref="K6:M7" ca="1" si="0">G6</f>
        <v>#NAME?</v>
      </c>
      <c r="L6" s="364" t="e">
        <f t="shared" ca="1" si="0"/>
        <v>#NAME?</v>
      </c>
      <c r="M6" s="364" t="e">
        <f t="shared" ca="1" si="0"/>
        <v>#NAME?</v>
      </c>
      <c r="N6" s="364" t="e">
        <f t="shared" ref="N6:P7" ca="1" si="1">G8</f>
        <v>#NAME?</v>
      </c>
      <c r="O6" s="364" t="e">
        <f t="shared" ca="1" si="1"/>
        <v>#NAME?</v>
      </c>
      <c r="P6" s="364" t="e">
        <f t="shared" ca="1" si="1"/>
        <v>#NAME?</v>
      </c>
      <c r="Q6" s="364" t="e">
        <f t="shared" ref="Q6:S7" ca="1" si="2">G10</f>
        <v>#NAME?</v>
      </c>
      <c r="R6" s="364" t="e">
        <f t="shared" ca="1" si="2"/>
        <v>#NAME?</v>
      </c>
      <c r="S6" s="365" t="e">
        <f t="shared" ca="1" si="2"/>
        <v>#NAME?</v>
      </c>
    </row>
    <row r="7" spans="2:19" x14ac:dyDescent="0.25">
      <c r="B7" s="180" t="s">
        <v>380</v>
      </c>
      <c r="C7" s="7" t="s">
        <v>78</v>
      </c>
      <c r="D7" s="181">
        <v>1</v>
      </c>
      <c r="F7" s="219" t="e">
        <f ca="1"/>
        <v>#NAME?</v>
      </c>
      <c r="G7" s="219" t="e">
        <f ca="1"/>
        <v>#NAME?</v>
      </c>
      <c r="H7" s="219" t="e">
        <f ca="1"/>
        <v>#NAME?</v>
      </c>
      <c r="I7" s="219" t="e">
        <f ca="1"/>
        <v>#NAME?</v>
      </c>
      <c r="K7" s="221" t="e">
        <f t="shared" ca="1" si="0"/>
        <v>#NAME?</v>
      </c>
      <c r="L7" s="222" t="e">
        <f t="shared" ca="1" si="0"/>
        <v>#NAME?</v>
      </c>
      <c r="M7" s="222" t="e">
        <f t="shared" ca="1" si="0"/>
        <v>#NAME?</v>
      </c>
      <c r="N7" s="222" t="e">
        <f t="shared" ca="1" si="1"/>
        <v>#NAME?</v>
      </c>
      <c r="O7" s="222" t="e">
        <f t="shared" ca="1" si="1"/>
        <v>#NAME?</v>
      </c>
      <c r="P7" s="222" t="e">
        <f t="shared" ca="1" si="1"/>
        <v>#NAME?</v>
      </c>
      <c r="Q7" s="222" t="e">
        <f t="shared" ca="1" si="2"/>
        <v>#NAME?</v>
      </c>
      <c r="R7" s="222" t="e">
        <f t="shared" ca="1" si="2"/>
        <v>#NAME?</v>
      </c>
      <c r="S7" s="223" t="e">
        <f t="shared" ca="1" si="2"/>
        <v>#NAME?</v>
      </c>
    </row>
    <row r="8" spans="2:19" x14ac:dyDescent="0.25">
      <c r="B8" s="180" t="s">
        <v>380</v>
      </c>
      <c r="C8" s="7" t="s">
        <v>79</v>
      </c>
      <c r="D8" s="181">
        <v>7</v>
      </c>
      <c r="F8" s="344" t="e">
        <f ca="1"/>
        <v>#NAME?</v>
      </c>
      <c r="G8" s="344" t="e">
        <f ca="1"/>
        <v>#NAME?</v>
      </c>
      <c r="H8" s="344" t="e">
        <f ca="1"/>
        <v>#NAME?</v>
      </c>
      <c r="I8" s="344" t="e">
        <f ca="1"/>
        <v>#NAME?</v>
      </c>
    </row>
    <row r="9" spans="2:19" x14ac:dyDescent="0.25">
      <c r="B9" s="180" t="s">
        <v>379</v>
      </c>
      <c r="C9" s="7" t="s">
        <v>86</v>
      </c>
      <c r="D9" s="181">
        <v>3</v>
      </c>
      <c r="F9" s="219" t="e">
        <f ca="1"/>
        <v>#NAME?</v>
      </c>
      <c r="G9" s="219" t="e">
        <f ca="1"/>
        <v>#NAME?</v>
      </c>
      <c r="H9" s="219" t="e">
        <f ca="1"/>
        <v>#NAME?</v>
      </c>
      <c r="I9" s="219" t="e">
        <f ca="1"/>
        <v>#NAME?</v>
      </c>
    </row>
    <row r="10" spans="2:19" x14ac:dyDescent="0.25">
      <c r="B10" s="180" t="s">
        <v>379</v>
      </c>
      <c r="C10" s="7" t="s">
        <v>78</v>
      </c>
      <c r="D10" s="181">
        <v>7</v>
      </c>
      <c r="F10" s="344" t="e">
        <f ca="1"/>
        <v>#NAME?</v>
      </c>
      <c r="G10" s="344" t="e">
        <f ca="1"/>
        <v>#NAME?</v>
      </c>
      <c r="H10" s="344" t="e">
        <f ca="1"/>
        <v>#NAME?</v>
      </c>
      <c r="I10" s="344" t="e">
        <f ca="1"/>
        <v>#NAME?</v>
      </c>
    </row>
    <row r="11" spans="2:19" x14ac:dyDescent="0.25">
      <c r="B11" s="180" t="s">
        <v>379</v>
      </c>
      <c r="C11" s="7" t="s">
        <v>79</v>
      </c>
      <c r="D11" s="181">
        <v>3</v>
      </c>
      <c r="F11" s="219" t="e">
        <f ca="1"/>
        <v>#NAME?</v>
      </c>
      <c r="G11" s="219" t="e">
        <f ca="1"/>
        <v>#NAME?</v>
      </c>
      <c r="H11" s="219" t="e">
        <f ca="1"/>
        <v>#NAME?</v>
      </c>
      <c r="I11" s="219" t="e">
        <f ca="1"/>
        <v>#NAME?</v>
      </c>
    </row>
    <row r="12" spans="2:19" x14ac:dyDescent="0.25">
      <c r="B12" s="180" t="s">
        <v>379</v>
      </c>
      <c r="C12" s="7" t="s">
        <v>86</v>
      </c>
      <c r="D12" s="181">
        <v>9</v>
      </c>
    </row>
    <row r="13" spans="2:19" x14ac:dyDescent="0.25">
      <c r="B13" s="180" t="s">
        <v>379</v>
      </c>
      <c r="C13" s="7" t="s">
        <v>78</v>
      </c>
      <c r="D13" s="181">
        <v>5</v>
      </c>
    </row>
    <row r="14" spans="2:19" x14ac:dyDescent="0.25">
      <c r="B14" s="180" t="s">
        <v>379</v>
      </c>
      <c r="C14" s="7" t="s">
        <v>79</v>
      </c>
      <c r="D14" s="181">
        <v>4</v>
      </c>
    </row>
    <row r="15" spans="2:19" x14ac:dyDescent="0.25">
      <c r="B15" s="180" t="s">
        <v>663</v>
      </c>
      <c r="C15" s="7" t="s">
        <v>86</v>
      </c>
      <c r="D15" s="181">
        <v>5</v>
      </c>
    </row>
    <row r="16" spans="2:19" x14ac:dyDescent="0.25">
      <c r="B16" s="180" t="s">
        <v>663</v>
      </c>
      <c r="C16" s="7" t="s">
        <v>78</v>
      </c>
      <c r="D16" s="181">
        <v>6</v>
      </c>
    </row>
    <row r="17" spans="2:4" x14ac:dyDescent="0.25">
      <c r="B17" s="180" t="s">
        <v>663</v>
      </c>
      <c r="C17" s="7" t="s">
        <v>79</v>
      </c>
      <c r="D17" s="181">
        <v>4</v>
      </c>
    </row>
    <row r="18" spans="2:4" x14ac:dyDescent="0.25">
      <c r="B18" s="180" t="s">
        <v>663</v>
      </c>
      <c r="C18" s="7" t="s">
        <v>86</v>
      </c>
      <c r="D18" s="181">
        <v>2</v>
      </c>
    </row>
    <row r="19" spans="2:4" x14ac:dyDescent="0.25">
      <c r="B19" s="180" t="s">
        <v>663</v>
      </c>
      <c r="C19" s="7" t="s">
        <v>78</v>
      </c>
      <c r="D19" s="181">
        <v>1</v>
      </c>
    </row>
    <row r="20" spans="2:4" x14ac:dyDescent="0.25">
      <c r="B20" s="170" t="s">
        <v>663</v>
      </c>
      <c r="C20" s="224" t="s">
        <v>79</v>
      </c>
      <c r="D20" s="174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8"/>
  <dimension ref="A1:AB22"/>
  <sheetViews>
    <sheetView workbookViewId="0"/>
  </sheetViews>
  <sheetFormatPr defaultRowHeight="15" x14ac:dyDescent="0.25"/>
  <cols>
    <col min="1" max="1" width="8.5703125" customWidth="1"/>
    <col min="2" max="5" width="7.5703125" customWidth="1"/>
    <col min="6" max="6" width="4.85546875" customWidth="1"/>
    <col min="7" max="7" width="7.7109375" customWidth="1"/>
    <col min="13" max="13" width="4.140625" customWidth="1"/>
    <col min="16" max="16" width="4.42578125" customWidth="1"/>
    <col min="20" max="20" width="8.7109375" customWidth="1"/>
  </cols>
  <sheetData>
    <row r="1" spans="1:28" x14ac:dyDescent="0.25">
      <c r="A1" s="1" t="s">
        <v>639</v>
      </c>
      <c r="G1" t="s">
        <v>24</v>
      </c>
      <c r="N1" t="s">
        <v>493</v>
      </c>
      <c r="V1" t="s">
        <v>629</v>
      </c>
    </row>
    <row r="3" spans="1:28" ht="15.75" thickBot="1" x14ac:dyDescent="0.3">
      <c r="B3" s="569" t="s">
        <v>250</v>
      </c>
      <c r="C3" s="570"/>
      <c r="D3" s="570"/>
      <c r="E3" s="571"/>
      <c r="G3" t="s">
        <v>489</v>
      </c>
      <c r="H3" t="str">
        <f>IF(COUNTIF(H5:K7,H5)=COUNT(H5:K7),"balanced","unbalanced")</f>
        <v>balanced</v>
      </c>
      <c r="N3" t="s">
        <v>101</v>
      </c>
      <c r="R3" s="315" t="s">
        <v>31</v>
      </c>
      <c r="S3" s="315">
        <v>0.05</v>
      </c>
      <c r="V3" t="s">
        <v>101</v>
      </c>
      <c r="Z3" s="315" t="s">
        <v>31</v>
      </c>
      <c r="AA3" s="315">
        <v>0.05</v>
      </c>
    </row>
    <row r="4" spans="1:28" ht="15.75" thickTop="1" x14ac:dyDescent="0.25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H4" s="315" t="str">
        <f>B4</f>
        <v>Wheat</v>
      </c>
      <c r="I4" s="315" t="str">
        <f>C4</f>
        <v>Corn</v>
      </c>
      <c r="J4" s="315" t="str">
        <f>D4</f>
        <v>Soy</v>
      </c>
      <c r="K4" s="315" t="str">
        <f>E4</f>
        <v>Rice</v>
      </c>
      <c r="N4" s="217"/>
      <c r="O4" s="217" t="s">
        <v>88</v>
      </c>
      <c r="P4" s="217" t="s">
        <v>51</v>
      </c>
      <c r="Q4" s="217" t="s">
        <v>92</v>
      </c>
      <c r="R4" s="217" t="s">
        <v>82</v>
      </c>
      <c r="S4" s="217" t="s">
        <v>56</v>
      </c>
      <c r="T4" s="251" t="s">
        <v>865</v>
      </c>
      <c r="V4" s="251"/>
      <c r="W4" s="251" t="s">
        <v>88</v>
      </c>
      <c r="X4" s="251" t="s">
        <v>51</v>
      </c>
      <c r="Y4" s="251" t="s">
        <v>92</v>
      </c>
      <c r="Z4" s="251" t="s">
        <v>82</v>
      </c>
      <c r="AA4" s="251" t="s">
        <v>56</v>
      </c>
      <c r="AB4" s="251" t="s">
        <v>865</v>
      </c>
    </row>
    <row r="5" spans="1:28" x14ac:dyDescent="0.25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t="str">
        <f>A5</f>
        <v>Blend X</v>
      </c>
      <c r="H5" s="226">
        <f>COUNT(B5:B9)</f>
        <v>5</v>
      </c>
      <c r="I5" s="227">
        <f>COUNT(C5:C9)</f>
        <v>5</v>
      </c>
      <c r="J5" s="227">
        <f>COUNT(D5:D9)</f>
        <v>5</v>
      </c>
      <c r="K5" s="228">
        <f>COUNT(E5:E9)</f>
        <v>5</v>
      </c>
      <c r="L5">
        <f>COUNT(B5:E9)</f>
        <v>20</v>
      </c>
      <c r="N5" t="s">
        <v>83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>
        <f>O5/(O5+O8)</f>
        <v>0.29273113290871283</v>
      </c>
      <c r="V5" t="str">
        <f>G12</f>
        <v>Blend X</v>
      </c>
      <c r="W5">
        <f>SUMPRODUCT(H5:K5,(H12:K12-L12)^2)</f>
        <v>6125.3500000000022</v>
      </c>
      <c r="X5">
        <f>COUNT(H5:K5)-1</f>
        <v>3</v>
      </c>
      <c r="Y5">
        <f>W5/X5</f>
        <v>2041.783333333334</v>
      </c>
      <c r="Z5">
        <f>Y5/Y$8</f>
        <v>4.6184614804621926</v>
      </c>
      <c r="AA5">
        <f>FDIST(Z5,X5,X$8)</f>
        <v>6.4357751553108323E-3</v>
      </c>
      <c r="AB5" s="12">
        <f>W5/W8</f>
        <v>0.28865384252888704</v>
      </c>
    </row>
    <row r="6" spans="1:28" x14ac:dyDescent="0.25">
      <c r="A6" s="6"/>
      <c r="B6" s="123">
        <v>156</v>
      </c>
      <c r="C6" s="123">
        <v>150</v>
      </c>
      <c r="D6" s="123">
        <v>178</v>
      </c>
      <c r="E6" s="123">
        <v>125</v>
      </c>
      <c r="G6" t="str">
        <f>A10</f>
        <v>Blend Y</v>
      </c>
      <c r="H6" s="178">
        <f>COUNT(B10:B14)</f>
        <v>5</v>
      </c>
      <c r="I6" s="7">
        <f>COUNT(C10:C14)</f>
        <v>5</v>
      </c>
      <c r="J6" s="7">
        <f>COUNT(D10:D14)</f>
        <v>5</v>
      </c>
      <c r="K6" s="40">
        <f>COUNT(E10:E14)</f>
        <v>5</v>
      </c>
      <c r="L6">
        <f>COUNT(B10:E14)</f>
        <v>20</v>
      </c>
      <c r="N6" t="s">
        <v>238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>
        <f>O6/(O6+O8)</f>
        <v>0.13850450936889119</v>
      </c>
      <c r="V6" t="str">
        <f>G13</f>
        <v>Blend Y</v>
      </c>
      <c r="W6">
        <f>SUMPRODUCT(H6:K6,(H13:K13-L13)^2)</f>
        <v>2269.8000000000029</v>
      </c>
      <c r="X6">
        <f>COUNT(H6:K6)-1</f>
        <v>3</v>
      </c>
      <c r="Y6">
        <f>W6/X6</f>
        <v>756.60000000000093</v>
      </c>
      <c r="Z6">
        <f>Y6/Y$8</f>
        <v>1.711409775499048</v>
      </c>
      <c r="AA6">
        <f>FDIST(Z6,X6,X$8)</f>
        <v>0.17716704598825347</v>
      </c>
      <c r="AB6" s="12">
        <f>W6/W8</f>
        <v>0.1069631109686905</v>
      </c>
    </row>
    <row r="7" spans="1:28" x14ac:dyDescent="0.25">
      <c r="A7" s="124"/>
      <c r="B7" s="123">
        <v>112</v>
      </c>
      <c r="C7" s="123">
        <v>174</v>
      </c>
      <c r="D7" s="123">
        <v>187</v>
      </c>
      <c r="E7" s="123">
        <v>117</v>
      </c>
      <c r="G7" t="str">
        <f>A15</f>
        <v>Blend Z</v>
      </c>
      <c r="H7" s="221">
        <f>COUNT(B15:B19)</f>
        <v>5</v>
      </c>
      <c r="I7" s="222">
        <f>COUNT(C15:C19)</f>
        <v>5</v>
      </c>
      <c r="J7" s="222">
        <f>COUNT(D15:D19)</f>
        <v>5</v>
      </c>
      <c r="K7" s="223">
        <f>COUNT(E15:E19)</f>
        <v>5</v>
      </c>
      <c r="L7">
        <f>COUNT(B15:E19)</f>
        <v>20</v>
      </c>
      <c r="N7" t="s">
        <v>410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>
        <f>O7/(O7+O8)</f>
        <v>0.22683931896102769</v>
      </c>
      <c r="V7" t="str">
        <f>G14</f>
        <v>Blend Z</v>
      </c>
      <c r="W7">
        <f>SUMPRODUCT(H7:K7,(H14:K14-L14)^2)</f>
        <v>1242.3999999999999</v>
      </c>
      <c r="X7">
        <f>COUNT(H7:K7)-1</f>
        <v>3</v>
      </c>
      <c r="Y7">
        <f>W7/X7</f>
        <v>414.13333333333327</v>
      </c>
      <c r="Z7">
        <f>Y7/Y$8</f>
        <v>0.93675896778571432</v>
      </c>
      <c r="AA7">
        <f>FDIST(Z7,X7,X$8)</f>
        <v>0.43026785137801982</v>
      </c>
      <c r="AB7" s="12">
        <f>W7/W8</f>
        <v>5.8547435486607145E-2</v>
      </c>
    </row>
    <row r="8" spans="1:28" x14ac:dyDescent="0.25">
      <c r="A8" s="124"/>
      <c r="B8" s="123">
        <v>100</v>
      </c>
      <c r="C8" s="123">
        <v>116</v>
      </c>
      <c r="D8" s="123">
        <v>153</v>
      </c>
      <c r="E8" s="123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249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224" t="s">
        <v>237</v>
      </c>
      <c r="W8" s="224">
        <f>SUMPRODUCT(H19:K21,(H5:K7-1))</f>
        <v>21220.400000000027</v>
      </c>
      <c r="X8" s="224">
        <f>SUM(H5:K7)-COUNT(H5:K5)*COUNT(H5:H7)</f>
        <v>48</v>
      </c>
      <c r="Y8" s="224">
        <f>W8/X8</f>
        <v>442.09166666666721</v>
      </c>
      <c r="Z8" s="224"/>
      <c r="AA8" s="224"/>
      <c r="AB8" s="224"/>
    </row>
    <row r="9" spans="1:28" x14ac:dyDescent="0.25">
      <c r="A9" s="124"/>
      <c r="B9" s="22">
        <v>168</v>
      </c>
      <c r="C9" s="22">
        <v>109</v>
      </c>
      <c r="D9" s="22">
        <v>195</v>
      </c>
      <c r="E9" s="22">
        <v>158</v>
      </c>
      <c r="N9" s="224" t="s">
        <v>1</v>
      </c>
      <c r="O9" s="224">
        <f>Q9*P9</f>
        <v>39640.850000000093</v>
      </c>
      <c r="P9" s="224">
        <f>L8-1</f>
        <v>59</v>
      </c>
      <c r="Q9" s="224">
        <f>L22</f>
        <v>671.87881355932359</v>
      </c>
      <c r="R9" s="224"/>
      <c r="S9" s="224"/>
      <c r="T9" s="224"/>
    </row>
    <row r="10" spans="1:28" x14ac:dyDescent="0.25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t="s">
        <v>259</v>
      </c>
    </row>
    <row r="11" spans="1:28" x14ac:dyDescent="0.25">
      <c r="A11" s="124"/>
      <c r="B11" s="123">
        <v>130</v>
      </c>
      <c r="C11" s="123">
        <v>132</v>
      </c>
      <c r="D11" s="123">
        <v>145</v>
      </c>
      <c r="E11" s="123">
        <v>183</v>
      </c>
      <c r="H11" s="315" t="str">
        <f>B4</f>
        <v>Wheat</v>
      </c>
      <c r="I11" s="315" t="str">
        <f>C4</f>
        <v>Corn</v>
      </c>
      <c r="J11" s="315" t="str">
        <f>D4</f>
        <v>Soy</v>
      </c>
      <c r="K11" s="315" t="str">
        <f>E4</f>
        <v>Rice</v>
      </c>
      <c r="V11" t="s">
        <v>630</v>
      </c>
    </row>
    <row r="12" spans="1:28" x14ac:dyDescent="0.25">
      <c r="A12" s="124"/>
      <c r="B12" s="123">
        <v>176</v>
      </c>
      <c r="C12" s="123">
        <v>120</v>
      </c>
      <c r="D12" s="123">
        <v>159</v>
      </c>
      <c r="E12" s="123">
        <v>142</v>
      </c>
      <c r="G12" t="str">
        <f>A5</f>
        <v>Blend X</v>
      </c>
      <c r="H12" s="226">
        <f>AVERAGE(B5:B9)</f>
        <v>131.80000000000001</v>
      </c>
      <c r="I12" s="227">
        <f>AVERAGE(C5:C9)</f>
        <v>135.4</v>
      </c>
      <c r="J12" s="227">
        <f>AVERAGE(D5:D9)</f>
        <v>175.8</v>
      </c>
      <c r="K12" s="228">
        <f>AVERAGE(E5:E9)</f>
        <v>141.19999999999999</v>
      </c>
      <c r="L12">
        <f>AVERAGE(B5:E9)</f>
        <v>146.05000000000001</v>
      </c>
    </row>
    <row r="13" spans="1:28" ht="15.75" thickBot="1" x14ac:dyDescent="0.3">
      <c r="A13" s="124"/>
      <c r="B13" s="123">
        <v>120</v>
      </c>
      <c r="C13" s="123">
        <v>187</v>
      </c>
      <c r="D13" s="123">
        <v>131</v>
      </c>
      <c r="E13" s="123">
        <v>167</v>
      </c>
      <c r="G13" t="str">
        <f>A10</f>
        <v>Blend Y</v>
      </c>
      <c r="H13" s="178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40">
        <f>AVERAGE(E10:E14)</f>
        <v>165.4</v>
      </c>
      <c r="L13">
        <f>AVERAGE(B10:E14)</f>
        <v>152.1</v>
      </c>
      <c r="V13" t="s">
        <v>101</v>
      </c>
      <c r="Z13" s="315" t="s">
        <v>31</v>
      </c>
      <c r="AA13" s="315">
        <v>0.05</v>
      </c>
    </row>
    <row r="14" spans="1:28" ht="15.75" thickTop="1" x14ac:dyDescent="0.25">
      <c r="A14" s="124"/>
      <c r="B14" s="22">
        <v>155</v>
      </c>
      <c r="C14" s="22">
        <v>184</v>
      </c>
      <c r="D14" s="22">
        <v>126</v>
      </c>
      <c r="E14" s="22">
        <v>168</v>
      </c>
      <c r="G14" t="str">
        <f>A15</f>
        <v>Blend Z</v>
      </c>
      <c r="H14" s="221">
        <f>AVERAGE(B15:B19)</f>
        <v>164.4</v>
      </c>
      <c r="I14" s="222">
        <f>AVERAGE(C15:C19)</f>
        <v>173.6</v>
      </c>
      <c r="J14" s="222">
        <f>AVERAGE(D15:D19)</f>
        <v>186.4</v>
      </c>
      <c r="K14" s="223">
        <f>AVERAGE(E15:E19)</f>
        <v>172.4</v>
      </c>
      <c r="L14">
        <f>AVERAGE(B15:E19)</f>
        <v>174.2</v>
      </c>
      <c r="V14" s="251"/>
      <c r="W14" s="251" t="s">
        <v>88</v>
      </c>
      <c r="X14" s="251" t="s">
        <v>51</v>
      </c>
      <c r="Y14" s="251" t="s">
        <v>92</v>
      </c>
      <c r="Z14" s="251" t="s">
        <v>82</v>
      </c>
      <c r="AA14" s="251" t="s">
        <v>56</v>
      </c>
      <c r="AB14" s="251" t="s">
        <v>865</v>
      </c>
    </row>
    <row r="15" spans="1:28" x14ac:dyDescent="0.25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t="str">
        <f>H11</f>
        <v>Wheat</v>
      </c>
      <c r="W15">
        <f>SUMPRODUCT(H5:H7,(H12:H14-H$15)^2)</f>
        <v>2736.9333333333334</v>
      </c>
      <c r="X15">
        <f>COUNT(H5:H7)-1</f>
        <v>2</v>
      </c>
      <c r="Y15">
        <f>W15/X15</f>
        <v>1368.4666666666667</v>
      </c>
      <c r="Z15">
        <f>Y15/Y$19</f>
        <v>3.0954364667960981</v>
      </c>
      <c r="AA15">
        <f>FDIST(Z15,X15,X$19)</f>
        <v>5.4395399584390158E-2</v>
      </c>
      <c r="AB15" s="12">
        <f>W15/W19</f>
        <v>0.12897651944983743</v>
      </c>
    </row>
    <row r="16" spans="1:28" x14ac:dyDescent="0.25">
      <c r="A16" s="124"/>
      <c r="B16" s="123">
        <v>180</v>
      </c>
      <c r="C16" s="123">
        <v>138</v>
      </c>
      <c r="D16" s="123">
        <v>206</v>
      </c>
      <c r="E16" s="123">
        <v>173</v>
      </c>
      <c r="V16" t="str">
        <f>I11</f>
        <v>Corn</v>
      </c>
      <c r="W16">
        <f>SUMPRODUCT(I5:I7,(I12:I14-I$15)^2)</f>
        <v>3734.7999999999979</v>
      </c>
      <c r="X16">
        <f>COUNT(I5:I7)-1</f>
        <v>2</v>
      </c>
      <c r="Y16">
        <f>W16/X16</f>
        <v>1867.399999999999</v>
      </c>
      <c r="Z16">
        <f>Y16/Y$19</f>
        <v>4.2240108574767605</v>
      </c>
      <c r="AA16">
        <f>FDIST(Z16,X16,X$19)</f>
        <v>2.0427737506294948E-2</v>
      </c>
      <c r="AB16" s="12">
        <f>W16/W19</f>
        <v>0.176000452394865</v>
      </c>
    </row>
    <row r="17" spans="1:28" x14ac:dyDescent="0.25">
      <c r="A17" s="124"/>
      <c r="B17" s="123">
        <v>147</v>
      </c>
      <c r="C17" s="123">
        <v>178</v>
      </c>
      <c r="D17" s="123">
        <v>188</v>
      </c>
      <c r="E17" s="123">
        <v>154</v>
      </c>
      <c r="G17" t="s">
        <v>490</v>
      </c>
      <c r="V17" t="str">
        <f>J11</f>
        <v>Soy</v>
      </c>
      <c r="W17">
        <f>SUMPRODUCT(J5:J7,(J12:J14-J$15)^2)</f>
        <v>5856.9333333333379</v>
      </c>
      <c r="X17">
        <f>COUNT(J5:J7)-1</f>
        <v>2</v>
      </c>
      <c r="Y17">
        <f>W17/X17</f>
        <v>2928.466666666669</v>
      </c>
      <c r="Z17">
        <f>Y17/Y$19</f>
        <v>6.6241164162786728</v>
      </c>
      <c r="AA17">
        <f>FDIST(Z17,X17,X$19)</f>
        <v>2.881006192954384E-3</v>
      </c>
      <c r="AB17" s="12">
        <f>W17/W19</f>
        <v>0.27600485067827801</v>
      </c>
    </row>
    <row r="18" spans="1:28" x14ac:dyDescent="0.25">
      <c r="A18" s="124"/>
      <c r="B18" s="123">
        <v>146</v>
      </c>
      <c r="C18" s="123">
        <v>176</v>
      </c>
      <c r="D18" s="123">
        <v>165</v>
      </c>
      <c r="E18" s="123">
        <v>191</v>
      </c>
      <c r="H18" s="315" t="str">
        <f>B4</f>
        <v>Wheat</v>
      </c>
      <c r="I18" s="315" t="str">
        <f>C4</f>
        <v>Corn</v>
      </c>
      <c r="J18" s="315" t="str">
        <f>D4</f>
        <v>Soy</v>
      </c>
      <c r="K18" s="315" t="str">
        <f>E4</f>
        <v>Rice</v>
      </c>
      <c r="V18" t="str">
        <f>K11</f>
        <v>Rice</v>
      </c>
      <c r="W18">
        <f>SUMPRODUCT(K5:K7,(K12:K14-K$15)^2)</f>
        <v>2680.1333333333364</v>
      </c>
      <c r="X18">
        <f>COUNT(K5:K7)-1</f>
        <v>2</v>
      </c>
      <c r="Y18">
        <f>W18/X18</f>
        <v>1340.0666666666682</v>
      </c>
      <c r="Z18">
        <f>Y18/Y$19</f>
        <v>3.0311963959209058</v>
      </c>
      <c r="AA18">
        <f>FDIST(Z18,X18,X$19)</f>
        <v>5.7584204415357727E-2</v>
      </c>
      <c r="AB18" s="12">
        <f>W18/W19</f>
        <v>0.12629984983003775</v>
      </c>
    </row>
    <row r="19" spans="1:28" x14ac:dyDescent="0.25">
      <c r="A19" s="9"/>
      <c r="B19" s="22">
        <v>193</v>
      </c>
      <c r="C19" s="22">
        <v>190</v>
      </c>
      <c r="D19" s="22">
        <v>188</v>
      </c>
      <c r="E19" s="22">
        <v>169</v>
      </c>
      <c r="G19" t="str">
        <f>A5</f>
        <v>Blend X</v>
      </c>
      <c r="H19" s="226">
        <f>VAR(B5:B9)</f>
        <v>844.20000000000073</v>
      </c>
      <c r="I19" s="227">
        <f>VAR(C5:C9)</f>
        <v>707.79999999999927</v>
      </c>
      <c r="J19" s="227">
        <f>VAR(D5:D9)</f>
        <v>278.7</v>
      </c>
      <c r="K19" s="228">
        <f>VAR(E5:E9)</f>
        <v>354.20000000000073</v>
      </c>
      <c r="L19">
        <f>VAR(B5:E9)</f>
        <v>782.3657894736848</v>
      </c>
      <c r="V19" s="224" t="s">
        <v>237</v>
      </c>
      <c r="W19" s="224">
        <f>SUMPRODUCT(H19:K21,(H5:K7-1))</f>
        <v>21220.400000000027</v>
      </c>
      <c r="X19" s="224">
        <f>SUM(H5:K7)-COUNT(H5:K5)*COUNT(H5:H7)</f>
        <v>48</v>
      </c>
      <c r="Y19" s="224">
        <f>W19/X19</f>
        <v>442.09166666666721</v>
      </c>
      <c r="Z19" s="224"/>
      <c r="AA19" s="224"/>
      <c r="AB19" s="224"/>
    </row>
    <row r="20" spans="1:28" x14ac:dyDescent="0.25">
      <c r="G20" t="str">
        <f>A10</f>
        <v>Blend Y</v>
      </c>
      <c r="H20" s="178">
        <f>VAR(B10:B14)</f>
        <v>498.70000000000073</v>
      </c>
      <c r="I20" s="7">
        <f>VAR(C10:C14)</f>
        <v>978.29999999999927</v>
      </c>
      <c r="J20" s="7">
        <f>VAR(D10:D14)</f>
        <v>165.7</v>
      </c>
      <c r="K20" s="40">
        <f>VAR(E10:E14)</f>
        <v>217.3</v>
      </c>
      <c r="L20">
        <f>VAR(B10:E14)</f>
        <v>511.04210526315728</v>
      </c>
    </row>
    <row r="21" spans="1:28" x14ac:dyDescent="0.25">
      <c r="G21" t="str">
        <f>A15</f>
        <v>Blend Z</v>
      </c>
      <c r="H21" s="221">
        <f>VAR(B15:B19)</f>
        <v>443.30000000000291</v>
      </c>
      <c r="I21" s="222">
        <f>VAR(C15:C19)</f>
        <v>428.80000000000291</v>
      </c>
      <c r="J21" s="222">
        <f>VAR(D15:D19)</f>
        <v>212.3</v>
      </c>
      <c r="K21" s="223">
        <f>VAR(E15:E19)</f>
        <v>175.8</v>
      </c>
      <c r="L21">
        <f>VAR(B15:E19)</f>
        <v>330.69473684210283</v>
      </c>
    </row>
    <row r="22" spans="1:28" x14ac:dyDescent="0.25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</row>
  </sheetData>
  <mergeCells count="1">
    <mergeCell ref="B3:E3"/>
  </mergeCells>
  <pageMargins left="0.7" right="0.7" top="0.75" bottom="0.75" header="0.3" footer="0.3"/>
  <pageSetup paperSize="9" orientation="portrait" verticalDpi="0" r:id="rId1"/>
  <ignoredErrors>
    <ignoredError sqref="H5:K21" formulaRange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AN74"/>
  <sheetViews>
    <sheetView workbookViewId="0"/>
  </sheetViews>
  <sheetFormatPr defaultRowHeight="15" x14ac:dyDescent="0.25"/>
  <cols>
    <col min="1" max="1" width="7.85546875" customWidth="1"/>
    <col min="2" max="4" width="7.28515625" customWidth="1"/>
    <col min="5" max="5" width="6.140625" customWidth="1"/>
    <col min="6" max="6" width="18" customWidth="1"/>
    <col min="30" max="30" width="10.5703125" customWidth="1"/>
    <col min="36" max="36" width="10.28515625" customWidth="1"/>
  </cols>
  <sheetData>
    <row r="1" spans="1:40" x14ac:dyDescent="0.25">
      <c r="A1" s="1" t="s">
        <v>318</v>
      </c>
      <c r="N1" t="s">
        <v>407</v>
      </c>
      <c r="AD1" t="s">
        <v>406</v>
      </c>
    </row>
    <row r="3" spans="1:40" x14ac:dyDescent="0.25">
      <c r="B3" s="574" t="s">
        <v>326</v>
      </c>
      <c r="C3" s="575"/>
      <c r="D3" s="576"/>
      <c r="F3" t="s">
        <v>248</v>
      </c>
      <c r="N3" s="7"/>
      <c r="O3" s="23" t="s">
        <v>319</v>
      </c>
      <c r="P3" s="23" t="s">
        <v>321</v>
      </c>
      <c r="Q3" s="23" t="s">
        <v>320</v>
      </c>
      <c r="R3" s="7"/>
      <c r="AD3" t="s">
        <v>248</v>
      </c>
    </row>
    <row r="4" spans="1:40" x14ac:dyDescent="0.25">
      <c r="A4" s="135" t="s">
        <v>325</v>
      </c>
      <c r="B4" s="153" t="s">
        <v>319</v>
      </c>
      <c r="C4" s="153" t="s">
        <v>321</v>
      </c>
      <c r="D4" s="153" t="s">
        <v>320</v>
      </c>
      <c r="N4" s="7" t="s">
        <v>322</v>
      </c>
      <c r="O4" s="140">
        <f>AVERAGE(B5:B9)</f>
        <v>22.8</v>
      </c>
      <c r="P4" s="138">
        <f>AVERAGE(C5:C9)</f>
        <v>19.8</v>
      </c>
      <c r="Q4" s="139">
        <f>AVERAGE(D5:D9)</f>
        <v>10</v>
      </c>
      <c r="R4" s="7">
        <f>AVERAGE(O4:Q4)</f>
        <v>17.533333333333335</v>
      </c>
    </row>
    <row r="5" spans="1:40" x14ac:dyDescent="0.25">
      <c r="A5" s="140" t="s">
        <v>322</v>
      </c>
      <c r="B5" s="147">
        <v>15</v>
      </c>
      <c r="C5" s="147">
        <v>21</v>
      </c>
      <c r="D5" s="147">
        <v>11</v>
      </c>
      <c r="F5" t="s">
        <v>52</v>
      </c>
      <c r="G5" t="s">
        <v>319</v>
      </c>
      <c r="H5" t="s">
        <v>321</v>
      </c>
      <c r="I5" t="s">
        <v>320</v>
      </c>
      <c r="J5" t="s">
        <v>1</v>
      </c>
      <c r="N5" s="7" t="s">
        <v>323</v>
      </c>
      <c r="O5" s="124">
        <f>AVERAGE(B10:B14)</f>
        <v>25</v>
      </c>
      <c r="P5" s="7">
        <f>AVERAGE(C10:C14)</f>
        <v>21</v>
      </c>
      <c r="Q5" s="8">
        <f>AVERAGE(D10:D14)</f>
        <v>29.4</v>
      </c>
      <c r="R5" s="7">
        <f>AVERAGE(O5:Q5)</f>
        <v>25.133333333333336</v>
      </c>
      <c r="AD5" t="s">
        <v>52</v>
      </c>
      <c r="AE5" s="12" t="s">
        <v>319</v>
      </c>
      <c r="AF5" s="12" t="s">
        <v>321</v>
      </c>
      <c r="AG5" s="12" t="s">
        <v>320</v>
      </c>
      <c r="AH5" s="12" t="s">
        <v>1</v>
      </c>
      <c r="AJ5" t="s">
        <v>52</v>
      </c>
      <c r="AK5" s="12" t="s">
        <v>319</v>
      </c>
      <c r="AL5" s="12" t="s">
        <v>321</v>
      </c>
      <c r="AM5" s="12" t="s">
        <v>320</v>
      </c>
      <c r="AN5" s="12" t="s">
        <v>1</v>
      </c>
    </row>
    <row r="6" spans="1:40" ht="15.75" thickBot="1" x14ac:dyDescent="0.3">
      <c r="A6" s="124"/>
      <c r="B6" s="123">
        <v>23</v>
      </c>
      <c r="C6" s="123">
        <v>11</v>
      </c>
      <c r="D6" s="123">
        <v>8</v>
      </c>
      <c r="F6" s="125" t="s">
        <v>322</v>
      </c>
      <c r="G6" s="125"/>
      <c r="H6" s="125"/>
      <c r="I6" s="125"/>
      <c r="J6" s="125"/>
      <c r="N6" s="7" t="s">
        <v>324</v>
      </c>
      <c r="O6" s="9">
        <f>AVERAGE(B15:B19)</f>
        <v>28</v>
      </c>
      <c r="P6" s="10">
        <f>AVERAGE(C15:C19)</f>
        <v>26</v>
      </c>
      <c r="Q6" s="11">
        <f>AVERAGE(D15:D19)</f>
        <v>37.200000000000003</v>
      </c>
      <c r="R6" s="7">
        <f>AVERAGE(O6:Q6)</f>
        <v>30.400000000000002</v>
      </c>
      <c r="AD6" s="125" t="s">
        <v>322</v>
      </c>
      <c r="AE6" s="125"/>
      <c r="AF6" s="125"/>
      <c r="AG6" s="125"/>
      <c r="AH6" s="125"/>
      <c r="AJ6" s="125" t="s">
        <v>324</v>
      </c>
      <c r="AK6" s="125"/>
      <c r="AL6" s="125"/>
      <c r="AM6" s="125"/>
      <c r="AN6" s="125"/>
    </row>
    <row r="7" spans="1:40" x14ac:dyDescent="0.25">
      <c r="A7" s="124"/>
      <c r="B7" s="123">
        <v>26</v>
      </c>
      <c r="C7" s="123">
        <v>28</v>
      </c>
      <c r="D7" s="123">
        <v>2</v>
      </c>
      <c r="F7" s="17" t="s">
        <v>19</v>
      </c>
      <c r="G7" s="17">
        <v>5</v>
      </c>
      <c r="H7" s="17">
        <v>5</v>
      </c>
      <c r="I7" s="17">
        <v>5</v>
      </c>
      <c r="J7" s="17">
        <v>15</v>
      </c>
      <c r="N7" s="7"/>
      <c r="O7" s="7">
        <f>AVERAGE(O4:O6)</f>
        <v>25.266666666666666</v>
      </c>
      <c r="P7" s="7">
        <f>AVERAGE(P4:P6)</f>
        <v>22.266666666666666</v>
      </c>
      <c r="Q7" s="7">
        <f>AVERAGE(Q4:Q6)</f>
        <v>25.533333333333331</v>
      </c>
      <c r="R7" s="7"/>
      <c r="AD7" s="17" t="s">
        <v>19</v>
      </c>
      <c r="AE7" s="17">
        <v>5</v>
      </c>
      <c r="AF7" s="17">
        <v>5</v>
      </c>
      <c r="AG7" s="17">
        <v>5</v>
      </c>
      <c r="AH7" s="17">
        <v>15</v>
      </c>
      <c r="AJ7" s="17" t="s">
        <v>19</v>
      </c>
      <c r="AK7" s="17">
        <v>5</v>
      </c>
      <c r="AL7" s="17">
        <v>5</v>
      </c>
      <c r="AM7" s="17">
        <v>5</v>
      </c>
      <c r="AN7" s="17">
        <v>15</v>
      </c>
    </row>
    <row r="8" spans="1:40" x14ac:dyDescent="0.25">
      <c r="A8" s="124"/>
      <c r="B8" s="123">
        <v>19</v>
      </c>
      <c r="C8" s="123">
        <v>16</v>
      </c>
      <c r="D8" s="123">
        <v>19</v>
      </c>
      <c r="F8" s="17" t="s">
        <v>18</v>
      </c>
      <c r="G8" s="17">
        <v>114</v>
      </c>
      <c r="H8" s="17">
        <v>99</v>
      </c>
      <c r="I8" s="17">
        <v>50</v>
      </c>
      <c r="J8" s="17">
        <v>263</v>
      </c>
      <c r="AD8" s="17" t="s">
        <v>18</v>
      </c>
      <c r="AE8" s="17">
        <v>114</v>
      </c>
      <c r="AF8" s="17">
        <v>99</v>
      </c>
      <c r="AG8" s="17">
        <v>50</v>
      </c>
      <c r="AH8" s="17">
        <v>263</v>
      </c>
      <c r="AJ8" s="17" t="s">
        <v>18</v>
      </c>
      <c r="AK8" s="17">
        <v>140</v>
      </c>
      <c r="AL8" s="17">
        <v>130</v>
      </c>
      <c r="AM8" s="17">
        <v>186</v>
      </c>
      <c r="AN8" s="17">
        <v>456</v>
      </c>
    </row>
    <row r="9" spans="1:40" x14ac:dyDescent="0.25">
      <c r="A9" s="124"/>
      <c r="B9" s="123">
        <v>31</v>
      </c>
      <c r="C9" s="123">
        <v>23</v>
      </c>
      <c r="D9" s="58">
        <v>10</v>
      </c>
      <c r="F9" s="17" t="s">
        <v>134</v>
      </c>
      <c r="G9" s="17">
        <v>22.8</v>
      </c>
      <c r="H9" s="17">
        <v>19.8</v>
      </c>
      <c r="I9" s="17">
        <v>10</v>
      </c>
      <c r="J9" s="17">
        <v>17.533333333333335</v>
      </c>
      <c r="AD9" s="17" t="s">
        <v>134</v>
      </c>
      <c r="AE9" s="17">
        <v>22.8</v>
      </c>
      <c r="AF9" s="17">
        <v>19.8</v>
      </c>
      <c r="AG9" s="17">
        <v>10</v>
      </c>
      <c r="AH9" s="17">
        <v>17.533333333333335</v>
      </c>
      <c r="AJ9" s="17" t="s">
        <v>134</v>
      </c>
      <c r="AK9" s="17">
        <v>28</v>
      </c>
      <c r="AL9" s="17">
        <v>26</v>
      </c>
      <c r="AM9" s="17">
        <v>37.200000000000003</v>
      </c>
      <c r="AN9" s="17">
        <v>30.4</v>
      </c>
    </row>
    <row r="10" spans="1:40" ht="15.75" thickBot="1" x14ac:dyDescent="0.3">
      <c r="A10" s="140" t="s">
        <v>323</v>
      </c>
      <c r="B10" s="147">
        <v>33</v>
      </c>
      <c r="C10" s="147">
        <v>25</v>
      </c>
      <c r="D10" s="147">
        <v>30</v>
      </c>
      <c r="F10" s="17" t="s">
        <v>62</v>
      </c>
      <c r="G10" s="17">
        <v>38.200000000000045</v>
      </c>
      <c r="H10" s="17">
        <v>42.699999999999989</v>
      </c>
      <c r="I10" s="17">
        <v>37.5</v>
      </c>
      <c r="J10" s="17">
        <v>65.838095238095249</v>
      </c>
      <c r="N10" t="s">
        <v>327</v>
      </c>
      <c r="R10" s="115" t="s">
        <v>31</v>
      </c>
      <c r="S10" s="115">
        <v>0.05</v>
      </c>
      <c r="AD10" s="17" t="s">
        <v>62</v>
      </c>
      <c r="AE10" s="17">
        <v>38.200000000000045</v>
      </c>
      <c r="AF10" s="17">
        <v>42.699999999999989</v>
      </c>
      <c r="AG10" s="17">
        <v>37.5</v>
      </c>
      <c r="AH10" s="17">
        <v>65.838095238095249</v>
      </c>
      <c r="AJ10" s="17" t="s">
        <v>62</v>
      </c>
      <c r="AK10" s="17">
        <v>82</v>
      </c>
      <c r="AL10" s="17">
        <v>82</v>
      </c>
      <c r="AM10" s="17">
        <v>75.700000000000045</v>
      </c>
      <c r="AN10" s="17">
        <v>93.971428571428604</v>
      </c>
    </row>
    <row r="11" spans="1:40" ht="15.75" thickTop="1" x14ac:dyDescent="0.25">
      <c r="A11" s="124"/>
      <c r="B11" s="123">
        <v>26</v>
      </c>
      <c r="C11" s="123">
        <v>29</v>
      </c>
      <c r="D11" s="123">
        <v>29</v>
      </c>
      <c r="F11" s="17"/>
      <c r="G11" s="17"/>
      <c r="H11" s="17"/>
      <c r="I11" s="17"/>
      <c r="J11" s="17"/>
      <c r="N11" s="29" t="s">
        <v>61</v>
      </c>
      <c r="O11" s="29" t="s">
        <v>37</v>
      </c>
      <c r="P11" s="29" t="s">
        <v>4</v>
      </c>
      <c r="Q11" s="29" t="s">
        <v>28</v>
      </c>
      <c r="R11" s="29" t="s">
        <v>175</v>
      </c>
      <c r="S11" s="29" t="s">
        <v>177</v>
      </c>
      <c r="AD11" s="17"/>
      <c r="AE11" s="17"/>
      <c r="AF11" s="17"/>
      <c r="AG11" s="17"/>
      <c r="AH11" s="17"/>
      <c r="AJ11" s="17"/>
      <c r="AK11" s="17"/>
      <c r="AL11" s="17"/>
      <c r="AM11" s="17"/>
      <c r="AN11" s="17"/>
    </row>
    <row r="12" spans="1:40" ht="15.75" thickBot="1" x14ac:dyDescent="0.3">
      <c r="A12" s="124"/>
      <c r="B12" s="123">
        <v>15</v>
      </c>
      <c r="C12" s="123">
        <v>17</v>
      </c>
      <c r="D12" s="123">
        <v>39</v>
      </c>
      <c r="F12" s="125" t="s">
        <v>323</v>
      </c>
      <c r="G12" s="125"/>
      <c r="H12" s="125"/>
      <c r="I12" s="125"/>
      <c r="J12" s="125"/>
      <c r="N12" t="s">
        <v>319</v>
      </c>
      <c r="O12">
        <v>-1</v>
      </c>
      <c r="P12">
        <f>G27</f>
        <v>25.266666666666666</v>
      </c>
      <c r="Q12">
        <f>G25</f>
        <v>15</v>
      </c>
      <c r="R12">
        <f>O12^2/Q12</f>
        <v>6.6666666666666666E-2</v>
      </c>
      <c r="S12">
        <f>O12*P12</f>
        <v>-25.266666666666666</v>
      </c>
      <c r="AD12" s="125" t="s">
        <v>323</v>
      </c>
      <c r="AE12" s="125"/>
      <c r="AF12" s="125"/>
      <c r="AG12" s="125"/>
      <c r="AH12" s="125"/>
      <c r="AJ12" s="125" t="s">
        <v>1</v>
      </c>
      <c r="AK12" s="125"/>
      <c r="AL12" s="125"/>
      <c r="AM12" s="125"/>
      <c r="AN12" s="125"/>
    </row>
    <row r="13" spans="1:40" x14ac:dyDescent="0.25">
      <c r="A13" s="124"/>
      <c r="B13" s="123">
        <v>18</v>
      </c>
      <c r="C13" s="123">
        <v>22</v>
      </c>
      <c r="D13" s="123">
        <v>25</v>
      </c>
      <c r="F13" s="17" t="s">
        <v>19</v>
      </c>
      <c r="G13" s="17">
        <v>5</v>
      </c>
      <c r="H13" s="17">
        <v>5</v>
      </c>
      <c r="I13" s="17">
        <v>5</v>
      </c>
      <c r="J13" s="17">
        <v>15</v>
      </c>
      <c r="N13" t="s">
        <v>321</v>
      </c>
      <c r="O13">
        <v>0</v>
      </c>
      <c r="P13">
        <f>H27</f>
        <v>22.266666666666666</v>
      </c>
      <c r="Q13">
        <f>H25</f>
        <v>15</v>
      </c>
      <c r="R13">
        <f>O13^2/Q13</f>
        <v>0</v>
      </c>
      <c r="S13">
        <f>O13*P13</f>
        <v>0</v>
      </c>
      <c r="AD13" s="17" t="s">
        <v>19</v>
      </c>
      <c r="AE13" s="17">
        <v>5</v>
      </c>
      <c r="AF13" s="17">
        <v>5</v>
      </c>
      <c r="AG13" s="17">
        <v>5</v>
      </c>
      <c r="AH13" s="17">
        <v>15</v>
      </c>
      <c r="AJ13" s="17" t="s">
        <v>19</v>
      </c>
      <c r="AK13" s="17">
        <v>15</v>
      </c>
      <c r="AL13" s="17">
        <v>15</v>
      </c>
      <c r="AM13" s="17">
        <v>15</v>
      </c>
      <c r="AN13" s="17"/>
    </row>
    <row r="14" spans="1:40" x14ac:dyDescent="0.25">
      <c r="A14" s="124"/>
      <c r="B14" s="123">
        <v>33</v>
      </c>
      <c r="C14" s="123">
        <v>12</v>
      </c>
      <c r="D14" s="58">
        <v>24</v>
      </c>
      <c r="F14" s="17" t="s">
        <v>18</v>
      </c>
      <c r="G14" s="17">
        <v>125</v>
      </c>
      <c r="H14" s="17">
        <v>105</v>
      </c>
      <c r="I14" s="17">
        <v>147</v>
      </c>
      <c r="J14" s="17">
        <v>377</v>
      </c>
      <c r="N14" t="s">
        <v>320</v>
      </c>
      <c r="O14">
        <v>1</v>
      </c>
      <c r="P14">
        <f>I27</f>
        <v>25.533333333333335</v>
      </c>
      <c r="Q14">
        <f>I25</f>
        <v>15</v>
      </c>
      <c r="R14">
        <f>O14^2/Q14</f>
        <v>6.6666666666666666E-2</v>
      </c>
      <c r="S14">
        <f>O14*P14</f>
        <v>25.533333333333335</v>
      </c>
      <c r="AD14" s="17" t="s">
        <v>18</v>
      </c>
      <c r="AE14" s="17">
        <v>125</v>
      </c>
      <c r="AF14" s="17">
        <v>105</v>
      </c>
      <c r="AG14" s="17">
        <v>147</v>
      </c>
      <c r="AH14" s="17">
        <v>377</v>
      </c>
      <c r="AJ14" s="17" t="s">
        <v>18</v>
      </c>
      <c r="AK14" s="17">
        <v>379</v>
      </c>
      <c r="AL14" s="17">
        <v>334</v>
      </c>
      <c r="AM14" s="17">
        <v>383</v>
      </c>
      <c r="AN14" s="17"/>
    </row>
    <row r="15" spans="1:40" x14ac:dyDescent="0.25">
      <c r="A15" s="140" t="s">
        <v>324</v>
      </c>
      <c r="B15" s="147">
        <v>28</v>
      </c>
      <c r="C15" s="147">
        <v>16</v>
      </c>
      <c r="D15" s="147">
        <v>26</v>
      </c>
      <c r="F15" s="17" t="s">
        <v>134</v>
      </c>
      <c r="G15" s="17">
        <v>25</v>
      </c>
      <c r="H15" s="17">
        <v>21</v>
      </c>
      <c r="I15" s="17">
        <v>29.4</v>
      </c>
      <c r="J15" s="17">
        <v>25.133333333333333</v>
      </c>
      <c r="N15" s="59"/>
      <c r="O15" s="59"/>
      <c r="P15" s="59"/>
      <c r="Q15" s="59"/>
      <c r="R15" s="59">
        <f>SUM(R12:R14)</f>
        <v>0.13333333333333333</v>
      </c>
      <c r="S15" s="59">
        <f>SUM(S12:S14)</f>
        <v>0.26666666666666927</v>
      </c>
      <c r="AD15" s="17" t="s">
        <v>134</v>
      </c>
      <c r="AE15" s="17">
        <v>25</v>
      </c>
      <c r="AF15" s="17">
        <v>21</v>
      </c>
      <c r="AG15" s="17">
        <v>29.4</v>
      </c>
      <c r="AH15" s="17">
        <v>25.133333333333333</v>
      </c>
      <c r="AJ15" s="17" t="s">
        <v>134</v>
      </c>
      <c r="AK15" s="17">
        <v>25.266666666666666</v>
      </c>
      <c r="AL15" s="17">
        <v>22.266666666666666</v>
      </c>
      <c r="AM15" s="17">
        <v>25.533333333333335</v>
      </c>
      <c r="AN15" s="17"/>
    </row>
    <row r="16" spans="1:40" ht="15.75" thickBot="1" x14ac:dyDescent="0.3">
      <c r="A16" s="124"/>
      <c r="B16" s="123">
        <v>20</v>
      </c>
      <c r="C16" s="123">
        <v>18</v>
      </c>
      <c r="D16" s="123">
        <v>37</v>
      </c>
      <c r="F16" s="17" t="s">
        <v>62</v>
      </c>
      <c r="G16" s="17">
        <v>69.5</v>
      </c>
      <c r="H16" s="17">
        <v>44.5</v>
      </c>
      <c r="I16" s="17">
        <v>35.299999999999955</v>
      </c>
      <c r="J16" s="17">
        <v>55.266666666666687</v>
      </c>
      <c r="N16" t="s">
        <v>176</v>
      </c>
      <c r="AD16" s="17" t="s">
        <v>62</v>
      </c>
      <c r="AE16" s="17">
        <v>69.5</v>
      </c>
      <c r="AF16" s="17">
        <v>44.5</v>
      </c>
      <c r="AG16" s="17">
        <v>35.299999999999955</v>
      </c>
      <c r="AH16" s="17">
        <v>55.266666666666687</v>
      </c>
      <c r="AJ16" s="17" t="s">
        <v>62</v>
      </c>
      <c r="AK16" s="17">
        <v>59.066666666666606</v>
      </c>
      <c r="AL16" s="17">
        <v>56.06666666666667</v>
      </c>
      <c r="AM16" s="17">
        <v>182.55238095238096</v>
      </c>
      <c r="AN16" s="17"/>
    </row>
    <row r="17" spans="1:36" ht="15.75" thickTop="1" x14ac:dyDescent="0.25">
      <c r="A17" s="124"/>
      <c r="B17" s="123">
        <v>18</v>
      </c>
      <c r="C17" s="123">
        <v>26</v>
      </c>
      <c r="D17" s="123">
        <v>39</v>
      </c>
      <c r="F17" s="17"/>
      <c r="G17" s="17"/>
      <c r="H17" s="17"/>
      <c r="I17" s="17"/>
      <c r="J17" s="17"/>
      <c r="N17" s="29" t="s">
        <v>85</v>
      </c>
      <c r="O17" s="29" t="s">
        <v>67</v>
      </c>
      <c r="P17" s="29" t="s">
        <v>51</v>
      </c>
      <c r="Q17" s="29" t="s">
        <v>56</v>
      </c>
      <c r="R17" s="29" t="s">
        <v>188</v>
      </c>
      <c r="AD17" s="17"/>
      <c r="AE17" s="17"/>
      <c r="AF17" s="17"/>
      <c r="AG17" s="17"/>
      <c r="AH17" s="17"/>
    </row>
    <row r="18" spans="1:36" ht="15.75" thickBot="1" x14ac:dyDescent="0.3">
      <c r="A18" s="124"/>
      <c r="B18" s="123">
        <v>36</v>
      </c>
      <c r="C18" s="123">
        <v>36</v>
      </c>
      <c r="D18" s="123">
        <v>34</v>
      </c>
      <c r="F18" s="125" t="s">
        <v>324</v>
      </c>
      <c r="G18" s="125"/>
      <c r="H18" s="125"/>
      <c r="I18" s="125"/>
      <c r="J18" s="125"/>
      <c r="N18" s="79">
        <f>SQRT($I$36*R15)</f>
        <v>2.74172154622548</v>
      </c>
      <c r="O18" s="79">
        <f>ABS(S15/N18)</f>
        <v>9.7262490800274187E-2</v>
      </c>
      <c r="P18" s="79">
        <f>$H$36</f>
        <v>36</v>
      </c>
      <c r="Q18" s="79">
        <f>TDIST(O18,P18,2)</f>
        <v>0.92305743569365706</v>
      </c>
      <c r="R18" s="80" t="str">
        <f>IF(Q18&lt;S10,"yes","no")</f>
        <v>no</v>
      </c>
      <c r="AD18" t="s">
        <v>101</v>
      </c>
    </row>
    <row r="19" spans="1:36" x14ac:dyDescent="0.25">
      <c r="A19" s="9"/>
      <c r="B19" s="58">
        <v>38</v>
      </c>
      <c r="C19" s="58">
        <v>34</v>
      </c>
      <c r="D19" s="58">
        <v>50</v>
      </c>
      <c r="F19" s="17" t="s">
        <v>19</v>
      </c>
      <c r="G19" s="17">
        <v>5</v>
      </c>
      <c r="H19" s="17">
        <v>5</v>
      </c>
      <c r="I19" s="17">
        <v>5</v>
      </c>
      <c r="J19" s="17">
        <v>15</v>
      </c>
      <c r="AD19" s="116" t="s">
        <v>331</v>
      </c>
      <c r="AE19" s="116" t="s">
        <v>88</v>
      </c>
      <c r="AF19" s="116" t="s">
        <v>51</v>
      </c>
      <c r="AG19" s="116" t="s">
        <v>92</v>
      </c>
      <c r="AH19" s="116" t="s">
        <v>82</v>
      </c>
      <c r="AI19" s="116" t="s">
        <v>74</v>
      </c>
      <c r="AJ19" s="116" t="s">
        <v>136</v>
      </c>
    </row>
    <row r="20" spans="1:36" x14ac:dyDescent="0.25">
      <c r="A20" s="124"/>
      <c r="F20" s="17" t="s">
        <v>18</v>
      </c>
      <c r="G20" s="17">
        <v>140</v>
      </c>
      <c r="H20" s="17">
        <v>130</v>
      </c>
      <c r="I20" s="17">
        <v>186</v>
      </c>
      <c r="J20" s="17">
        <v>456</v>
      </c>
      <c r="AD20" s="17" t="s">
        <v>325</v>
      </c>
      <c r="AE20" s="17">
        <v>1255.2444444444445</v>
      </c>
      <c r="AF20" s="17">
        <v>2</v>
      </c>
      <c r="AG20" s="17">
        <v>627.62222222222226</v>
      </c>
      <c r="AH20" s="17">
        <v>11.132439889633426</v>
      </c>
      <c r="AI20" s="17">
        <v>1.7223508725008565E-4</v>
      </c>
      <c r="AJ20" s="17">
        <v>3.2594463061441079</v>
      </c>
    </row>
    <row r="21" spans="1:36" ht="15.75" thickBot="1" x14ac:dyDescent="0.3">
      <c r="A21" s="124"/>
      <c r="F21" s="17" t="s">
        <v>134</v>
      </c>
      <c r="G21" s="17">
        <v>28</v>
      </c>
      <c r="H21" s="17">
        <v>26</v>
      </c>
      <c r="I21" s="17">
        <v>37.200000000000003</v>
      </c>
      <c r="J21" s="17">
        <v>30.4</v>
      </c>
      <c r="N21" t="s">
        <v>328</v>
      </c>
      <c r="R21" s="115" t="s">
        <v>31</v>
      </c>
      <c r="S21" s="115">
        <v>0.05</v>
      </c>
      <c r="AD21" s="17" t="s">
        <v>334</v>
      </c>
      <c r="AE21" s="17">
        <v>98.711111111110768</v>
      </c>
      <c r="AF21" s="17">
        <v>2</v>
      </c>
      <c r="AG21" s="17">
        <v>49.355555555555384</v>
      </c>
      <c r="AH21" s="17">
        <v>0.87544343713046613</v>
      </c>
      <c r="AI21" s="17">
        <v>0.4253595167957771</v>
      </c>
      <c r="AJ21" s="17">
        <v>3.2594463061441079</v>
      </c>
    </row>
    <row r="22" spans="1:36" ht="15.75" thickTop="1" x14ac:dyDescent="0.25">
      <c r="A22" s="124"/>
      <c r="F22" s="17" t="s">
        <v>62</v>
      </c>
      <c r="G22" s="17">
        <v>82</v>
      </c>
      <c r="H22" s="17">
        <v>82</v>
      </c>
      <c r="I22" s="17">
        <v>75.700000000000045</v>
      </c>
      <c r="J22" s="17">
        <v>93.971428571428604</v>
      </c>
      <c r="N22" s="29" t="s">
        <v>61</v>
      </c>
      <c r="O22" s="29" t="s">
        <v>37</v>
      </c>
      <c r="P22" s="29" t="s">
        <v>4</v>
      </c>
      <c r="Q22" s="29" t="s">
        <v>28</v>
      </c>
      <c r="R22" s="29" t="s">
        <v>175</v>
      </c>
      <c r="S22" s="29" t="s">
        <v>177</v>
      </c>
      <c r="AD22" s="17" t="s">
        <v>120</v>
      </c>
      <c r="AE22" s="17">
        <v>882.75555555555593</v>
      </c>
      <c r="AF22" s="17">
        <v>4</v>
      </c>
      <c r="AG22" s="17">
        <v>220.68888888888898</v>
      </c>
      <c r="AH22" s="17">
        <v>3.914465904611748</v>
      </c>
      <c r="AI22" s="17">
        <v>9.7039309182118168E-3</v>
      </c>
      <c r="AJ22" s="17">
        <v>2.6335320942137543</v>
      </c>
    </row>
    <row r="23" spans="1:36" x14ac:dyDescent="0.25">
      <c r="A23" s="124"/>
      <c r="F23" s="17"/>
      <c r="G23" s="17"/>
      <c r="H23" s="17"/>
      <c r="I23" s="17"/>
      <c r="J23" s="17"/>
      <c r="N23" s="7" t="s">
        <v>322</v>
      </c>
      <c r="P23">
        <f>J9</f>
        <v>17.533333333333335</v>
      </c>
      <c r="Q23">
        <f>J7</f>
        <v>15</v>
      </c>
      <c r="R23">
        <f>O23^2/Q23</f>
        <v>0</v>
      </c>
      <c r="S23">
        <f>O23*P23</f>
        <v>0</v>
      </c>
      <c r="AD23" s="17" t="s">
        <v>249</v>
      </c>
      <c r="AE23" s="17">
        <v>2029.6</v>
      </c>
      <c r="AF23" s="17">
        <v>36</v>
      </c>
      <c r="AG23" s="17">
        <v>56.377777777777773</v>
      </c>
      <c r="AH23" s="17"/>
      <c r="AI23" s="17"/>
      <c r="AJ23" s="17"/>
    </row>
    <row r="24" spans="1:36" ht="15.75" thickBot="1" x14ac:dyDescent="0.3">
      <c r="A24" s="124"/>
      <c r="F24" s="125" t="s">
        <v>1</v>
      </c>
      <c r="G24" s="125"/>
      <c r="H24" s="125"/>
      <c r="I24" s="125"/>
      <c r="J24" s="125"/>
      <c r="N24" s="7" t="s">
        <v>323</v>
      </c>
      <c r="O24">
        <v>-1</v>
      </c>
      <c r="P24">
        <f>J15</f>
        <v>25.133333333333333</v>
      </c>
      <c r="Q24">
        <f>J13</f>
        <v>15</v>
      </c>
      <c r="R24">
        <f>O24^2/Q24</f>
        <v>6.6666666666666666E-2</v>
      </c>
      <c r="S24">
        <f>O24*P24</f>
        <v>-25.133333333333333</v>
      </c>
      <c r="AD24" s="18" t="s">
        <v>1</v>
      </c>
      <c r="AE24" s="18">
        <v>4266.3111111111111</v>
      </c>
      <c r="AF24" s="18">
        <v>44</v>
      </c>
      <c r="AG24" s="18"/>
      <c r="AH24" s="18"/>
      <c r="AI24" s="18"/>
      <c r="AJ24" s="18"/>
    </row>
    <row r="25" spans="1:36" x14ac:dyDescent="0.25">
      <c r="A25" s="124"/>
      <c r="F25" s="17" t="s">
        <v>19</v>
      </c>
      <c r="G25" s="17">
        <v>15</v>
      </c>
      <c r="H25" s="17">
        <v>15</v>
      </c>
      <c r="I25" s="17">
        <v>15</v>
      </c>
      <c r="J25" s="17"/>
      <c r="N25" s="7" t="s">
        <v>324</v>
      </c>
      <c r="O25">
        <v>1</v>
      </c>
      <c r="P25">
        <f>J21</f>
        <v>30.4</v>
      </c>
      <c r="Q25">
        <f>J19</f>
        <v>15</v>
      </c>
      <c r="R25">
        <f>O25^2/Q25</f>
        <v>6.6666666666666666E-2</v>
      </c>
      <c r="S25">
        <f>O25*P25</f>
        <v>30.4</v>
      </c>
    </row>
    <row r="26" spans="1:36" x14ac:dyDescent="0.25">
      <c r="A26" s="124"/>
      <c r="F26" s="17" t="s">
        <v>18</v>
      </c>
      <c r="G26" s="17">
        <v>379</v>
      </c>
      <c r="H26" s="17">
        <v>334</v>
      </c>
      <c r="I26" s="17">
        <v>383</v>
      </c>
      <c r="J26" s="17"/>
      <c r="N26" s="59"/>
      <c r="O26" s="59"/>
      <c r="P26" s="59"/>
      <c r="Q26" s="59"/>
      <c r="R26" s="59">
        <f>SUM(R23:R25)</f>
        <v>0.13333333333333333</v>
      </c>
      <c r="S26" s="59">
        <f>SUM(S23:S25)</f>
        <v>5.2666666666666657</v>
      </c>
    </row>
    <row r="27" spans="1:36" ht="15.75" thickBot="1" x14ac:dyDescent="0.3">
      <c r="A27" s="124"/>
      <c r="F27" s="17" t="s">
        <v>134</v>
      </c>
      <c r="G27" s="17">
        <v>25.266666666666666</v>
      </c>
      <c r="H27" s="17">
        <v>22.266666666666666</v>
      </c>
      <c r="I27" s="17">
        <v>25.533333333333335</v>
      </c>
      <c r="J27" s="17"/>
      <c r="N27" t="s">
        <v>176</v>
      </c>
    </row>
    <row r="28" spans="1:36" ht="15.75" thickTop="1" x14ac:dyDescent="0.25">
      <c r="A28" s="124"/>
      <c r="F28" s="17" t="s">
        <v>62</v>
      </c>
      <c r="G28" s="17">
        <v>59.066666666666606</v>
      </c>
      <c r="H28" s="17">
        <v>56.06666666666667</v>
      </c>
      <c r="I28" s="17">
        <v>182.55238095238096</v>
      </c>
      <c r="J28" s="17"/>
      <c r="N28" s="29" t="s">
        <v>85</v>
      </c>
      <c r="O28" s="29" t="s">
        <v>67</v>
      </c>
      <c r="P28" s="29" t="s">
        <v>51</v>
      </c>
      <c r="Q28" s="29" t="s">
        <v>56</v>
      </c>
      <c r="R28" s="29" t="s">
        <v>188</v>
      </c>
    </row>
    <row r="29" spans="1:36" x14ac:dyDescent="0.25">
      <c r="A29" s="124"/>
      <c r="F29" s="17"/>
      <c r="G29" s="17"/>
      <c r="H29" s="17"/>
      <c r="I29" s="17"/>
      <c r="J29" s="17"/>
      <c r="N29" s="79">
        <f>SQRT($I$36*R26)</f>
        <v>2.74172154622548</v>
      </c>
      <c r="O29" s="79">
        <f>ABS(S26/N29)</f>
        <v>1.9209341933053961</v>
      </c>
      <c r="P29" s="79">
        <f>$H$36</f>
        <v>36</v>
      </c>
      <c r="Q29" s="79">
        <f>TDIST(O29,P29,2)</f>
        <v>6.2686911944520182E-2</v>
      </c>
      <c r="R29" s="80" t="str">
        <f>IF(Q29&lt;S21,"yes","no")</f>
        <v>no</v>
      </c>
      <c r="AD29" s="17"/>
      <c r="AE29" s="17"/>
      <c r="AF29" s="17"/>
      <c r="AG29" s="17"/>
      <c r="AH29" s="17"/>
    </row>
    <row r="30" spans="1:36" x14ac:dyDescent="0.25">
      <c r="A30" s="124"/>
    </row>
    <row r="31" spans="1:36" ht="15.75" thickBot="1" x14ac:dyDescent="0.3">
      <c r="A31" s="124"/>
      <c r="F31" t="s">
        <v>101</v>
      </c>
    </row>
    <row r="32" spans="1:36" ht="15.75" thickBot="1" x14ac:dyDescent="0.3">
      <c r="A32" s="124"/>
      <c r="F32" s="116" t="s">
        <v>135</v>
      </c>
      <c r="G32" s="116" t="s">
        <v>88</v>
      </c>
      <c r="H32" s="116" t="s">
        <v>51</v>
      </c>
      <c r="I32" s="116" t="s">
        <v>92</v>
      </c>
      <c r="J32" s="116" t="s">
        <v>82</v>
      </c>
      <c r="K32" s="116" t="s">
        <v>74</v>
      </c>
      <c r="L32" s="116" t="s">
        <v>136</v>
      </c>
      <c r="N32" t="s">
        <v>329</v>
      </c>
      <c r="R32" s="115" t="s">
        <v>31</v>
      </c>
      <c r="S32" s="115">
        <v>0.05</v>
      </c>
    </row>
    <row r="33" spans="1:19" ht="15.75" thickTop="1" x14ac:dyDescent="0.25">
      <c r="A33" s="124"/>
      <c r="F33" s="17" t="s">
        <v>69</v>
      </c>
      <c r="G33" s="17">
        <v>1255.2444444444445</v>
      </c>
      <c r="H33" s="17">
        <v>2</v>
      </c>
      <c r="I33" s="17">
        <v>627.62222222222226</v>
      </c>
      <c r="J33" s="17">
        <v>11.132439889633426</v>
      </c>
      <c r="K33" s="17">
        <v>1.7223508725008565E-4</v>
      </c>
      <c r="L33" s="17">
        <v>3.2594463061441079</v>
      </c>
      <c r="N33" s="29" t="s">
        <v>61</v>
      </c>
      <c r="O33" s="29" t="s">
        <v>37</v>
      </c>
      <c r="P33" s="29" t="s">
        <v>4</v>
      </c>
      <c r="Q33" s="29" t="s">
        <v>28</v>
      </c>
      <c r="R33" s="29" t="s">
        <v>175</v>
      </c>
      <c r="S33" s="29" t="s">
        <v>177</v>
      </c>
    </row>
    <row r="34" spans="1:19" x14ac:dyDescent="0.25">
      <c r="A34" s="124"/>
      <c r="F34" s="17" t="s">
        <v>238</v>
      </c>
      <c r="G34" s="17">
        <v>98.711111111110768</v>
      </c>
      <c r="H34" s="17">
        <v>2</v>
      </c>
      <c r="I34" s="17">
        <v>49.355555555555384</v>
      </c>
      <c r="J34" s="17">
        <v>0.87544343713046613</v>
      </c>
      <c r="K34" s="17">
        <v>0.4253595167957771</v>
      </c>
      <c r="L34" s="17">
        <v>3.2594463061441079</v>
      </c>
      <c r="N34" t="s">
        <v>319</v>
      </c>
      <c r="O34">
        <v>-1</v>
      </c>
      <c r="P34">
        <f>G21</f>
        <v>28</v>
      </c>
      <c r="Q34">
        <f>G19</f>
        <v>5</v>
      </c>
      <c r="R34">
        <f>O34^2/Q34</f>
        <v>0.2</v>
      </c>
      <c r="S34">
        <f>O34*P34</f>
        <v>-28</v>
      </c>
    </row>
    <row r="35" spans="1:19" x14ac:dyDescent="0.25">
      <c r="A35" s="124"/>
      <c r="F35" s="17" t="s">
        <v>120</v>
      </c>
      <c r="G35" s="17">
        <v>882.75555555555593</v>
      </c>
      <c r="H35" s="17">
        <v>4</v>
      </c>
      <c r="I35" s="17">
        <v>220.68888888888898</v>
      </c>
      <c r="J35" s="17">
        <v>3.914465904611748</v>
      </c>
      <c r="K35" s="17">
        <v>9.7039309182118168E-3</v>
      </c>
      <c r="L35" s="17">
        <v>2.6335320942137543</v>
      </c>
      <c r="N35" t="s">
        <v>321</v>
      </c>
      <c r="O35">
        <v>0</v>
      </c>
      <c r="P35">
        <f>H21</f>
        <v>26</v>
      </c>
      <c r="Q35">
        <f>H19</f>
        <v>5</v>
      </c>
      <c r="R35">
        <f>O35^2/Q35</f>
        <v>0</v>
      </c>
      <c r="S35">
        <f>O35*P35</f>
        <v>0</v>
      </c>
    </row>
    <row r="36" spans="1:19" x14ac:dyDescent="0.25">
      <c r="A36" s="124"/>
      <c r="F36" s="17" t="s">
        <v>249</v>
      </c>
      <c r="G36" s="17">
        <v>2029.6</v>
      </c>
      <c r="H36" s="17">
        <v>36</v>
      </c>
      <c r="I36" s="17">
        <v>56.377777777777773</v>
      </c>
      <c r="J36" s="17"/>
      <c r="K36" s="17"/>
      <c r="L36" s="17"/>
      <c r="N36" t="s">
        <v>320</v>
      </c>
      <c r="O36">
        <v>1</v>
      </c>
      <c r="P36">
        <f>I21</f>
        <v>37.200000000000003</v>
      </c>
      <c r="Q36">
        <f>I19</f>
        <v>5</v>
      </c>
      <c r="R36">
        <f>O36^2/Q36</f>
        <v>0.2</v>
      </c>
      <c r="S36">
        <f>O36*P36</f>
        <v>37.200000000000003</v>
      </c>
    </row>
    <row r="37" spans="1:19" x14ac:dyDescent="0.25">
      <c r="A37" s="124"/>
      <c r="F37" s="17"/>
      <c r="G37" s="17"/>
      <c r="H37" s="17"/>
      <c r="I37" s="17"/>
      <c r="J37" s="17"/>
      <c r="K37" s="17"/>
      <c r="L37" s="17"/>
      <c r="N37" s="59"/>
      <c r="O37" s="59"/>
      <c r="P37" s="59"/>
      <c r="Q37" s="59"/>
      <c r="R37" s="59">
        <f>SUM(R34:R36)</f>
        <v>0.4</v>
      </c>
      <c r="S37" s="59">
        <f>SUM(S34:S36)</f>
        <v>9.2000000000000028</v>
      </c>
    </row>
    <row r="38" spans="1:19" ht="15.75" thickBot="1" x14ac:dyDescent="0.3">
      <c r="F38" s="18" t="s">
        <v>1</v>
      </c>
      <c r="G38" s="18">
        <v>4266.3111111111111</v>
      </c>
      <c r="H38" s="18">
        <v>44</v>
      </c>
      <c r="I38" s="18"/>
      <c r="J38" s="18"/>
      <c r="K38" s="18"/>
      <c r="L38" s="18"/>
      <c r="N38" t="s">
        <v>176</v>
      </c>
    </row>
    <row r="39" spans="1:19" ht="15.75" thickTop="1" x14ac:dyDescent="0.25">
      <c r="N39" s="29" t="s">
        <v>85</v>
      </c>
      <c r="O39" s="29" t="s">
        <v>67</v>
      </c>
      <c r="P39" s="29" t="s">
        <v>51</v>
      </c>
      <c r="Q39" s="29" t="s">
        <v>56</v>
      </c>
      <c r="R39" s="29" t="s">
        <v>188</v>
      </c>
    </row>
    <row r="40" spans="1:19" x14ac:dyDescent="0.25">
      <c r="N40" s="79">
        <f>SQRT($I$36*R37)</f>
        <v>4.7488010182688338</v>
      </c>
      <c r="O40" s="79">
        <f>ABS(S37/N40)</f>
        <v>1.9373311209728987</v>
      </c>
      <c r="P40" s="79">
        <f>$H$36</f>
        <v>36</v>
      </c>
      <c r="Q40" s="79">
        <f>TDIST(O40,P40,2)</f>
        <v>6.0581630034107048E-2</v>
      </c>
      <c r="R40" s="80" t="str">
        <f>IF(Q40&lt;S32,"yes","no")</f>
        <v>no</v>
      </c>
    </row>
    <row r="42" spans="1:19" x14ac:dyDescent="0.25">
      <c r="B42" s="574" t="s">
        <v>326</v>
      </c>
      <c r="C42" s="575"/>
      <c r="D42" s="576"/>
      <c r="F42" t="s">
        <v>332</v>
      </c>
    </row>
    <row r="43" spans="1:19" ht="15.75" thickBot="1" x14ac:dyDescent="0.3">
      <c r="A43" s="135" t="s">
        <v>325</v>
      </c>
      <c r="B43" s="153" t="s">
        <v>319</v>
      </c>
      <c r="C43" s="153" t="s">
        <v>321</v>
      </c>
      <c r="D43" s="153" t="s">
        <v>320</v>
      </c>
      <c r="N43" t="s">
        <v>330</v>
      </c>
      <c r="R43" s="115" t="s">
        <v>31</v>
      </c>
      <c r="S43" s="115">
        <v>0.05</v>
      </c>
    </row>
    <row r="44" spans="1:19" ht="16.5" thickTop="1" thickBot="1" x14ac:dyDescent="0.3">
      <c r="A44" s="140" t="s">
        <v>322</v>
      </c>
      <c r="B44" s="147">
        <v>15</v>
      </c>
      <c r="C44" s="147">
        <v>21</v>
      </c>
      <c r="D44" s="147">
        <v>11</v>
      </c>
      <c r="F44" t="s">
        <v>52</v>
      </c>
      <c r="N44" s="29" t="s">
        <v>61</v>
      </c>
      <c r="O44" s="29" t="s">
        <v>37</v>
      </c>
      <c r="P44" s="29" t="s">
        <v>4</v>
      </c>
      <c r="Q44" s="29" t="s">
        <v>28</v>
      </c>
      <c r="R44" s="29" t="s">
        <v>175</v>
      </c>
      <c r="S44" s="29" t="s">
        <v>177</v>
      </c>
    </row>
    <row r="45" spans="1:19" x14ac:dyDescent="0.25">
      <c r="A45" s="124"/>
      <c r="B45" s="123">
        <v>23</v>
      </c>
      <c r="C45" s="123">
        <v>11</v>
      </c>
      <c r="D45" s="123">
        <v>8</v>
      </c>
      <c r="F45" s="116" t="s">
        <v>61</v>
      </c>
      <c r="G45" s="116" t="s">
        <v>19</v>
      </c>
      <c r="H45" s="116" t="s">
        <v>18</v>
      </c>
      <c r="I45" s="116" t="s">
        <v>134</v>
      </c>
      <c r="J45" s="116" t="s">
        <v>62</v>
      </c>
      <c r="N45" s="7" t="s">
        <v>322</v>
      </c>
      <c r="O45">
        <v>-1</v>
      </c>
      <c r="P45">
        <f>I9</f>
        <v>10</v>
      </c>
      <c r="Q45">
        <f>I7</f>
        <v>5</v>
      </c>
      <c r="R45">
        <f>O45^2/Q45</f>
        <v>0.2</v>
      </c>
      <c r="S45">
        <f>O45*P45</f>
        <v>-10</v>
      </c>
    </row>
    <row r="46" spans="1:19" x14ac:dyDescent="0.25">
      <c r="A46" s="124"/>
      <c r="B46" s="123">
        <v>26</v>
      </c>
      <c r="C46" s="123">
        <v>28</v>
      </c>
      <c r="D46" s="123">
        <v>2</v>
      </c>
      <c r="F46" s="17" t="s">
        <v>319</v>
      </c>
      <c r="G46" s="17">
        <v>5</v>
      </c>
      <c r="H46" s="17">
        <v>114</v>
      </c>
      <c r="I46" s="17">
        <v>22.8</v>
      </c>
      <c r="J46" s="17">
        <v>38.200000000000045</v>
      </c>
      <c r="N46" s="7" t="s">
        <v>323</v>
      </c>
      <c r="O46">
        <v>0</v>
      </c>
      <c r="P46">
        <f>I15</f>
        <v>29.4</v>
      </c>
      <c r="Q46">
        <f>I13</f>
        <v>5</v>
      </c>
      <c r="R46">
        <f>O46^2/Q46</f>
        <v>0</v>
      </c>
      <c r="S46">
        <f>O46*P46</f>
        <v>0</v>
      </c>
    </row>
    <row r="47" spans="1:19" x14ac:dyDescent="0.25">
      <c r="A47" s="124"/>
      <c r="B47" s="123">
        <v>19</v>
      </c>
      <c r="C47" s="123">
        <v>16</v>
      </c>
      <c r="D47" s="123">
        <v>19</v>
      </c>
      <c r="F47" s="17" t="s">
        <v>321</v>
      </c>
      <c r="G47" s="17">
        <v>5</v>
      </c>
      <c r="H47" s="17">
        <v>99</v>
      </c>
      <c r="I47" s="17">
        <v>19.8</v>
      </c>
      <c r="J47" s="17">
        <v>42.699999999999989</v>
      </c>
      <c r="N47" s="7" t="s">
        <v>324</v>
      </c>
      <c r="O47">
        <v>1</v>
      </c>
      <c r="P47">
        <f>I21</f>
        <v>37.200000000000003</v>
      </c>
      <c r="Q47">
        <f>I19</f>
        <v>5</v>
      </c>
      <c r="R47">
        <f>O47^2/Q47</f>
        <v>0.2</v>
      </c>
      <c r="S47">
        <f>O47*P47</f>
        <v>37.200000000000003</v>
      </c>
    </row>
    <row r="48" spans="1:19" ht="15.75" thickBot="1" x14ac:dyDescent="0.3">
      <c r="A48" s="9"/>
      <c r="B48" s="58">
        <v>31</v>
      </c>
      <c r="C48" s="58">
        <v>23</v>
      </c>
      <c r="D48" s="58">
        <v>10</v>
      </c>
      <c r="F48" s="18" t="s">
        <v>320</v>
      </c>
      <c r="G48" s="18">
        <v>5</v>
      </c>
      <c r="H48" s="18">
        <v>50</v>
      </c>
      <c r="I48" s="18">
        <v>10</v>
      </c>
      <c r="J48" s="18">
        <v>37.5</v>
      </c>
      <c r="N48" s="59"/>
      <c r="O48" s="59"/>
      <c r="P48" s="59"/>
      <c r="Q48" s="59"/>
      <c r="R48" s="59">
        <f>SUM(R45:R47)</f>
        <v>0.4</v>
      </c>
      <c r="S48" s="59">
        <f>SUM(S45:S47)</f>
        <v>27.200000000000003</v>
      </c>
    </row>
    <row r="49" spans="2:18" ht="15.75" thickBot="1" x14ac:dyDescent="0.3">
      <c r="N49" t="s">
        <v>176</v>
      </c>
    </row>
    <row r="50" spans="2:18" ht="15.75" thickTop="1" x14ac:dyDescent="0.25">
      <c r="N50" s="29" t="s">
        <v>85</v>
      </c>
      <c r="O50" s="29" t="s">
        <v>67</v>
      </c>
      <c r="P50" s="29" t="s">
        <v>51</v>
      </c>
      <c r="Q50" s="29" t="s">
        <v>56</v>
      </c>
      <c r="R50" s="29" t="s">
        <v>188</v>
      </c>
    </row>
    <row r="51" spans="2:18" ht="15.75" thickBot="1" x14ac:dyDescent="0.3">
      <c r="F51" t="s">
        <v>101</v>
      </c>
      <c r="N51" s="79">
        <f>SQRT($I$36*R48)</f>
        <v>4.7488010182688338</v>
      </c>
      <c r="O51" s="79">
        <f>ABS(S48/N51)</f>
        <v>5.7277615750503079</v>
      </c>
      <c r="P51" s="79">
        <f>$H$36</f>
        <v>36</v>
      </c>
      <c r="Q51" s="79">
        <f>TDIST(O51,P51,2)</f>
        <v>1.6063932356798048E-6</v>
      </c>
      <c r="R51" s="80" t="str">
        <f>IF(Q51&lt;S43,"yes","no")</f>
        <v>yes</v>
      </c>
    </row>
    <row r="52" spans="2:18" x14ac:dyDescent="0.25">
      <c r="F52" s="116" t="s">
        <v>135</v>
      </c>
      <c r="G52" s="116" t="s">
        <v>88</v>
      </c>
      <c r="H52" s="116" t="s">
        <v>51</v>
      </c>
      <c r="I52" s="116" t="s">
        <v>92</v>
      </c>
      <c r="J52" s="116" t="s">
        <v>82</v>
      </c>
      <c r="K52" s="116" t="s">
        <v>74</v>
      </c>
      <c r="L52" s="116" t="s">
        <v>136</v>
      </c>
    </row>
    <row r="53" spans="2:18" x14ac:dyDescent="0.25">
      <c r="F53" s="17" t="s">
        <v>131</v>
      </c>
      <c r="G53" s="17">
        <v>448.13333333333333</v>
      </c>
      <c r="H53" s="17">
        <v>2</v>
      </c>
      <c r="I53" s="17">
        <v>224.06666666666666</v>
      </c>
      <c r="J53" s="17">
        <v>5.6773648648648649</v>
      </c>
      <c r="K53" s="17">
        <v>1.8400871874626679E-2</v>
      </c>
      <c r="L53" s="17">
        <v>3.8852938346523942</v>
      </c>
    </row>
    <row r="54" spans="2:18" x14ac:dyDescent="0.25">
      <c r="F54" s="17" t="s">
        <v>132</v>
      </c>
      <c r="G54" s="17">
        <v>473.6</v>
      </c>
      <c r="H54" s="17">
        <v>12</v>
      </c>
      <c r="I54" s="17">
        <v>39.466666666666669</v>
      </c>
      <c r="J54" s="17"/>
      <c r="K54" s="17"/>
      <c r="L54" s="17"/>
    </row>
    <row r="55" spans="2:18" x14ac:dyDescent="0.25">
      <c r="F55" s="17"/>
      <c r="G55" s="17"/>
      <c r="H55" s="17"/>
      <c r="I55" s="17"/>
      <c r="J55" s="17"/>
      <c r="K55" s="17"/>
      <c r="L55" s="17"/>
    </row>
    <row r="56" spans="2:18" ht="15.75" thickBot="1" x14ac:dyDescent="0.3">
      <c r="F56" s="18" t="s">
        <v>1</v>
      </c>
      <c r="G56" s="18">
        <v>921.73333333333335</v>
      </c>
      <c r="H56" s="18">
        <v>14</v>
      </c>
      <c r="I56" s="18"/>
      <c r="J56" s="18"/>
      <c r="K56" s="18"/>
      <c r="L56" s="18"/>
    </row>
    <row r="59" spans="2:18" x14ac:dyDescent="0.25">
      <c r="B59" s="12" t="s">
        <v>322</v>
      </c>
      <c r="C59" s="12" t="s">
        <v>323</v>
      </c>
      <c r="D59" s="12" t="s">
        <v>324</v>
      </c>
      <c r="F59" t="s">
        <v>333</v>
      </c>
    </row>
    <row r="60" spans="2:18" x14ac:dyDescent="0.25">
      <c r="B60" s="147">
        <v>15</v>
      </c>
      <c r="C60" s="147">
        <v>33</v>
      </c>
      <c r="D60" s="147">
        <v>28</v>
      </c>
    </row>
    <row r="61" spans="2:18" ht="15.75" thickBot="1" x14ac:dyDescent="0.3">
      <c r="B61" s="123">
        <v>23</v>
      </c>
      <c r="C61" s="123">
        <v>26</v>
      </c>
      <c r="D61" s="123">
        <v>20</v>
      </c>
      <c r="F61" t="s">
        <v>52</v>
      </c>
    </row>
    <row r="62" spans="2:18" x14ac:dyDescent="0.25">
      <c r="B62" s="123">
        <v>26</v>
      </c>
      <c r="C62" s="123">
        <v>15</v>
      </c>
      <c r="D62" s="123">
        <v>18</v>
      </c>
      <c r="F62" s="116" t="s">
        <v>61</v>
      </c>
      <c r="G62" s="116" t="s">
        <v>19</v>
      </c>
      <c r="H62" s="116" t="s">
        <v>18</v>
      </c>
      <c r="I62" s="116" t="s">
        <v>134</v>
      </c>
      <c r="J62" s="116" t="s">
        <v>62</v>
      </c>
    </row>
    <row r="63" spans="2:18" x14ac:dyDescent="0.25">
      <c r="B63" s="123">
        <v>19</v>
      </c>
      <c r="C63" s="123">
        <v>18</v>
      </c>
      <c r="D63" s="123">
        <v>36</v>
      </c>
      <c r="F63" s="17" t="s">
        <v>322</v>
      </c>
      <c r="G63" s="17">
        <v>15</v>
      </c>
      <c r="H63" s="17">
        <v>263</v>
      </c>
      <c r="I63" s="17">
        <v>17.533333333333335</v>
      </c>
      <c r="J63" s="17">
        <v>65.838095238095249</v>
      </c>
    </row>
    <row r="64" spans="2:18" x14ac:dyDescent="0.25">
      <c r="B64" s="123">
        <v>31</v>
      </c>
      <c r="C64" s="123">
        <v>33</v>
      </c>
      <c r="D64" s="123">
        <v>38</v>
      </c>
      <c r="F64" s="17" t="s">
        <v>323</v>
      </c>
      <c r="G64" s="17">
        <v>15</v>
      </c>
      <c r="H64" s="17">
        <v>377</v>
      </c>
      <c r="I64" s="17">
        <v>25.133333333333333</v>
      </c>
      <c r="J64" s="17">
        <v>55.266666666666687</v>
      </c>
    </row>
    <row r="65" spans="2:12" ht="15.75" thickBot="1" x14ac:dyDescent="0.3">
      <c r="B65" s="123">
        <v>21</v>
      </c>
      <c r="C65" s="123">
        <v>25</v>
      </c>
      <c r="D65" s="123">
        <v>16</v>
      </c>
      <c r="F65" s="18" t="s">
        <v>324</v>
      </c>
      <c r="G65" s="18">
        <v>15</v>
      </c>
      <c r="H65" s="18">
        <v>456</v>
      </c>
      <c r="I65" s="18">
        <v>30.4</v>
      </c>
      <c r="J65" s="18">
        <v>93.971428571428604</v>
      </c>
    </row>
    <row r="66" spans="2:12" x14ac:dyDescent="0.25">
      <c r="B66" s="123">
        <v>11</v>
      </c>
      <c r="C66" s="123">
        <v>29</v>
      </c>
      <c r="D66" s="123">
        <v>18</v>
      </c>
    </row>
    <row r="67" spans="2:12" x14ac:dyDescent="0.25">
      <c r="B67" s="123">
        <v>28</v>
      </c>
      <c r="C67" s="123">
        <v>17</v>
      </c>
      <c r="D67" s="123">
        <v>26</v>
      </c>
    </row>
    <row r="68" spans="2:12" ht="15.75" thickBot="1" x14ac:dyDescent="0.3">
      <c r="B68" s="123">
        <v>16</v>
      </c>
      <c r="C68" s="123">
        <v>22</v>
      </c>
      <c r="D68" s="123">
        <v>36</v>
      </c>
      <c r="F68" t="s">
        <v>101</v>
      </c>
    </row>
    <row r="69" spans="2:12" x14ac:dyDescent="0.25">
      <c r="B69" s="123">
        <v>23</v>
      </c>
      <c r="C69" s="123">
        <v>12</v>
      </c>
      <c r="D69" s="123">
        <v>34</v>
      </c>
      <c r="F69" s="116" t="s">
        <v>135</v>
      </c>
      <c r="G69" s="116" t="s">
        <v>88</v>
      </c>
      <c r="H69" s="116" t="s">
        <v>51</v>
      </c>
      <c r="I69" s="116" t="s">
        <v>92</v>
      </c>
      <c r="J69" s="116" t="s">
        <v>82</v>
      </c>
      <c r="K69" s="116" t="s">
        <v>74</v>
      </c>
      <c r="L69" s="116" t="s">
        <v>136</v>
      </c>
    </row>
    <row r="70" spans="2:12" x14ac:dyDescent="0.25">
      <c r="B70" s="123">
        <v>11</v>
      </c>
      <c r="C70" s="123">
        <v>30</v>
      </c>
      <c r="D70" s="123">
        <v>26</v>
      </c>
      <c r="F70" s="17" t="s">
        <v>131</v>
      </c>
      <c r="G70" s="17">
        <v>1255.2444444444436</v>
      </c>
      <c r="H70" s="17">
        <v>2</v>
      </c>
      <c r="I70" s="17">
        <v>627.62222222222181</v>
      </c>
      <c r="J70" s="17">
        <v>8.7544170393658884</v>
      </c>
      <c r="K70" s="17">
        <v>6.6378101581940265E-4</v>
      </c>
      <c r="L70" s="17">
        <v>3.2199422931761248</v>
      </c>
    </row>
    <row r="71" spans="2:12" x14ac:dyDescent="0.25">
      <c r="B71" s="123">
        <v>8</v>
      </c>
      <c r="C71" s="123">
        <v>29</v>
      </c>
      <c r="D71" s="123">
        <v>37</v>
      </c>
      <c r="F71" s="17" t="s">
        <v>132</v>
      </c>
      <c r="G71" s="17">
        <v>3011.0666666666666</v>
      </c>
      <c r="H71" s="17">
        <v>42</v>
      </c>
      <c r="I71" s="17">
        <v>71.692063492063497</v>
      </c>
      <c r="J71" s="17"/>
      <c r="K71" s="17"/>
      <c r="L71" s="17"/>
    </row>
    <row r="72" spans="2:12" x14ac:dyDescent="0.25">
      <c r="B72" s="123">
        <v>2</v>
      </c>
      <c r="C72" s="123">
        <v>39</v>
      </c>
      <c r="D72" s="123">
        <v>39</v>
      </c>
      <c r="F72" s="17"/>
      <c r="G72" s="17"/>
      <c r="H72" s="17"/>
      <c r="I72" s="17"/>
      <c r="J72" s="17"/>
      <c r="K72" s="17"/>
      <c r="L72" s="17"/>
    </row>
    <row r="73" spans="2:12" ht="15.75" thickBot="1" x14ac:dyDescent="0.3">
      <c r="B73" s="123">
        <v>19</v>
      </c>
      <c r="C73" s="123">
        <v>25</v>
      </c>
      <c r="D73" s="123">
        <v>34</v>
      </c>
      <c r="F73" s="18" t="s">
        <v>1</v>
      </c>
      <c r="G73" s="18">
        <v>4266.3111111111102</v>
      </c>
      <c r="H73" s="18">
        <v>44</v>
      </c>
      <c r="I73" s="18"/>
      <c r="J73" s="18"/>
      <c r="K73" s="18"/>
      <c r="L73" s="18"/>
    </row>
    <row r="74" spans="2:12" x14ac:dyDescent="0.25">
      <c r="B74" s="58">
        <v>10</v>
      </c>
      <c r="C74" s="58">
        <v>24</v>
      </c>
      <c r="D74" s="58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O4:Q6" formulaRange="1"/>
  </ignoredError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5"/>
  <dimension ref="A1:AP74"/>
  <sheetViews>
    <sheetView zoomScale="104" workbookViewId="0"/>
  </sheetViews>
  <sheetFormatPr defaultRowHeight="15" x14ac:dyDescent="0.25"/>
  <cols>
    <col min="1" max="1" width="7.85546875" customWidth="1"/>
    <col min="2" max="4" width="7.28515625" customWidth="1"/>
    <col min="32" max="32" width="9.140625" customWidth="1"/>
  </cols>
  <sheetData>
    <row r="1" spans="1:37" x14ac:dyDescent="0.25">
      <c r="A1" s="1" t="s">
        <v>318</v>
      </c>
    </row>
    <row r="2" spans="1:37" ht="15.75" thickBot="1" x14ac:dyDescent="0.3">
      <c r="F2" t="s">
        <v>24</v>
      </c>
      <c r="L2" t="s">
        <v>493</v>
      </c>
      <c r="T2" t="s">
        <v>629</v>
      </c>
      <c r="AB2" t="s">
        <v>631</v>
      </c>
    </row>
    <row r="3" spans="1:37" ht="15.75" thickTop="1" x14ac:dyDescent="0.25">
      <c r="B3" s="574" t="s">
        <v>326</v>
      </c>
      <c r="C3" s="575"/>
      <c r="D3" s="576"/>
      <c r="AB3" s="251" t="s">
        <v>61</v>
      </c>
      <c r="AC3" s="251" t="s">
        <v>37</v>
      </c>
      <c r="AD3" s="251" t="s">
        <v>4</v>
      </c>
      <c r="AE3" s="251" t="s">
        <v>28</v>
      </c>
    </row>
    <row r="4" spans="1:37" ht="15.75" thickBot="1" x14ac:dyDescent="0.3">
      <c r="A4" s="135" t="s">
        <v>325</v>
      </c>
      <c r="B4" s="153" t="s">
        <v>319</v>
      </c>
      <c r="C4" s="153" t="s">
        <v>321</v>
      </c>
      <c r="D4" s="153" t="s">
        <v>320</v>
      </c>
      <c r="F4" t="s">
        <v>489</v>
      </c>
      <c r="G4" t="str">
        <f>IF(COUNTIF(G6:I8,G6)=COUNT(G6:I8),"balanced","unbalanced")</f>
        <v>balanced</v>
      </c>
      <c r="L4" t="s">
        <v>101</v>
      </c>
      <c r="P4" s="312" t="s">
        <v>31</v>
      </c>
      <c r="Q4" s="312">
        <v>0.05</v>
      </c>
      <c r="T4" t="s">
        <v>101</v>
      </c>
      <c r="X4" s="313" t="s">
        <v>31</v>
      </c>
      <c r="Y4" s="313">
        <v>0.05</v>
      </c>
      <c r="AB4" s="252" t="str">
        <f>F13</f>
        <v>Cold</v>
      </c>
      <c r="AC4" s="314">
        <v>-1</v>
      </c>
      <c r="AD4" s="252">
        <f>J13</f>
        <v>17.533333333333335</v>
      </c>
      <c r="AE4" s="252">
        <f>J6</f>
        <v>15</v>
      </c>
    </row>
    <row r="5" spans="1:37" ht="15.75" thickTop="1" x14ac:dyDescent="0.25">
      <c r="A5" s="140" t="s">
        <v>322</v>
      </c>
      <c r="B5" s="147">
        <v>15</v>
      </c>
      <c r="C5" s="147">
        <v>21</v>
      </c>
      <c r="D5" s="147">
        <v>11</v>
      </c>
      <c r="G5" s="312" t="str">
        <f>B4</f>
        <v>Arm</v>
      </c>
      <c r="H5" s="312" t="str">
        <f>C4</f>
        <v>Neck</v>
      </c>
      <c r="I5" s="312" t="str">
        <f>D4</f>
        <v>Foot</v>
      </c>
      <c r="L5" s="251"/>
      <c r="M5" s="251" t="s">
        <v>88</v>
      </c>
      <c r="N5" s="251" t="s">
        <v>51</v>
      </c>
      <c r="O5" s="251" t="s">
        <v>92</v>
      </c>
      <c r="P5" s="251" t="s">
        <v>82</v>
      </c>
      <c r="Q5" s="251" t="s">
        <v>56</v>
      </c>
      <c r="R5" s="251" t="s">
        <v>865</v>
      </c>
      <c r="T5" s="251"/>
      <c r="U5" s="251" t="s">
        <v>88</v>
      </c>
      <c r="V5" s="251" t="s">
        <v>51</v>
      </c>
      <c r="W5" s="251" t="s">
        <v>92</v>
      </c>
      <c r="X5" s="251" t="s">
        <v>82</v>
      </c>
      <c r="Y5" s="251" t="s">
        <v>56</v>
      </c>
      <c r="Z5" s="251" t="s">
        <v>188</v>
      </c>
      <c r="AB5" s="7" t="str">
        <f>F14</f>
        <v>Dry</v>
      </c>
      <c r="AC5" s="307"/>
      <c r="AD5" s="7">
        <f>J14</f>
        <v>25.133333333333333</v>
      </c>
      <c r="AE5" s="7">
        <f>J7</f>
        <v>15</v>
      </c>
    </row>
    <row r="6" spans="1:37" x14ac:dyDescent="0.25">
      <c r="A6" s="124"/>
      <c r="B6" s="123">
        <v>23</v>
      </c>
      <c r="C6" s="123">
        <v>11</v>
      </c>
      <c r="D6" s="123">
        <v>8</v>
      </c>
      <c r="F6" t="str">
        <f>A5</f>
        <v>Cold</v>
      </c>
      <c r="G6" s="310">
        <f>COUNT(B5:B9)</f>
        <v>5</v>
      </c>
      <c r="H6" s="309">
        <f>COUNT(C5:C9)</f>
        <v>5</v>
      </c>
      <c r="I6" s="311">
        <f>COUNT(D5:D9)</f>
        <v>5</v>
      </c>
      <c r="J6">
        <f>COUNT(B5:D9)</f>
        <v>15</v>
      </c>
      <c r="L6" t="s">
        <v>83</v>
      </c>
      <c r="M6">
        <f>DEVSQ(J13:J15)*J6</f>
        <v>1255.2444444444438</v>
      </c>
      <c r="N6">
        <f>COUNT(J13:J15)-1</f>
        <v>2</v>
      </c>
      <c r="O6">
        <f>M6/N6</f>
        <v>627.62222222222192</v>
      </c>
      <c r="P6">
        <f>O6/O9</f>
        <v>11.132439889633419</v>
      </c>
      <c r="Q6">
        <f>FDIST(P6,N6,N9)</f>
        <v>1.7223508725008627E-4</v>
      </c>
      <c r="R6">
        <f>M6/(M6+M9)</f>
        <v>0.38213208134327337</v>
      </c>
      <c r="T6" t="str">
        <f>F13</f>
        <v>Cold</v>
      </c>
      <c r="U6">
        <f>SUMPRODUCT(G6:I6,(G13:I13-J13)^2)</f>
        <v>448.13333333333344</v>
      </c>
      <c r="V6">
        <f>COUNT(G6:I6)-1</f>
        <v>2</v>
      </c>
      <c r="W6">
        <f>U6/V6</f>
        <v>224.06666666666672</v>
      </c>
      <c r="X6">
        <f>W6/W$9</f>
        <v>3.9743791880173442</v>
      </c>
      <c r="Y6">
        <f>FDIST(X6,V6,V$9)</f>
        <v>2.7568049048006828E-2</v>
      </c>
      <c r="Z6" s="313" t="str">
        <f>IF(Y6&lt;Y$4,"yes","no")</f>
        <v>yes</v>
      </c>
      <c r="AB6" s="224" t="str">
        <f>F15</f>
        <v>Humid</v>
      </c>
      <c r="AC6" s="308">
        <v>1</v>
      </c>
      <c r="AD6" s="224">
        <f>J15</f>
        <v>30.4</v>
      </c>
      <c r="AE6" s="224">
        <f>J8</f>
        <v>15</v>
      </c>
    </row>
    <row r="7" spans="1:37" x14ac:dyDescent="0.25">
      <c r="A7" s="124"/>
      <c r="B7" s="123">
        <v>26</v>
      </c>
      <c r="C7" s="123">
        <v>28</v>
      </c>
      <c r="D7" s="123">
        <v>2</v>
      </c>
      <c r="F7" t="str">
        <f>A10</f>
        <v>Dry</v>
      </c>
      <c r="G7" s="178">
        <f>COUNT(B10:B14)</f>
        <v>5</v>
      </c>
      <c r="H7" s="7">
        <f>COUNT(C10:C14)</f>
        <v>5</v>
      </c>
      <c r="I7" s="40">
        <f>COUNT(D10:D14)</f>
        <v>5</v>
      </c>
      <c r="J7">
        <f>COUNT(B10:D14)</f>
        <v>15</v>
      </c>
      <c r="L7" t="s">
        <v>238</v>
      </c>
      <c r="M7">
        <f>DEVSQ(G16:I16)*G9</f>
        <v>98.711111111111208</v>
      </c>
      <c r="N7">
        <f>COUNT(G16:I16)-1</f>
        <v>2</v>
      </c>
      <c r="O7">
        <f>M7/N7</f>
        <v>49.355555555555604</v>
      </c>
      <c r="P7">
        <f>O7/O9</f>
        <v>0.8754434371304699</v>
      </c>
      <c r="Q7">
        <f>FDIST(P7,N7,N9)</f>
        <v>0.42535951679577555</v>
      </c>
      <c r="R7">
        <f>M7/(M7+M9)</f>
        <v>4.6380019629544599E-2</v>
      </c>
      <c r="T7" t="str">
        <f>F14</f>
        <v>Dry</v>
      </c>
      <c r="U7">
        <f>SUMPRODUCT(G7:I7,(G14:I14-J14)^2)</f>
        <v>176.53333333333327</v>
      </c>
      <c r="V7">
        <f>COUNT(G7:I7)-1</f>
        <v>2</v>
      </c>
      <c r="W7">
        <f>U7/V7</f>
        <v>88.266666666666637</v>
      </c>
      <c r="X7">
        <f>W7/W$9</f>
        <v>1.5656286953094201</v>
      </c>
      <c r="Y7">
        <f>FDIST(X7,V7,V$9)</f>
        <v>0.22285201078001493</v>
      </c>
      <c r="Z7" s="313" t="str">
        <f>IF(Y7&lt;Y$4,"yes","no")</f>
        <v>no</v>
      </c>
      <c r="AC7">
        <f>SUM(AC4:AC6)</f>
        <v>0</v>
      </c>
      <c r="AD7">
        <f>SUMPRODUCT(AC4:AC6,AD4:AD6)</f>
        <v>12.866666666666664</v>
      </c>
      <c r="AE7">
        <f>1/SUMPRODUCT(AC4:AC6^2,1/AE4:AE6)</f>
        <v>7.5</v>
      </c>
    </row>
    <row r="8" spans="1:37" ht="15.75" thickBot="1" x14ac:dyDescent="0.3">
      <c r="A8" s="124"/>
      <c r="B8" s="123">
        <v>19</v>
      </c>
      <c r="C8" s="123">
        <v>16</v>
      </c>
      <c r="D8" s="123">
        <v>19</v>
      </c>
      <c r="F8" t="str">
        <f>A15</f>
        <v>Humid</v>
      </c>
      <c r="G8" s="221">
        <f>COUNT(B15:B19)</f>
        <v>5</v>
      </c>
      <c r="H8" s="222">
        <f>COUNT(C15:C19)</f>
        <v>5</v>
      </c>
      <c r="I8" s="223">
        <f>COUNT(D15:D19)</f>
        <v>5</v>
      </c>
      <c r="J8">
        <f>COUNT(B15:D19)</f>
        <v>15</v>
      </c>
      <c r="L8" t="s">
        <v>410</v>
      </c>
      <c r="M8">
        <f>M10-M6-M7-M9</f>
        <v>882.75555555555525</v>
      </c>
      <c r="N8">
        <f>N7*N6</f>
        <v>4</v>
      </c>
      <c r="O8">
        <f>M8/N8</f>
        <v>220.68888888888881</v>
      </c>
      <c r="P8">
        <f>O8/O9</f>
        <v>3.9144659046117445</v>
      </c>
      <c r="Q8">
        <f>FDIST(P8,N8,N9)</f>
        <v>9.7039309182118672E-3</v>
      </c>
      <c r="R8">
        <f>M8/(M8+M9)</f>
        <v>0.30310706873397625</v>
      </c>
      <c r="T8" t="str">
        <f>F15</f>
        <v>Humid</v>
      </c>
      <c r="U8">
        <f>SUMPRODUCT(G8:I8,(G15:I15-J15)^2)</f>
        <v>356.80000000000018</v>
      </c>
      <c r="V8">
        <f>COUNT(G8:I8)-1</f>
        <v>2</v>
      </c>
      <c r="W8">
        <f>U8/V8</f>
        <v>178.40000000000009</v>
      </c>
      <c r="X8">
        <f>W8/W$9</f>
        <v>3.1643673630271989</v>
      </c>
      <c r="Y8">
        <f>FDIST(X8,V8,V$9)</f>
        <v>5.4201318271582435E-2</v>
      </c>
      <c r="Z8" s="313" t="str">
        <f>IF(Y8&lt;Y$4,"yes","no")</f>
        <v>no</v>
      </c>
      <c r="AB8" t="s">
        <v>55</v>
      </c>
      <c r="AG8" t="s">
        <v>31</v>
      </c>
      <c r="AH8">
        <v>0.05</v>
      </c>
    </row>
    <row r="9" spans="1:37" ht="15.75" thickTop="1" x14ac:dyDescent="0.25">
      <c r="A9" s="124"/>
      <c r="B9" s="123">
        <v>31</v>
      </c>
      <c r="C9" s="123">
        <v>23</v>
      </c>
      <c r="D9" s="58">
        <v>10</v>
      </c>
      <c r="G9">
        <f>COUNT(B5:B19)</f>
        <v>15</v>
      </c>
      <c r="H9">
        <f>COUNT(C5:C19)</f>
        <v>15</v>
      </c>
      <c r="I9">
        <f>COUNT(D5:D19)</f>
        <v>15</v>
      </c>
      <c r="J9">
        <f>COUNT(B5:D19)</f>
        <v>45</v>
      </c>
      <c r="L9" t="s">
        <v>249</v>
      </c>
      <c r="M9">
        <f>SUM(G20:I22)*(G6-1)</f>
        <v>2029.6000000000001</v>
      </c>
      <c r="N9">
        <f>N10-N6-N7-N8</f>
        <v>36</v>
      </c>
      <c r="O9">
        <f>M9/N9</f>
        <v>56.37777777777778</v>
      </c>
      <c r="T9" s="224" t="s">
        <v>237</v>
      </c>
      <c r="U9" s="224">
        <f>SUMPRODUCT(G20:I22,(G6:I8-1))</f>
        <v>2029.6000000000001</v>
      </c>
      <c r="V9" s="224">
        <f>SUM(G6:I8)-COUNT(G6:I6)*COUNT(G6:G8)</f>
        <v>36</v>
      </c>
      <c r="W9" s="224">
        <f>U9/V9</f>
        <v>56.37777777777778</v>
      </c>
      <c r="X9" s="224"/>
      <c r="Y9" s="224"/>
      <c r="Z9" s="224"/>
      <c r="AB9" s="251" t="s">
        <v>370</v>
      </c>
      <c r="AC9" s="251" t="s">
        <v>67</v>
      </c>
      <c r="AD9" s="251" t="s">
        <v>51</v>
      </c>
      <c r="AE9" s="251" t="s">
        <v>56</v>
      </c>
      <c r="AF9" s="251" t="s">
        <v>57</v>
      </c>
      <c r="AG9" s="251" t="s">
        <v>26</v>
      </c>
      <c r="AH9" s="251" t="s">
        <v>27</v>
      </c>
      <c r="AI9" s="251" t="s">
        <v>188</v>
      </c>
      <c r="AJ9" s="251" t="s">
        <v>54</v>
      </c>
      <c r="AK9" s="251" t="s">
        <v>371</v>
      </c>
    </row>
    <row r="10" spans="1:37" x14ac:dyDescent="0.25">
      <c r="A10" s="140" t="s">
        <v>323</v>
      </c>
      <c r="B10" s="147">
        <v>33</v>
      </c>
      <c r="C10" s="147">
        <v>25</v>
      </c>
      <c r="D10" s="147">
        <v>30</v>
      </c>
      <c r="L10" s="224" t="s">
        <v>1</v>
      </c>
      <c r="M10" s="224">
        <f>O10*N10</f>
        <v>4266.3111111111102</v>
      </c>
      <c r="N10" s="224">
        <f>J9-1</f>
        <v>44</v>
      </c>
      <c r="O10" s="224">
        <f>J23</f>
        <v>96.961616161616135</v>
      </c>
      <c r="P10" s="224"/>
      <c r="Q10" s="224"/>
      <c r="R10" s="224"/>
      <c r="AB10" s="305">
        <f>SQRT(SUMPRODUCT(G20:I22*(G6:I8-1))/(AE7*AD10))</f>
        <v>2.74172154622548</v>
      </c>
      <c r="AC10" s="305">
        <f>AD7/AB10</f>
        <v>4.6929151811131824</v>
      </c>
      <c r="AD10" s="305">
        <f>SUM(G6:I8)-COUNT(G6:I8)</f>
        <v>36</v>
      </c>
      <c r="AE10" s="305">
        <f>TDIST(ABS(AC10),AD10,2)</f>
        <v>3.8250150461591423E-5</v>
      </c>
      <c r="AF10" s="305">
        <f>TINV(AH8,AD10)</f>
        <v>2.028094000980452</v>
      </c>
      <c r="AG10" s="305">
        <f>AD7-AB10*AF10</f>
        <v>7.3061976464079184</v>
      </c>
      <c r="AH10" s="305">
        <f>AD7+AB10*AF10</f>
        <v>18.427135686925411</v>
      </c>
      <c r="AI10" s="306" t="str">
        <f>IF(AE10&lt;AH8,"yes","no")</f>
        <v>yes</v>
      </c>
      <c r="AJ10" s="305">
        <f>ABS(AD7)/(AB10*SQRT(AE7))</f>
        <v>1.7136103367694215</v>
      </c>
      <c r="AK10" s="305">
        <f>SQRT(AC10^2/(AC10^2+AD10))</f>
        <v>0.61608540449644889</v>
      </c>
    </row>
    <row r="11" spans="1:37" x14ac:dyDescent="0.25">
      <c r="A11" s="124"/>
      <c r="B11" s="123">
        <v>26</v>
      </c>
      <c r="C11" s="123">
        <v>29</v>
      </c>
      <c r="D11" s="123">
        <v>29</v>
      </c>
      <c r="F11" t="s">
        <v>259</v>
      </c>
      <c r="T11" t="s">
        <v>630</v>
      </c>
    </row>
    <row r="12" spans="1:37" x14ac:dyDescent="0.25">
      <c r="A12" s="124"/>
      <c r="B12" s="123">
        <v>15</v>
      </c>
      <c r="C12" s="123">
        <v>17</v>
      </c>
      <c r="D12" s="123">
        <v>39</v>
      </c>
      <c r="G12" s="312" t="str">
        <f>B4</f>
        <v>Arm</v>
      </c>
      <c r="H12" s="312" t="str">
        <f>C4</f>
        <v>Neck</v>
      </c>
      <c r="I12" s="312" t="str">
        <f>D4</f>
        <v>Foot</v>
      </c>
    </row>
    <row r="13" spans="1:37" ht="15.75" thickBot="1" x14ac:dyDescent="0.3">
      <c r="A13" s="124"/>
      <c r="B13" s="123">
        <v>18</v>
      </c>
      <c r="C13" s="123">
        <v>22</v>
      </c>
      <c r="D13" s="123">
        <v>25</v>
      </c>
      <c r="F13" t="str">
        <f>A5</f>
        <v>Cold</v>
      </c>
      <c r="G13" s="310">
        <f>AVERAGE(B5:B9)</f>
        <v>22.8</v>
      </c>
      <c r="H13" s="309">
        <f>AVERAGE(C5:C9)</f>
        <v>19.8</v>
      </c>
      <c r="I13" s="311">
        <f>AVERAGE(D5:D9)</f>
        <v>10</v>
      </c>
      <c r="J13">
        <f>AVERAGE(B5:D9)</f>
        <v>17.533333333333335</v>
      </c>
      <c r="T13" t="s">
        <v>101</v>
      </c>
      <c r="X13" s="313" t="s">
        <v>31</v>
      </c>
      <c r="Y13" s="313">
        <v>0.05</v>
      </c>
      <c r="AB13" t="s">
        <v>632</v>
      </c>
    </row>
    <row r="14" spans="1:37" ht="15.75" thickTop="1" x14ac:dyDescent="0.25">
      <c r="A14" s="124"/>
      <c r="B14" s="123">
        <v>33</v>
      </c>
      <c r="C14" s="123">
        <v>12</v>
      </c>
      <c r="D14" s="58">
        <v>24</v>
      </c>
      <c r="F14" t="str">
        <f>A10</f>
        <v>Dry</v>
      </c>
      <c r="G14" s="178">
        <f>AVERAGE(B10:B14)</f>
        <v>25</v>
      </c>
      <c r="H14" s="7">
        <f>AVERAGE(C10:C14)</f>
        <v>21</v>
      </c>
      <c r="I14" s="40">
        <f>AVERAGE(D10:D14)</f>
        <v>29.4</v>
      </c>
      <c r="J14">
        <f>AVERAGE(B10:D14)</f>
        <v>25.133333333333333</v>
      </c>
      <c r="T14" s="251"/>
      <c r="U14" s="251" t="s">
        <v>88</v>
      </c>
      <c r="V14" s="251" t="s">
        <v>51</v>
      </c>
      <c r="W14" s="251" t="s">
        <v>92</v>
      </c>
      <c r="X14" s="251" t="s">
        <v>82</v>
      </c>
      <c r="Y14" s="251" t="s">
        <v>56</v>
      </c>
      <c r="Z14" s="251" t="s">
        <v>188</v>
      </c>
      <c r="AB14" s="251" t="s">
        <v>61</v>
      </c>
      <c r="AC14" s="251" t="s">
        <v>37</v>
      </c>
      <c r="AD14" s="251" t="s">
        <v>4</v>
      </c>
      <c r="AE14" s="251" t="s">
        <v>28</v>
      </c>
    </row>
    <row r="15" spans="1:37" x14ac:dyDescent="0.25">
      <c r="A15" s="140" t="s">
        <v>324</v>
      </c>
      <c r="B15" s="147">
        <v>28</v>
      </c>
      <c r="C15" s="147">
        <v>16</v>
      </c>
      <c r="D15" s="147">
        <v>26</v>
      </c>
      <c r="F15" t="str">
        <f>A15</f>
        <v>Humid</v>
      </c>
      <c r="G15" s="221">
        <f>AVERAGE(B15:B19)</f>
        <v>28</v>
      </c>
      <c r="H15" s="222">
        <f>AVERAGE(C15:C19)</f>
        <v>26</v>
      </c>
      <c r="I15" s="223">
        <f>AVERAGE(D15:D19)</f>
        <v>37.200000000000003</v>
      </c>
      <c r="J15">
        <f>AVERAGE(B15:D19)</f>
        <v>30.4</v>
      </c>
      <c r="T15" t="str">
        <f>G12</f>
        <v>Arm</v>
      </c>
      <c r="U15">
        <f>SUMPRODUCT(G6:G8,(G13:G15-G$16)^2)</f>
        <v>68.133333333333326</v>
      </c>
      <c r="V15">
        <f>COUNT(G6:G8)-1</f>
        <v>2</v>
      </c>
      <c r="W15">
        <f>U15/V15</f>
        <v>34.066666666666663</v>
      </c>
      <c r="X15">
        <f>W15/W$18</f>
        <v>0.60425699645250286</v>
      </c>
      <c r="Y15">
        <f>FDIST(X15,V15,V$18)</f>
        <v>0.55192891761387552</v>
      </c>
      <c r="Z15" s="313" t="str">
        <f>IF(Y15&lt;Y$13,"yes","no")</f>
        <v>no</v>
      </c>
      <c r="AB15" s="252" t="str">
        <f t="array" ref="AB15:AB17">TRANSPOSE(G12:I12)</f>
        <v>Arm</v>
      </c>
      <c r="AC15" s="314">
        <v>-1</v>
      </c>
      <c r="AD15" s="252">
        <f t="array" ref="AD15:AD17">TRANSPOSE(G16:I16)</f>
        <v>25.266666666666666</v>
      </c>
      <c r="AE15" s="252">
        <f t="array" ref="AE15:AE17">TRANSPOSE(G9:I9)</f>
        <v>15</v>
      </c>
    </row>
    <row r="16" spans="1:37" x14ac:dyDescent="0.25">
      <c r="A16" s="124"/>
      <c r="B16" s="123">
        <v>20</v>
      </c>
      <c r="C16" s="123">
        <v>18</v>
      </c>
      <c r="D16" s="123">
        <v>37</v>
      </c>
      <c r="G16">
        <f>AVERAGE(B5:B19)</f>
        <v>25.266666666666666</v>
      </c>
      <c r="H16">
        <f>AVERAGE(C5:C19)</f>
        <v>22.266666666666666</v>
      </c>
      <c r="I16">
        <f>AVERAGE(D5:D19)</f>
        <v>25.533333333333335</v>
      </c>
      <c r="J16">
        <f>AVERAGE(B5:D19)</f>
        <v>24.355555555555554</v>
      </c>
      <c r="T16" t="str">
        <f>H12</f>
        <v>Neck</v>
      </c>
      <c r="U16">
        <f>SUMPRODUCT(H6:H8,(H13:H15-H$16)^2)</f>
        <v>108.13333333333333</v>
      </c>
      <c r="V16">
        <f>COUNT(H6:H8)-1</f>
        <v>2</v>
      </c>
      <c r="W16">
        <f>U16/V16</f>
        <v>54.066666666666663</v>
      </c>
      <c r="X16">
        <f>W16/W$18</f>
        <v>0.95900670082774919</v>
      </c>
      <c r="Y16">
        <f>FDIST(X16,V16,V$18)</f>
        <v>0.39284809423164069</v>
      </c>
      <c r="Z16" s="313" t="str">
        <f>IF(Y16&lt;Y$13,"yes","no")</f>
        <v>no</v>
      </c>
      <c r="AB16" s="7" t="str">
        <v>Neck</v>
      </c>
      <c r="AC16" s="307"/>
      <c r="AD16" s="7">
        <v>22.266666666666666</v>
      </c>
      <c r="AE16" s="7">
        <v>15</v>
      </c>
    </row>
    <row r="17" spans="1:42" x14ac:dyDescent="0.25">
      <c r="A17" s="124"/>
      <c r="B17" s="123">
        <v>18</v>
      </c>
      <c r="C17" s="123">
        <v>26</v>
      </c>
      <c r="D17" s="123">
        <v>39</v>
      </c>
      <c r="T17" t="str">
        <f>I12</f>
        <v>Foot</v>
      </c>
      <c r="U17">
        <f>SUMPRODUCT(I6:I8,(I13:I15-I$16)^2)</f>
        <v>1961.7333333333336</v>
      </c>
      <c r="V17">
        <f>COUNT(I6:I8)-1</f>
        <v>2</v>
      </c>
      <c r="W17">
        <f>U17/V17</f>
        <v>980.86666666666679</v>
      </c>
      <c r="X17">
        <f>W17/W$18</f>
        <v>17.398108001576666</v>
      </c>
      <c r="Y17">
        <f>FDIST(X17,V17,V$18)</f>
        <v>5.1673061387371191E-6</v>
      </c>
      <c r="Z17" s="313" t="str">
        <f>IF(Y17&lt;Y$13,"yes","no")</f>
        <v>yes</v>
      </c>
      <c r="AB17" s="224" t="str">
        <v>Foot</v>
      </c>
      <c r="AC17" s="308">
        <v>1</v>
      </c>
      <c r="AD17" s="224">
        <v>25.533333333333335</v>
      </c>
      <c r="AE17" s="224">
        <v>15</v>
      </c>
    </row>
    <row r="18" spans="1:42" x14ac:dyDescent="0.25">
      <c r="A18" s="124"/>
      <c r="B18" s="123">
        <v>36</v>
      </c>
      <c r="C18" s="123">
        <v>36</v>
      </c>
      <c r="D18" s="123">
        <v>34</v>
      </c>
      <c r="F18" t="s">
        <v>490</v>
      </c>
      <c r="T18" s="224" t="s">
        <v>237</v>
      </c>
      <c r="U18" s="224">
        <f>SUMPRODUCT(G20:I22,(G6:I8-1))</f>
        <v>2029.6000000000001</v>
      </c>
      <c r="V18" s="224">
        <f>SUM(G6:I8)-COUNT(G6:I6)*COUNT(G6:G8)</f>
        <v>36</v>
      </c>
      <c r="W18" s="224">
        <f>U18/V18</f>
        <v>56.37777777777778</v>
      </c>
      <c r="X18" s="224"/>
      <c r="Y18" s="224"/>
      <c r="Z18" s="224"/>
      <c r="AC18">
        <f>SUM(AC15:AC17)</f>
        <v>0</v>
      </c>
      <c r="AD18">
        <f>SUMPRODUCT(AC15:AC17,AD15:AD17)</f>
        <v>0.26666666666666927</v>
      </c>
      <c r="AE18">
        <f>1/SUMPRODUCT(AC15:AC17^2,1/AE15:AE17)</f>
        <v>7.5</v>
      </c>
    </row>
    <row r="19" spans="1:42" ht="15.75" thickBot="1" x14ac:dyDescent="0.3">
      <c r="A19" s="9"/>
      <c r="B19" s="58">
        <v>38</v>
      </c>
      <c r="C19" s="58">
        <v>34</v>
      </c>
      <c r="D19" s="58">
        <v>50</v>
      </c>
      <c r="G19" s="312" t="str">
        <f>B4</f>
        <v>Arm</v>
      </c>
      <c r="H19" s="312" t="str">
        <f>C4</f>
        <v>Neck</v>
      </c>
      <c r="I19" s="312" t="str">
        <f>D4</f>
        <v>Foot</v>
      </c>
      <c r="AB19" t="s">
        <v>55</v>
      </c>
      <c r="AG19" t="s">
        <v>31</v>
      </c>
      <c r="AH19">
        <v>0.05</v>
      </c>
    </row>
    <row r="20" spans="1:42" ht="15.75" thickTop="1" x14ac:dyDescent="0.25">
      <c r="A20" s="124"/>
      <c r="F20" t="str">
        <f>A5</f>
        <v>Cold</v>
      </c>
      <c r="G20" s="310">
        <f>VAR(B5:B9)</f>
        <v>38.200000000000045</v>
      </c>
      <c r="H20" s="309">
        <f>VAR(C5:C9)</f>
        <v>42.699999999999989</v>
      </c>
      <c r="I20" s="311">
        <f>VAR(D5:D9)</f>
        <v>37.5</v>
      </c>
      <c r="J20">
        <f>VAR(B5:D9)</f>
        <v>65.838095238095249</v>
      </c>
      <c r="AB20" s="251" t="s">
        <v>370</v>
      </c>
      <c r="AC20" s="251" t="s">
        <v>67</v>
      </c>
      <c r="AD20" s="251" t="s">
        <v>51</v>
      </c>
      <c r="AE20" s="251" t="s">
        <v>56</v>
      </c>
      <c r="AF20" s="251" t="s">
        <v>57</v>
      </c>
      <c r="AG20" s="251" t="s">
        <v>26</v>
      </c>
      <c r="AH20" s="251" t="s">
        <v>27</v>
      </c>
      <c r="AI20" s="251" t="s">
        <v>188</v>
      </c>
      <c r="AJ20" s="251" t="s">
        <v>54</v>
      </c>
      <c r="AK20" s="251" t="s">
        <v>371</v>
      </c>
    </row>
    <row r="21" spans="1:42" x14ac:dyDescent="0.25">
      <c r="A21" s="124"/>
      <c r="F21" t="str">
        <f>A10</f>
        <v>Dry</v>
      </c>
      <c r="G21" s="178">
        <f>VAR(B10:B14)</f>
        <v>69.5</v>
      </c>
      <c r="H21" s="7">
        <f>VAR(C10:C14)</f>
        <v>44.5</v>
      </c>
      <c r="I21" s="40">
        <f>VAR(D10:D14)</f>
        <v>35.299999999999955</v>
      </c>
      <c r="J21">
        <f>VAR(B10:D14)</f>
        <v>55.266666666666687</v>
      </c>
      <c r="AB21" s="305">
        <f>SQRT(SUMPRODUCT(G20:I22*(G6:I8-1))/(AE18*AD21))</f>
        <v>2.74172154622548</v>
      </c>
      <c r="AC21" s="305">
        <f>AD18/AB21</f>
        <v>9.7262490800274187E-2</v>
      </c>
      <c r="AD21" s="305">
        <f>SUM(G6:I8)-COUNT(G6:I8)</f>
        <v>36</v>
      </c>
      <c r="AE21" s="305">
        <f>TDIST(ABS(AC21),AD21,2)</f>
        <v>0.92305743569365706</v>
      </c>
      <c r="AF21" s="305">
        <f>TINV(AH19,AD21)</f>
        <v>2.028094000980452</v>
      </c>
      <c r="AG21" s="305">
        <f>AD18-AB21*AF21</f>
        <v>-5.293802353592076</v>
      </c>
      <c r="AH21" s="305">
        <f>AD18+AB21*AF21</f>
        <v>5.8271356869254145</v>
      </c>
      <c r="AI21" s="306" t="str">
        <f>IF(AE21&lt;AH19,"yes","no")</f>
        <v>no</v>
      </c>
      <c r="AJ21" s="305">
        <f>ABS(AD18)/(AB21*SQRT(AE18))</f>
        <v>3.5515240140299248E-2</v>
      </c>
      <c r="AK21" s="305">
        <f>SQRT(AC21^2/(AC21^2+AD21))</f>
        <v>1.620828568639009E-2</v>
      </c>
    </row>
    <row r="22" spans="1:42" x14ac:dyDescent="0.25">
      <c r="A22" s="124"/>
      <c r="F22" t="str">
        <f>A15</f>
        <v>Humid</v>
      </c>
      <c r="G22" s="221">
        <f>VAR(B15:B19)</f>
        <v>82</v>
      </c>
      <c r="H22" s="222">
        <f>VAR(C15:C19)</f>
        <v>82</v>
      </c>
      <c r="I22" s="223">
        <f>VAR(D15:D19)</f>
        <v>75.700000000000045</v>
      </c>
      <c r="J22">
        <f>VAR(B15:D19)</f>
        <v>93.971428571428604</v>
      </c>
    </row>
    <row r="23" spans="1:42" x14ac:dyDescent="0.25">
      <c r="A23" s="124"/>
      <c r="G23">
        <f>VAR(B5:B19)</f>
        <v>59.066666666666606</v>
      </c>
      <c r="H23">
        <f>VAR(C5:C19)</f>
        <v>56.06666666666667</v>
      </c>
      <c r="I23">
        <f>VAR(D5:D19)</f>
        <v>182.55238095238096</v>
      </c>
      <c r="J23">
        <f>VAR(B5:D19)</f>
        <v>96.961616161616135</v>
      </c>
    </row>
    <row r="24" spans="1:42" ht="15.75" thickBot="1" x14ac:dyDescent="0.3">
      <c r="A24" s="124"/>
      <c r="AB24" t="s">
        <v>178</v>
      </c>
      <c r="AG24" t="s">
        <v>633</v>
      </c>
    </row>
    <row r="25" spans="1:42" ht="15.75" thickTop="1" x14ac:dyDescent="0.25">
      <c r="A25" s="124"/>
      <c r="AC25" t="str">
        <f t="array" ref="AC25:AE25">G12:I12</f>
        <v>Arm</v>
      </c>
      <c r="AD25" t="str">
        <v>Neck</v>
      </c>
      <c r="AE25" t="str">
        <v>Foot</v>
      </c>
      <c r="AG25" s="251" t="s">
        <v>39</v>
      </c>
      <c r="AH25" s="251" t="s">
        <v>634</v>
      </c>
      <c r="AI25" s="251" t="s">
        <v>37</v>
      </c>
      <c r="AJ25" s="251" t="s">
        <v>4</v>
      </c>
      <c r="AK25" s="251" t="s">
        <v>28</v>
      </c>
    </row>
    <row r="26" spans="1:42" x14ac:dyDescent="0.25">
      <c r="A26" s="124"/>
      <c r="AB26" t="str">
        <f t="array" ref="AB26:AB28">F13:F15</f>
        <v>Cold</v>
      </c>
      <c r="AC26" s="317"/>
      <c r="AD26" s="318"/>
      <c r="AE26" s="319">
        <v>-1</v>
      </c>
      <c r="AG26" t="str">
        <f t="array" ref="AG26">IFERROR(INDEX($AB$26:$AB$28,SMALL(IF($AC$26:$AE$28&lt;&gt;"",ROW($AC$26:$AE$28)-MIN(ROW($AC$26:$AE$28))+1,""),ROW(A1))),"")</f>
        <v>Cold</v>
      </c>
      <c r="AH26" t="str">
        <f t="array" ref="AH26">IFERROR(INDEX($AC$25:$AE$25,,SMALL(IF($AC$26:$AE$28&lt;&gt;"",IF(ROW($AC$26:$AE$28)=MATCH(AG26,$AB$26:$AB$28,0)+ROW($AC$26)-1,COLUMN($AC$26:$AE$28)-COLUMN($AC$26)+1,""),""),COUNTIF($AG$26:AG26,AG26))),"")</f>
        <v>Foot</v>
      </c>
      <c r="AI26">
        <f>IFERROR(INDEX($AC$26:$AE$28,MATCH(AG26,$F$13:$F$15),MATCH(AH26,$G$12:$I$12,0)),0)</f>
        <v>-1</v>
      </c>
      <c r="AJ26">
        <f>IFERROR(INDEX($G$13:$I$15,MATCH(AG26,$F$13:$F$15),MATCH(AH26,$G$12:$I$12,0)),"")</f>
        <v>10</v>
      </c>
      <c r="AK26">
        <f>IFERROR(INDEX($G$6:$I$8,MATCH(AG26,$F$6:$F$8),MATCH(AH26,$G$5:$I$5,0)),1)</f>
        <v>5</v>
      </c>
    </row>
    <row r="27" spans="1:42" x14ac:dyDescent="0.25">
      <c r="A27" s="124"/>
      <c r="AB27" t="str">
        <v>Dry</v>
      </c>
      <c r="AC27" s="320"/>
      <c r="AD27" s="307"/>
      <c r="AE27" s="321"/>
      <c r="AG27" t="str">
        <f t="array" ref="AG27">IFERROR(INDEX($AB$26:$AB$28,SMALL(IF($AC$26:$AE$28&lt;&gt;"",ROW($AC$26:$AE$28)-MIN(ROW($AC$26:$AE$28))+1,""),ROW(A2))),"")</f>
        <v>Humid</v>
      </c>
      <c r="AH27" t="str">
        <f t="array" ref="AH27">IFERROR(INDEX($AC$25:$AE$25,,SMALL(IF($AC$26:$AE$28&lt;&gt;"",IF(ROW($AC$26:$AE$28)=MATCH(AG27,$AB$26:$AB$28,0)+ROW($AC$26)-1,COLUMN($AC$26:$AE$28)-COLUMN($AC$26)+1,""),""),COUNTIF($AG$26:AG27,AG27))),"")</f>
        <v>Foot</v>
      </c>
      <c r="AI27">
        <f>IFERROR(INDEX($AC$26:$AE$28,MATCH(AG27,$F$13:$F$15),MATCH(AH27,$G$12:$I$12,0)),0)</f>
        <v>1</v>
      </c>
      <c r="AJ27">
        <f>IFERROR(INDEX($G$13:$I$15,MATCH(AG27,$F$13:$F$15),MATCH(AH27,$G$12:$I$12,0)),"")</f>
        <v>37.200000000000003</v>
      </c>
      <c r="AK27">
        <f>IFERROR(INDEX($G$6:$I$8,MATCH(AG27,$F$6:$F$8),MATCH(AH27,$G$5:$I$5,0)),1)</f>
        <v>5</v>
      </c>
    </row>
    <row r="28" spans="1:42" x14ac:dyDescent="0.25">
      <c r="A28" s="124"/>
      <c r="AB28" t="str">
        <v>Humid</v>
      </c>
      <c r="AC28" s="322"/>
      <c r="AD28" s="323"/>
      <c r="AE28" s="324">
        <v>1</v>
      </c>
      <c r="AG28" t="str">
        <f t="array" ref="AG28">IFERROR(INDEX($AB$26:$AB$28,SMALL(IF($AC$26:$AE$28&lt;&gt;"",ROW($AC$26:$AE$28)-MIN(ROW($AC$26:$AE$28))+1,""),ROW(A3))),"")</f>
        <v/>
      </c>
      <c r="AH28" t="str">
        <f t="array" ref="AH28">IFERROR(INDEX($AC$25:$AE$25,,SMALL(IF($AC$26:$AE$28&lt;&gt;"",IF(ROW($AC$26:$AE$28)=MATCH(AG28,$AB$26:$AB$28,0)+ROW($AC$26)-1,COLUMN($AC$26:$AE$28)-COLUMN($AC$26)+1,""),""),COUNTIF($AG$26:AG28,AG28))),"")</f>
        <v/>
      </c>
      <c r="AI28">
        <f>IFERROR(INDEX($AC$26:$AE$28,MATCH(AG28,$F$13:$F$15),MATCH(AH28,$G$12:$I$12,0)),0)</f>
        <v>0</v>
      </c>
      <c r="AJ28" t="str">
        <f>IFERROR(INDEX($G$13:$I$15,MATCH(AG28,$F$13:$F$15),MATCH(AH28,$G$12:$I$12,0)),"")</f>
        <v/>
      </c>
      <c r="AK28">
        <f>IFERROR(INDEX($G$6:$I$8,MATCH(AG28,$F$6:$F$8),MATCH(AH28,$G$5:$I$5,0)),1)</f>
        <v>1</v>
      </c>
    </row>
    <row r="29" spans="1:42" x14ac:dyDescent="0.25">
      <c r="A29" s="124"/>
      <c r="AG29" t="str">
        <f t="array" ref="AG29">IFERROR(INDEX($AB$26:$AB$28,SMALL(IF($AC$26:$AE$28&lt;&gt;"",ROW($AC$26:$AE$28)-MIN(ROW($AC$26:$AE$28))+1,""),ROW(A4))),"")</f>
        <v/>
      </c>
      <c r="AH29" t="str">
        <f t="array" ref="AH29">IFERROR(INDEX($AC$25:$AE$25,,SMALL(IF($AC$26:$AE$28&lt;&gt;"",IF(ROW($AC$26:$AE$28)=MATCH(AG29,$AB$26:$AB$28,0)+ROW($AC$26)-1,COLUMN($AC$26:$AE$28)-COLUMN($AC$26)+1,""),""),COUNTIF($AG$26:AG29,AG29))),"")</f>
        <v/>
      </c>
      <c r="AI29">
        <f>IFERROR(INDEX($AC$26:$AE$28,MATCH(AG29,$F$13:$F$15),MATCH(AH29,$G$12:$I$12,0)),0)</f>
        <v>0</v>
      </c>
      <c r="AJ29" t="str">
        <f>IFERROR(INDEX($G$13:$I$15,MATCH(AG29,$F$13:$F$15),MATCH(AH29,$G$12:$I$12,0)),"")</f>
        <v/>
      </c>
      <c r="AK29">
        <f>IFERROR(INDEX($G$6:$I$8,MATCH(AG29,$F$6:$F$8),MATCH(AH29,$G$5:$I$5,0)),1)</f>
        <v>1</v>
      </c>
    </row>
    <row r="30" spans="1:42" x14ac:dyDescent="0.25">
      <c r="A30" s="124"/>
      <c r="AG30" s="325"/>
      <c r="AH30" s="325"/>
      <c r="AI30" s="325">
        <f>SUM(AI26:AI29)</f>
        <v>0</v>
      </c>
      <c r="AJ30" s="325">
        <f>SUMPRODUCT(AI26:AI29,AJ26:AJ29)</f>
        <v>27.200000000000003</v>
      </c>
      <c r="AK30" s="325">
        <f>1/SUMPRODUCT(AI26:AI29^2,1/AK26:AK29)</f>
        <v>2.5</v>
      </c>
    </row>
    <row r="31" spans="1:42" ht="15.75" thickBot="1" x14ac:dyDescent="0.3">
      <c r="A31" s="124"/>
      <c r="AG31" t="s">
        <v>55</v>
      </c>
      <c r="AN31" t="s">
        <v>31</v>
      </c>
      <c r="AO31">
        <v>0.05</v>
      </c>
    </row>
    <row r="32" spans="1:42" ht="15.75" thickTop="1" x14ac:dyDescent="0.25">
      <c r="A32" s="124"/>
      <c r="AG32" s="251" t="s">
        <v>370</v>
      </c>
      <c r="AH32" s="251" t="s">
        <v>67</v>
      </c>
      <c r="AI32" s="251" t="s">
        <v>51</v>
      </c>
      <c r="AJ32" s="251" t="s">
        <v>56</v>
      </c>
      <c r="AK32" s="251" t="s">
        <v>57</v>
      </c>
      <c r="AL32" s="251" t="s">
        <v>26</v>
      </c>
      <c r="AM32" s="251" t="s">
        <v>27</v>
      </c>
      <c r="AN32" s="251" t="s">
        <v>188</v>
      </c>
      <c r="AO32" s="251" t="s">
        <v>54</v>
      </c>
      <c r="AP32" s="251" t="s">
        <v>371</v>
      </c>
    </row>
    <row r="33" spans="1:42" x14ac:dyDescent="0.25">
      <c r="A33" s="124"/>
      <c r="AG33" s="326">
        <f>SQRT(SUMPRODUCT(G20:I22*(G6:I8-1))/(AK30*AI33))</f>
        <v>4.7488010182688338</v>
      </c>
      <c r="AH33" s="326">
        <f>AJ30/AG33</f>
        <v>5.7277615750503079</v>
      </c>
      <c r="AI33" s="326">
        <f>SUM(G6:I8)-COUNT(G6:I8)</f>
        <v>36</v>
      </c>
      <c r="AJ33" s="326">
        <f>TDIST(ABS(AH33),AI33,2)</f>
        <v>1.6063932356798048E-6</v>
      </c>
      <c r="AK33" s="326">
        <f>TINV(AO31,AI33)</f>
        <v>2.028094000980452</v>
      </c>
      <c r="AL33" s="326">
        <f>AJ30-AG33*AK33</f>
        <v>17.568985142999118</v>
      </c>
      <c r="AM33" s="326">
        <f>AJ30+AG33*AK33</f>
        <v>36.831014857000888</v>
      </c>
      <c r="AN33" s="327" t="str">
        <f>IF(AJ33&lt;AO31,"yes","no")</f>
        <v>yes</v>
      </c>
      <c r="AO33" s="326">
        <f>ABS(AJ30)/(AG33*SQRT(AK30))</f>
        <v>3.6225544943104877</v>
      </c>
      <c r="AP33" s="326">
        <f>SQRT(AH33^2/(AH33^2+AI33))</f>
        <v>0.69050658220622163</v>
      </c>
    </row>
    <row r="34" spans="1:42" x14ac:dyDescent="0.25">
      <c r="A34" s="124"/>
    </row>
    <row r="35" spans="1:42" x14ac:dyDescent="0.25">
      <c r="A35" s="124"/>
    </row>
    <row r="36" spans="1:42" ht="15.75" thickBot="1" x14ac:dyDescent="0.3">
      <c r="A36" s="124"/>
      <c r="AB36" t="s">
        <v>178</v>
      </c>
      <c r="AG36" t="s">
        <v>633</v>
      </c>
    </row>
    <row r="37" spans="1:42" ht="15.75" thickTop="1" x14ac:dyDescent="0.25">
      <c r="A37" s="124"/>
      <c r="AC37" t="str">
        <f t="array" ref="AC37:AE37">G12:I12</f>
        <v>Arm</v>
      </c>
      <c r="AD37" t="str">
        <v>Neck</v>
      </c>
      <c r="AE37" t="str">
        <v>Foot</v>
      </c>
      <c r="AG37" s="251" t="s">
        <v>39</v>
      </c>
      <c r="AH37" s="251" t="s">
        <v>634</v>
      </c>
      <c r="AI37" s="251" t="s">
        <v>37</v>
      </c>
      <c r="AJ37" s="251" t="s">
        <v>4</v>
      </c>
      <c r="AK37" s="251" t="s">
        <v>28</v>
      </c>
    </row>
    <row r="38" spans="1:42" x14ac:dyDescent="0.25">
      <c r="AB38" t="str">
        <f t="array" ref="AB38:AB40">F13:F15</f>
        <v>Cold</v>
      </c>
      <c r="AC38" s="328">
        <v>-0.5</v>
      </c>
      <c r="AD38" s="329">
        <v>-0.5</v>
      </c>
      <c r="AE38" s="330"/>
      <c r="AG38" t="str">
        <f t="array" ref="AG38">IFERROR(INDEX($AB$38:$AB$40,SMALL(IF($AC$38:$AE$40&lt;&gt;"",ROW($AC$38:$AE$40)-MIN(ROW($AC$38:$AE$40))+1,""),ROW(A1))),"")</f>
        <v>Cold</v>
      </c>
      <c r="AH38" t="str">
        <f t="array" ref="AH38">IFERROR(INDEX($AC$37:$AE$37,,SMALL(IF($AC$38:$AE$40&lt;&gt;"",IF(ROW($AC$38:$AE$40)=MATCH(AG38,$AB$38:$AB$40,0)+ROW($AC$38)-1,COLUMN($AC$38:$AE$40)-COLUMN($AC$38)+1,""),""),COUNTIF($AG$38:AG38,AG38))),"")</f>
        <v>Arm</v>
      </c>
      <c r="AI38">
        <f>IFERROR(INDEX($AC$38:$AE$40,MATCH(AG38,$F$13:$F$15),MATCH(AH38,$G$12:$I$12,0)),0)</f>
        <v>-0.5</v>
      </c>
      <c r="AJ38">
        <f>IFERROR(INDEX($G$13:$I$15,MATCH(AG38,$F$13:$F$15),MATCH(AH38,$G$12:$I$12,0)),"")</f>
        <v>22.8</v>
      </c>
      <c r="AK38">
        <f>IFERROR(INDEX($G$6:$I$8,MATCH(AG38,$F$6:$F$8),MATCH(AH38,$G$5:$I$5,0)),1)</f>
        <v>5</v>
      </c>
    </row>
    <row r="39" spans="1:42" x14ac:dyDescent="0.25">
      <c r="AB39" t="str">
        <v>Dry</v>
      </c>
      <c r="AC39" s="320"/>
      <c r="AD39" s="307"/>
      <c r="AE39" s="321"/>
      <c r="AG39" t="str">
        <f t="array" ref="AG39">IFERROR(INDEX($AB$38:$AB$40,SMALL(IF($AC$38:$AE$40&lt;&gt;"",ROW($AC$38:$AE$40)-MIN(ROW($AC$38:$AE$40))+1,""),ROW(A2))),"")</f>
        <v>Cold</v>
      </c>
      <c r="AH39" t="str">
        <f t="array" ref="AH39">IFERROR(INDEX($AC$37:$AE$37,,SMALL(IF($AC$38:$AE$40&lt;&gt;"",IF(ROW($AC$38:$AE$40)=MATCH(AG39,$AB$38:$AB$40,0)+ROW($AC$38)-1,COLUMN($AC$38:$AE$40)-COLUMN($AC$38)+1,""),""),COUNTIF($AG$38:AG39,AG39))),"")</f>
        <v>Neck</v>
      </c>
      <c r="AI39">
        <f>IFERROR(INDEX($AC$38:$AE$40,MATCH(AG39,$F$13:$F$15),MATCH(AH39,$G$12:$I$12,0)),0)</f>
        <v>-0.5</v>
      </c>
      <c r="AJ39">
        <f>IFERROR(INDEX($G$13:$I$15,MATCH(AG39,$F$13:$F$15),MATCH(AH39,$G$12:$I$12,0)),"")</f>
        <v>19.8</v>
      </c>
      <c r="AK39">
        <f>IFERROR(INDEX($G$6:$I$8,MATCH(AG39,$F$6:$F$8),MATCH(AH39,$G$5:$I$5,0)),1)</f>
        <v>5</v>
      </c>
    </row>
    <row r="40" spans="1:42" x14ac:dyDescent="0.25">
      <c r="AB40" t="str">
        <v>Humid</v>
      </c>
      <c r="AC40" s="322">
        <v>0.5</v>
      </c>
      <c r="AD40" s="323">
        <v>0.5</v>
      </c>
      <c r="AE40" s="324"/>
      <c r="AG40" t="str">
        <f t="array" ref="AG40">IFERROR(INDEX($AB$38:$AB$40,SMALL(IF($AC$38:$AE$40&lt;&gt;"",ROW($AC$38:$AE$40)-MIN(ROW($AC$38:$AE$40))+1,""),ROW(A3))),"")</f>
        <v>Humid</v>
      </c>
      <c r="AH40" t="str">
        <f t="array" ref="AH40">IFERROR(INDEX($AC$37:$AE$37,,SMALL(IF($AC$38:$AE$40&lt;&gt;"",IF(ROW($AC$38:$AE$40)=MATCH(AG40,$AB$38:$AB$40,0)+ROW($AC$38)-1,COLUMN($AC$38:$AE$40)-COLUMN($AC$38)+1,""),""),COUNTIF($AG$38:AG40,AG40))),"")</f>
        <v>Arm</v>
      </c>
      <c r="AI40">
        <f>IFERROR(INDEX($AC$38:$AE$40,MATCH(AG40,$F$13:$F$15),MATCH(AH40,$G$12:$I$12,0)),0)</f>
        <v>0.5</v>
      </c>
      <c r="AJ40">
        <f>IFERROR(INDEX($G$13:$I$15,MATCH(AG40,$F$13:$F$15),MATCH(AH40,$G$12:$I$12,0)),"")</f>
        <v>28</v>
      </c>
      <c r="AK40">
        <f>IFERROR(INDEX($G$6:$I$8,MATCH(AG40,$F$6:$F$8),MATCH(AH40,$G$5:$I$5,0)),1)</f>
        <v>5</v>
      </c>
    </row>
    <row r="41" spans="1:42" x14ac:dyDescent="0.25">
      <c r="AG41" t="str">
        <f t="array" ref="AG41">IFERROR(INDEX($AB$38:$AB$40,SMALL(IF($AC$38:$AE$40&lt;&gt;"",ROW($AC$38:$AE$40)-MIN(ROW($AC$38:$AE$40))+1,""),ROW(A4))),"")</f>
        <v>Humid</v>
      </c>
      <c r="AH41" t="str">
        <f t="array" ref="AH41">IFERROR(INDEX($AC$37:$AE$37,,SMALL(IF($AC$38:$AE$40&lt;&gt;"",IF(ROW($AC$38:$AE$40)=MATCH(AG41,$AB$38:$AB$40,0)+ROW($AC$38)-1,COLUMN($AC$38:$AE$40)-COLUMN($AC$38)+1,""),""),COUNTIF($AG$38:AG41,AG41))),"")</f>
        <v>Neck</v>
      </c>
      <c r="AI41">
        <f>IFERROR(INDEX($AC$38:$AE$40,MATCH(AG41,$F$13:$F$15),MATCH(AH41,$G$12:$I$12,0)),0)</f>
        <v>0.5</v>
      </c>
      <c r="AJ41">
        <f>IFERROR(INDEX($G$13:$I$15,MATCH(AG41,$F$13:$F$15),MATCH(AH41,$G$12:$I$12,0)),"")</f>
        <v>26</v>
      </c>
      <c r="AK41">
        <f>IFERROR(INDEX($G$6:$I$8,MATCH(AG41,$F$6:$F$8),MATCH(AH41,$G$5:$I$5,0)),1)</f>
        <v>5</v>
      </c>
    </row>
    <row r="42" spans="1:42" x14ac:dyDescent="0.25">
      <c r="B42" s="574" t="s">
        <v>326</v>
      </c>
      <c r="C42" s="575"/>
      <c r="D42" s="576"/>
      <c r="AG42" s="331"/>
      <c r="AH42" s="331"/>
      <c r="AI42" s="331">
        <f>SUM(AI38:AI41)</f>
        <v>0</v>
      </c>
      <c r="AJ42" s="331">
        <f>SUMPRODUCT(AI38:AI41,AJ38:AJ41)</f>
        <v>5.6999999999999993</v>
      </c>
      <c r="AK42" s="331">
        <f>1/SUMPRODUCT(AI38:AI41^2,1/AK38:AK41)</f>
        <v>5</v>
      </c>
    </row>
    <row r="43" spans="1:42" ht="15.75" thickBot="1" x14ac:dyDescent="0.3">
      <c r="A43" s="135" t="s">
        <v>325</v>
      </c>
      <c r="B43" s="153" t="s">
        <v>319</v>
      </c>
      <c r="C43" s="153" t="s">
        <v>321</v>
      </c>
      <c r="D43" s="153" t="s">
        <v>320</v>
      </c>
      <c r="AG43" t="s">
        <v>55</v>
      </c>
      <c r="AN43" t="s">
        <v>31</v>
      </c>
      <c r="AO43">
        <v>0.05</v>
      </c>
    </row>
    <row r="44" spans="1:42" ht="15.75" thickTop="1" x14ac:dyDescent="0.25">
      <c r="A44" s="140" t="s">
        <v>322</v>
      </c>
      <c r="B44" s="147">
        <v>15</v>
      </c>
      <c r="C44" s="147">
        <v>21</v>
      </c>
      <c r="D44" s="147">
        <v>11</v>
      </c>
      <c r="AG44" s="251" t="s">
        <v>370</v>
      </c>
      <c r="AH44" s="251" t="s">
        <v>67</v>
      </c>
      <c r="AI44" s="251" t="s">
        <v>51</v>
      </c>
      <c r="AJ44" s="251" t="s">
        <v>56</v>
      </c>
      <c r="AK44" s="251" t="s">
        <v>57</v>
      </c>
      <c r="AL44" s="251" t="s">
        <v>26</v>
      </c>
      <c r="AM44" s="251" t="s">
        <v>27</v>
      </c>
      <c r="AN44" s="251" t="s">
        <v>188</v>
      </c>
      <c r="AO44" s="251" t="s">
        <v>54</v>
      </c>
      <c r="AP44" s="251" t="s">
        <v>371</v>
      </c>
    </row>
    <row r="45" spans="1:42" x14ac:dyDescent="0.25">
      <c r="A45" s="124"/>
      <c r="B45" s="123">
        <v>23</v>
      </c>
      <c r="C45" s="123">
        <v>11</v>
      </c>
      <c r="D45" s="123">
        <v>8</v>
      </c>
      <c r="AG45" s="332">
        <f>SQRT(SUMPRODUCT(G20:I22*(G6:I8-1))/(AK42*AI45))</f>
        <v>3.3579094025234744</v>
      </c>
      <c r="AH45" s="332">
        <f>AJ42/AG45</f>
        <v>1.697484749206289</v>
      </c>
      <c r="AI45" s="332">
        <f>SUM(G6:I8)-COUNT(G6:I8)</f>
        <v>36</v>
      </c>
      <c r="AJ45" s="332">
        <f>TDIST(ABS(AH45),AI45,2)</f>
        <v>9.8235257349545607E-2</v>
      </c>
      <c r="AK45" s="332">
        <f>TINV(AO43,AI45)</f>
        <v>2.028094000980452</v>
      </c>
      <c r="AL45" s="332">
        <f>AJ42-AG45*AK45</f>
        <v>-1.1101559150937126</v>
      </c>
      <c r="AM45" s="332">
        <f>AJ42+AG45*AK45</f>
        <v>12.510155915093712</v>
      </c>
      <c r="AN45" s="333" t="str">
        <f>IF(AJ45&lt;AO43,"yes","no")</f>
        <v>no</v>
      </c>
      <c r="AO45" s="332">
        <f>ABS(AJ42)/(AG45*SQRT(AK42))</f>
        <v>0.75913825799888879</v>
      </c>
      <c r="AP45" s="332">
        <f>SQRT(AH45^2/(AH45^2+AI45))</f>
        <v>0.27222915167910905</v>
      </c>
    </row>
    <row r="46" spans="1:42" x14ac:dyDescent="0.25">
      <c r="A46" s="124"/>
      <c r="B46" s="123">
        <v>26</v>
      </c>
      <c r="C46" s="123">
        <v>28</v>
      </c>
      <c r="D46" s="123">
        <v>2</v>
      </c>
    </row>
    <row r="47" spans="1:42" x14ac:dyDescent="0.25">
      <c r="A47" s="124"/>
      <c r="B47" s="123">
        <v>19</v>
      </c>
      <c r="C47" s="123">
        <v>16</v>
      </c>
      <c r="D47" s="123">
        <v>19</v>
      </c>
    </row>
    <row r="48" spans="1:42" ht="15.75" thickBot="1" x14ac:dyDescent="0.3">
      <c r="A48" s="9"/>
      <c r="B48" s="58">
        <v>31</v>
      </c>
      <c r="C48" s="58">
        <v>23</v>
      </c>
      <c r="D48" s="58">
        <v>10</v>
      </c>
      <c r="AB48" t="s">
        <v>178</v>
      </c>
      <c r="AG48" t="s">
        <v>633</v>
      </c>
    </row>
    <row r="49" spans="2:42" ht="15.75" thickTop="1" x14ac:dyDescent="0.25">
      <c r="AC49" t="str">
        <f t="array" ref="AC49:AE49">G12:I12</f>
        <v>Arm</v>
      </c>
      <c r="AD49" t="str">
        <v>Neck</v>
      </c>
      <c r="AE49" t="str">
        <v>Foot</v>
      </c>
      <c r="AG49" s="251" t="s">
        <v>39</v>
      </c>
      <c r="AH49" s="251" t="s">
        <v>634</v>
      </c>
      <c r="AI49" s="251" t="s">
        <v>37</v>
      </c>
      <c r="AJ49" s="251" t="s">
        <v>4</v>
      </c>
      <c r="AK49" s="251" t="s">
        <v>28</v>
      </c>
    </row>
    <row r="50" spans="2:42" x14ac:dyDescent="0.25">
      <c r="AB50" t="str">
        <f t="array" ref="AB50:AB52">F13:F15</f>
        <v>Cold</v>
      </c>
      <c r="AC50" s="328"/>
      <c r="AD50" s="329"/>
      <c r="AE50" s="330">
        <v>-1</v>
      </c>
      <c r="AG50" t="str">
        <f t="array" ref="AG50">IFERROR(INDEX($AB$50:$AB$52,SMALL(IF($AC$50:$AE$52&lt;&gt;"",ROW($AC$50:$AE$52)-MIN(ROW($AC$50:$AE$52))+1,""),ROW(A1))),"")</f>
        <v>Cold</v>
      </c>
      <c r="AH50" t="str">
        <f t="array" ref="AH50">IFERROR(INDEX($AC$49:$AE$49,,SMALL(IF($AC$50:$AE$52&lt;&gt;"",IF(ROW($AC$50:$AE$52)=MATCH(AG50,$AB$50:$AB$52,0)+ROW($AC$50)-1,COLUMN($AC$50:$AE$52)-COLUMN($AC$50)+1,""),""),COUNTIF($AG$50:AG50,AG50))),"")</f>
        <v>Foot</v>
      </c>
      <c r="AI50">
        <f>IFERROR(INDEX($AC$50:$AE$52,MATCH(AG50,$F$13:$F$15),MATCH(AH50,$G$12:$I$12,0)),0)</f>
        <v>-1</v>
      </c>
      <c r="AJ50">
        <f>IFERROR(INDEX($G$13:$I$15,MATCH(AG50,$F$13:$F$15),MATCH(AH50,$G$12:$I$12,0)),"")</f>
        <v>10</v>
      </c>
      <c r="AK50">
        <f>IFERROR(INDEX($G$6:$I$8,MATCH(AG50,$F$6:$F$8),MATCH(AH50,$G$5:$I$5,0)),1)</f>
        <v>5</v>
      </c>
    </row>
    <row r="51" spans="2:42" x14ac:dyDescent="0.25">
      <c r="AB51" t="str">
        <v>Dry</v>
      </c>
      <c r="AC51" s="320"/>
      <c r="AD51" s="307"/>
      <c r="AE51" s="321"/>
      <c r="AG51" t="str">
        <f t="array" ref="AG51">IFERROR(INDEX($AB$50:$AB$52,SMALL(IF($AC$50:$AE$52&lt;&gt;"",ROW($AC$50:$AE$52)-MIN(ROW($AC$50:$AE$52))+1,""),ROW(A2))),"")</f>
        <v>Humid</v>
      </c>
      <c r="AH51" t="str">
        <f t="array" ref="AH51">IFERROR(INDEX($AC$49:$AE$49,,SMALL(IF($AC$50:$AE$52&lt;&gt;"",IF(ROW($AC$50:$AE$52)=MATCH(AG51,$AB$50:$AB$52,0)+ROW($AC$50)-1,COLUMN($AC$50:$AE$52)-COLUMN($AC$50)+1,""),""),COUNTIF($AG$50:AG51,AG51))),"")</f>
        <v>Foot</v>
      </c>
      <c r="AI51">
        <f>IFERROR(INDEX($AC$50:$AE$52,MATCH(AG51,$F$13:$F$15),MATCH(AH51,$G$12:$I$12,0)),0)</f>
        <v>1</v>
      </c>
      <c r="AJ51">
        <f>IFERROR(INDEX($G$13:$I$15,MATCH(AG51,$F$13:$F$15),MATCH(AH51,$G$12:$I$12,0)),"")</f>
        <v>37.200000000000003</v>
      </c>
      <c r="AK51">
        <f>IFERROR(INDEX($G$6:$I$8,MATCH(AG51,$F$6:$F$8),MATCH(AH51,$G$5:$I$5,0)),1)</f>
        <v>5</v>
      </c>
    </row>
    <row r="52" spans="2:42" x14ac:dyDescent="0.25">
      <c r="AB52" t="str">
        <v>Humid</v>
      </c>
      <c r="AC52" s="322"/>
      <c r="AD52" s="323"/>
      <c r="AE52" s="324">
        <v>1</v>
      </c>
      <c r="AG52" s="331"/>
      <c r="AH52" s="331"/>
      <c r="AI52" s="331">
        <f>SUM(AI50:AI51)</f>
        <v>0</v>
      </c>
      <c r="AJ52" s="331">
        <f>SUMPRODUCT(AI50:AI51,AJ50:AJ51)</f>
        <v>27.200000000000003</v>
      </c>
      <c r="AK52" s="331">
        <f>1/SUMPRODUCT(AI50:AI51^2,1/AK50:AK51)</f>
        <v>2.5</v>
      </c>
    </row>
    <row r="53" spans="2:42" ht="15.75" thickBot="1" x14ac:dyDescent="0.3">
      <c r="AG53" t="s">
        <v>55</v>
      </c>
      <c r="AN53" t="s">
        <v>31</v>
      </c>
      <c r="AO53">
        <v>0.05</v>
      </c>
    </row>
    <row r="54" spans="2:42" ht="15.75" thickTop="1" x14ac:dyDescent="0.25">
      <c r="AG54" s="251" t="s">
        <v>370</v>
      </c>
      <c r="AH54" s="251" t="s">
        <v>67</v>
      </c>
      <c r="AI54" s="251" t="s">
        <v>51</v>
      </c>
      <c r="AJ54" s="251" t="s">
        <v>56</v>
      </c>
      <c r="AK54" s="251" t="s">
        <v>57</v>
      </c>
      <c r="AL54" s="251" t="s">
        <v>26</v>
      </c>
      <c r="AM54" s="251" t="s">
        <v>27</v>
      </c>
      <c r="AN54" s="251" t="s">
        <v>188</v>
      </c>
      <c r="AO54" s="251" t="s">
        <v>54</v>
      </c>
      <c r="AP54" s="251" t="s">
        <v>371</v>
      </c>
    </row>
    <row r="55" spans="2:42" x14ac:dyDescent="0.25">
      <c r="AG55" s="332">
        <f>SQRT(SUMPRODUCT(G20:I22*(G6:I8-1))/(AK52*AI55))</f>
        <v>4.7488010182688338</v>
      </c>
      <c r="AH55" s="332">
        <f>AJ52/AG55</f>
        <v>5.7277615750503079</v>
      </c>
      <c r="AI55" s="332">
        <f>SUM(G6:I8)-COUNT(G6:I8)</f>
        <v>36</v>
      </c>
      <c r="AJ55" s="332">
        <f>TDIST(ABS(AH55),AI55,2)</f>
        <v>1.6063932356798048E-6</v>
      </c>
      <c r="AK55" s="332">
        <f>TINV(AO53,AI55)</f>
        <v>2.028094000980452</v>
      </c>
      <c r="AL55" s="332">
        <f>AJ52-AG55*AK55</f>
        <v>17.568985142999118</v>
      </c>
      <c r="AM55" s="332">
        <f>AJ52+AG55*AK55</f>
        <v>36.831014857000888</v>
      </c>
      <c r="AN55" s="333" t="str">
        <f>IF(AJ55&lt;AO53,"yes","no")</f>
        <v>yes</v>
      </c>
      <c r="AO55" s="332">
        <f>ABS(AJ52)/(AG55*SQRT(AK52))</f>
        <v>3.6225544943104877</v>
      </c>
      <c r="AP55" s="332">
        <f>SQRT(AH55^2/(AH55^2+AI55))</f>
        <v>0.69050658220622163</v>
      </c>
    </row>
    <row r="58" spans="2:42" ht="15.75" thickBot="1" x14ac:dyDescent="0.3">
      <c r="AB58" t="s">
        <v>178</v>
      </c>
      <c r="AG58" t="s">
        <v>633</v>
      </c>
    </row>
    <row r="59" spans="2:42" ht="15.75" thickTop="1" x14ac:dyDescent="0.25">
      <c r="B59" s="12" t="s">
        <v>322</v>
      </c>
      <c r="C59" s="12" t="s">
        <v>323</v>
      </c>
      <c r="D59" s="12" t="s">
        <v>324</v>
      </c>
      <c r="AC59" t="str">
        <f t="array" ref="AC59:AE59">G12:I12</f>
        <v>Arm</v>
      </c>
      <c r="AD59" t="str">
        <v>Neck</v>
      </c>
      <c r="AE59" t="str">
        <v>Foot</v>
      </c>
      <c r="AG59" s="251" t="s">
        <v>39</v>
      </c>
      <c r="AH59" s="251" t="s">
        <v>634</v>
      </c>
      <c r="AI59" s="251" t="s">
        <v>37</v>
      </c>
      <c r="AJ59" s="251" t="s">
        <v>4</v>
      </c>
      <c r="AK59" s="251" t="s">
        <v>28</v>
      </c>
    </row>
    <row r="60" spans="2:42" x14ac:dyDescent="0.25">
      <c r="B60" s="147">
        <v>15</v>
      </c>
      <c r="C60" s="147">
        <v>33</v>
      </c>
      <c r="D60" s="147">
        <v>28</v>
      </c>
      <c r="AB60" t="str">
        <f t="array" ref="AB60:AB62">F13:F15</f>
        <v>Cold</v>
      </c>
      <c r="AC60" s="334"/>
      <c r="AD60" s="329"/>
      <c r="AE60" s="336"/>
      <c r="AG60" t="str">
        <f t="array" ref="AG60">IFERROR(INDEX($AB$60:$AB$62,SMALL(IF($AC$60:$AE$62&lt;&gt;"",ROW($AC$60:$AE$62)-MIN(ROW($AC$60:$AE$62))+1,""),ROW(A1))),"")</f>
        <v>Humid</v>
      </c>
      <c r="AH60" t="str">
        <f t="array" ref="AH60">IFERROR(INDEX($AC$59:$AE$59,,SMALL(IF($AC$60:$AE$62&lt;&gt;"",IF(ROW($AC$60:$AE$62)=MATCH(AG60,$AB$60:$AB$62,0)+ROW($AC$60)-1,COLUMN($AC$60:$AE$62)-COLUMN($AC$60)+1,""),""),COUNTIF($AG$60:AG60,AG60))),"")</f>
        <v>Arm</v>
      </c>
      <c r="AI60">
        <f>IFERROR(INDEX($AC$60:$AE$62,MATCH(AG60,$F$13:$F$15),MATCH(AH60,$G$12:$I$12,0)),0)</f>
        <v>-1</v>
      </c>
      <c r="AJ60">
        <f>IFERROR(INDEX($G$13:$I$15,MATCH(AG60,$F$13:$F$15),MATCH(AH60,$G$12:$I$12,0)),"")</f>
        <v>28</v>
      </c>
      <c r="AK60">
        <f>IFERROR(INDEX($G$6:$I$8,MATCH(AG60,$F$6:$F$8),MATCH(AH60,$G$5:$I$5,0)),1)</f>
        <v>5</v>
      </c>
    </row>
    <row r="61" spans="2:42" x14ac:dyDescent="0.25">
      <c r="B61" s="123">
        <v>23</v>
      </c>
      <c r="C61" s="123">
        <v>26</v>
      </c>
      <c r="D61" s="123">
        <v>20</v>
      </c>
      <c r="AB61" t="str">
        <v>Dry</v>
      </c>
      <c r="AC61" s="320"/>
      <c r="AD61" s="307"/>
      <c r="AE61" s="321"/>
      <c r="AG61" t="str">
        <f t="array" ref="AG61">IFERROR(INDEX($AB$60:$AB$62,SMALL(IF($AC$60:$AE$62&lt;&gt;"",ROW($AC$60:$AE$62)-MIN(ROW($AC$60:$AE$62))+1,""),ROW(A2))),"")</f>
        <v>Humid</v>
      </c>
      <c r="AH61" t="str">
        <f t="array" ref="AH61">IFERROR(INDEX($AC$59:$AE$59,,SMALL(IF($AC$60:$AE$62&lt;&gt;"",IF(ROW($AC$60:$AE$62)=MATCH(AG61,$AB$60:$AB$62,0)+ROW($AC$60)-1,COLUMN($AC$60:$AE$62)-COLUMN($AC$60)+1,""),""),COUNTIF($AG$60:AG61,AG61))),"")</f>
        <v>Foot</v>
      </c>
      <c r="AI61">
        <f>IFERROR(INDEX($AC$60:$AE$62,MATCH(AG61,$F$13:$F$15),MATCH(AH61,$G$12:$I$12,0)),0)</f>
        <v>1</v>
      </c>
      <c r="AJ61">
        <f>IFERROR(INDEX($G$13:$I$15,MATCH(AG61,$F$13:$F$15),MATCH(AH61,$G$12:$I$12,0)),"")</f>
        <v>37.200000000000003</v>
      </c>
      <c r="AK61">
        <f>IFERROR(INDEX($G$6:$I$8,MATCH(AG61,$F$6:$F$8),MATCH(AH61,$G$5:$I$5,0)),1)</f>
        <v>5</v>
      </c>
    </row>
    <row r="62" spans="2:42" x14ac:dyDescent="0.25">
      <c r="B62" s="123">
        <v>26</v>
      </c>
      <c r="C62" s="123">
        <v>15</v>
      </c>
      <c r="D62" s="123">
        <v>18</v>
      </c>
      <c r="AB62" t="str">
        <v>Humid</v>
      </c>
      <c r="AC62" s="322">
        <v>-1</v>
      </c>
      <c r="AD62" s="323"/>
      <c r="AE62" s="324">
        <v>1</v>
      </c>
      <c r="AG62" s="340"/>
      <c r="AH62" s="340"/>
      <c r="AI62" s="340">
        <f>SUM(AI60:AI61)</f>
        <v>0</v>
      </c>
      <c r="AJ62" s="340">
        <f>SUMPRODUCT(AI60:AI61,AJ60:AJ61)</f>
        <v>9.2000000000000028</v>
      </c>
      <c r="AK62" s="340">
        <f>1/SUMPRODUCT(AI60:AI61^2,1/AK60:AK61)</f>
        <v>2.5</v>
      </c>
    </row>
    <row r="63" spans="2:42" ht="15.75" thickBot="1" x14ac:dyDescent="0.3">
      <c r="B63" s="123">
        <v>19</v>
      </c>
      <c r="C63" s="123">
        <v>18</v>
      </c>
      <c r="D63" s="123">
        <v>36</v>
      </c>
      <c r="AG63" t="s">
        <v>55</v>
      </c>
      <c r="AN63" t="s">
        <v>31</v>
      </c>
      <c r="AO63">
        <v>0.05</v>
      </c>
    </row>
    <row r="64" spans="2:42" ht="15.75" thickTop="1" x14ac:dyDescent="0.25">
      <c r="B64" s="123">
        <v>31</v>
      </c>
      <c r="C64" s="123">
        <v>33</v>
      </c>
      <c r="D64" s="123">
        <v>38</v>
      </c>
      <c r="AG64" s="251" t="s">
        <v>370</v>
      </c>
      <c r="AH64" s="251" t="s">
        <v>67</v>
      </c>
      <c r="AI64" s="251" t="s">
        <v>51</v>
      </c>
      <c r="AJ64" s="251" t="s">
        <v>56</v>
      </c>
      <c r="AK64" s="251" t="s">
        <v>57</v>
      </c>
      <c r="AL64" s="251" t="s">
        <v>26</v>
      </c>
      <c r="AM64" s="251" t="s">
        <v>27</v>
      </c>
      <c r="AN64" s="251" t="s">
        <v>188</v>
      </c>
      <c r="AO64" s="251" t="s">
        <v>54</v>
      </c>
      <c r="AP64" s="251" t="s">
        <v>371</v>
      </c>
    </row>
    <row r="65" spans="2:42" x14ac:dyDescent="0.25">
      <c r="B65" s="123">
        <v>21</v>
      </c>
      <c r="C65" s="123">
        <v>25</v>
      </c>
      <c r="D65" s="123">
        <v>16</v>
      </c>
      <c r="AG65" s="341">
        <f>SQRT(SUMPRODUCT(G20:I22*(G6:I8-1))/(AK62*AI65))</f>
        <v>4.7488010182688338</v>
      </c>
      <c r="AH65" s="341">
        <f>AJ62/AG65</f>
        <v>1.9373311209728987</v>
      </c>
      <c r="AI65" s="341">
        <f>SUM(G6:I8)-COUNT(G6:I8)</f>
        <v>36</v>
      </c>
      <c r="AJ65" s="341">
        <f>TDIST(ABS(AH65),AI65,2)</f>
        <v>6.0581630034107048E-2</v>
      </c>
      <c r="AK65" s="341">
        <f>TINV(AO63,AI65)</f>
        <v>2.028094000980452</v>
      </c>
      <c r="AL65" s="341">
        <f>AJ62-AG65*AK65</f>
        <v>-0.43101485700088027</v>
      </c>
      <c r="AM65" s="341">
        <f>AJ62+AG65*AK65</f>
        <v>18.831014857000888</v>
      </c>
      <c r="AN65" s="342" t="str">
        <f>IF(AJ65&lt;AO63,"yes","no")</f>
        <v>no</v>
      </c>
      <c r="AO65" s="341">
        <f>ABS(AJ62)/(AG65*SQRT(AK62))</f>
        <v>1.2252757848403122</v>
      </c>
      <c r="AP65" s="341">
        <f>SQRT(AH65^2/(AH65^2+AI65))</f>
        <v>0.30726813525438873</v>
      </c>
    </row>
    <row r="66" spans="2:42" x14ac:dyDescent="0.25">
      <c r="B66" s="123">
        <v>11</v>
      </c>
      <c r="C66" s="123">
        <v>29</v>
      </c>
      <c r="D66" s="123">
        <v>18</v>
      </c>
    </row>
    <row r="67" spans="2:42" x14ac:dyDescent="0.25">
      <c r="B67" s="123">
        <v>28</v>
      </c>
      <c r="C67" s="123">
        <v>17</v>
      </c>
      <c r="D67" s="123">
        <v>26</v>
      </c>
    </row>
    <row r="68" spans="2:42" x14ac:dyDescent="0.25">
      <c r="B68" s="123">
        <v>16</v>
      </c>
      <c r="C68" s="123">
        <v>22</v>
      </c>
      <c r="D68" s="123">
        <v>36</v>
      </c>
    </row>
    <row r="69" spans="2:42" x14ac:dyDescent="0.25">
      <c r="B69" s="123">
        <v>23</v>
      </c>
      <c r="C69" s="123">
        <v>12</v>
      </c>
      <c r="D69" s="123">
        <v>34</v>
      </c>
    </row>
    <row r="70" spans="2:42" x14ac:dyDescent="0.25">
      <c r="B70" s="123">
        <v>11</v>
      </c>
      <c r="C70" s="123">
        <v>30</v>
      </c>
      <c r="D70" s="123">
        <v>26</v>
      </c>
    </row>
    <row r="71" spans="2:42" x14ac:dyDescent="0.25">
      <c r="B71" s="123">
        <v>8</v>
      </c>
      <c r="C71" s="123">
        <v>29</v>
      </c>
      <c r="D71" s="123">
        <v>37</v>
      </c>
    </row>
    <row r="72" spans="2:42" x14ac:dyDescent="0.25">
      <c r="B72" s="123">
        <v>2</v>
      </c>
      <c r="C72" s="123">
        <v>39</v>
      </c>
      <c r="D72" s="123">
        <v>39</v>
      </c>
    </row>
    <row r="73" spans="2:42" x14ac:dyDescent="0.25">
      <c r="B73" s="123">
        <v>19</v>
      </c>
      <c r="C73" s="123">
        <v>25</v>
      </c>
      <c r="D73" s="123">
        <v>34</v>
      </c>
    </row>
    <row r="74" spans="2:42" x14ac:dyDescent="0.25">
      <c r="B74" s="58">
        <v>10</v>
      </c>
      <c r="C74" s="58">
        <v>24</v>
      </c>
      <c r="D74" s="58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G6:I8 G13:I15 G20:I22" formulaRange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6"/>
  <dimension ref="A1:AR24"/>
  <sheetViews>
    <sheetView workbookViewId="0"/>
  </sheetViews>
  <sheetFormatPr defaultRowHeight="15" x14ac:dyDescent="0.25"/>
  <sheetData>
    <row r="1" spans="1:44" ht="15.75" thickBot="1" x14ac:dyDescent="0.3">
      <c r="A1" s="1" t="s">
        <v>616</v>
      </c>
      <c r="F1" t="s">
        <v>24</v>
      </c>
      <c r="L1" t="s">
        <v>493</v>
      </c>
      <c r="T1" t="s">
        <v>789</v>
      </c>
      <c r="W1" s="440" t="s">
        <v>70</v>
      </c>
      <c r="X1">
        <v>0.05</v>
      </c>
      <c r="AE1" t="s">
        <v>178</v>
      </c>
      <c r="AJ1" t="s">
        <v>637</v>
      </c>
    </row>
    <row r="2" spans="1:44" ht="15.75" thickTop="1" x14ac:dyDescent="0.25">
      <c r="T2" s="251" t="s">
        <v>757</v>
      </c>
      <c r="U2" s="251" t="s">
        <v>4</v>
      </c>
      <c r="V2" s="251" t="s">
        <v>666</v>
      </c>
      <c r="W2" s="251" t="s">
        <v>51</v>
      </c>
      <c r="X2" s="251" t="s">
        <v>195</v>
      </c>
      <c r="AF2" t="str">
        <f t="array" ref="AF2:AH2">G11:I11</f>
        <v>Arm</v>
      </c>
      <c r="AG2" t="str">
        <v>Neck</v>
      </c>
      <c r="AH2" t="str">
        <v>Foot</v>
      </c>
      <c r="AJ2" s="251" t="s">
        <v>39</v>
      </c>
      <c r="AK2" s="251" t="s">
        <v>634</v>
      </c>
      <c r="AL2" s="251" t="s">
        <v>4</v>
      </c>
      <c r="AM2" s="251" t="s">
        <v>28</v>
      </c>
      <c r="AN2" s="251" t="s">
        <v>48</v>
      </c>
      <c r="AO2" s="251" t="s">
        <v>638</v>
      </c>
    </row>
    <row r="3" spans="1:44" ht="15.75" thickBot="1" x14ac:dyDescent="0.3">
      <c r="B3" s="577" t="s">
        <v>326</v>
      </c>
      <c r="C3" s="578"/>
      <c r="D3" s="579"/>
      <c r="F3" t="s">
        <v>489</v>
      </c>
      <c r="G3" t="str">
        <f>IF(COUNTIF(G5:I7,G5)=COUNT(G5:I7),"balanced","unbalanced")</f>
        <v>balanced</v>
      </c>
      <c r="L3" t="s">
        <v>101</v>
      </c>
      <c r="P3" s="440" t="s">
        <v>31</v>
      </c>
      <c r="Q3" s="440">
        <v>0.05</v>
      </c>
      <c r="T3" s="385" t="str">
        <f>F12</f>
        <v>Cold</v>
      </c>
      <c r="U3" s="385">
        <f>J12</f>
        <v>17.533333333333335</v>
      </c>
      <c r="V3" s="385">
        <f>J5</f>
        <v>15</v>
      </c>
      <c r="W3" s="385"/>
      <c r="X3" s="385"/>
      <c r="AE3" t="str">
        <f t="array" ref="AE3:AE5">F12:F14</f>
        <v>Cold</v>
      </c>
      <c r="AF3" s="334">
        <v>1</v>
      </c>
      <c r="AG3" s="335"/>
      <c r="AH3" s="336">
        <v>-1</v>
      </c>
      <c r="AJ3" t="str">
        <f t="array" ref="AJ3">INDEX(AE3:AE5,MIN(IF(AF3:AH5=1,ROW(AF3:AH5)-ROW(AF3)+1)))</f>
        <v>Cold</v>
      </c>
      <c r="AK3" t="str">
        <f t="array" ref="AK3">INDEX(AF2:AH2,MIN(IF(AF3:AH5=1,COLUMN(AF3:AH5)-COLUMN(AF3)+1)))</f>
        <v>Arm</v>
      </c>
      <c r="AL3">
        <f>INDEX(G12:I14,MATCH(AJ3,F12:F14,0),MATCH(AK3,G11:I11,0))</f>
        <v>22.8</v>
      </c>
      <c r="AM3">
        <f>INDEX(G5:I7,MATCH(AJ3,F5:F7,0),MATCH(AK3,G4:I4,0))</f>
        <v>5</v>
      </c>
    </row>
    <row r="4" spans="1:44" ht="15.75" thickTop="1" x14ac:dyDescent="0.25">
      <c r="A4" s="442" t="s">
        <v>325</v>
      </c>
      <c r="B4" s="443" t="s">
        <v>319</v>
      </c>
      <c r="C4" s="443" t="s">
        <v>321</v>
      </c>
      <c r="D4" s="443" t="s">
        <v>320</v>
      </c>
      <c r="G4" s="440" t="str">
        <f>B4</f>
        <v>Arm</v>
      </c>
      <c r="H4" s="440" t="str">
        <f t="shared" ref="H4:I4" si="0">C4</f>
        <v>Neck</v>
      </c>
      <c r="I4" s="440" t="str">
        <f t="shared" si="0"/>
        <v>Foot</v>
      </c>
      <c r="L4" s="251"/>
      <c r="M4" s="251" t="s">
        <v>88</v>
      </c>
      <c r="N4" s="251" t="s">
        <v>51</v>
      </c>
      <c r="O4" s="251" t="s">
        <v>92</v>
      </c>
      <c r="P4" s="251" t="s">
        <v>82</v>
      </c>
      <c r="Q4" s="251" t="s">
        <v>56</v>
      </c>
      <c r="R4" s="251" t="s">
        <v>865</v>
      </c>
      <c r="T4" s="7" t="str">
        <f t="shared" ref="T4:T5" si="1">F13</f>
        <v>Dry</v>
      </c>
      <c r="U4" s="7">
        <f t="shared" ref="U4:U5" si="2">J13</f>
        <v>25.133333333333333</v>
      </c>
      <c r="V4" s="7">
        <f t="shared" ref="V4:V5" si="3">J6</f>
        <v>15</v>
      </c>
      <c r="W4" s="7"/>
      <c r="X4" s="7"/>
      <c r="AE4" t="str">
        <v>Dry</v>
      </c>
      <c r="AF4" s="320"/>
      <c r="AG4" s="307"/>
      <c r="AH4" s="321"/>
      <c r="AJ4" s="224" t="str">
        <f t="array" ref="AJ4">INDEX(AE3:AE5,MIN(IF(AF3:AH5=-1,ROW(AF3:AH5)-ROW(AF3)+1)))</f>
        <v>Cold</v>
      </c>
      <c r="AK4" s="224" t="str">
        <f t="array" ref="AK4">INDEX(AF2:AH2,MIN(IF(AF3:AH5=-1,COLUMN(AF3:AH5)-COLUMN(AF3)+1)))</f>
        <v>Foot</v>
      </c>
      <c r="AL4" s="224">
        <f>INDEX(G12:I14,MATCH(AJ4,F12:F14,0),MATCH(AK4,G11:I11,0))</f>
        <v>10</v>
      </c>
      <c r="AM4" s="224">
        <f>INDEX(G5:I7,MATCH(AJ4,F5:F7,0),MATCH(AK4,G4:I4,0))</f>
        <v>5</v>
      </c>
      <c r="AN4" s="224"/>
      <c r="AO4" s="224"/>
    </row>
    <row r="5" spans="1:44" x14ac:dyDescent="0.25">
      <c r="A5" s="423" t="s">
        <v>322</v>
      </c>
      <c r="B5" s="444">
        <v>15</v>
      </c>
      <c r="C5" s="444">
        <v>21</v>
      </c>
      <c r="D5" s="444">
        <v>11</v>
      </c>
      <c r="F5" t="str">
        <f>A5</f>
        <v>Cold</v>
      </c>
      <c r="G5" s="337">
        <f>COUNT(B5:B9)</f>
        <v>5</v>
      </c>
      <c r="H5" s="411">
        <f t="shared" ref="H5:I5" si="4">COUNT(C5:C9)</f>
        <v>5</v>
      </c>
      <c r="I5" s="339">
        <f t="shared" si="4"/>
        <v>5</v>
      </c>
      <c r="J5">
        <f>COUNT(B5:D9)</f>
        <v>15</v>
      </c>
      <c r="L5" t="s">
        <v>83</v>
      </c>
      <c r="M5">
        <f>DEVSQ(J12:J14)*J5</f>
        <v>1255.2444444444438</v>
      </c>
      <c r="N5">
        <f>COUNT(J12:J14)-1</f>
        <v>2</v>
      </c>
      <c r="O5">
        <f>M5/N5</f>
        <v>627.62222222222192</v>
      </c>
      <c r="P5">
        <f>O5/O8</f>
        <v>11.132439889633419</v>
      </c>
      <c r="Q5">
        <f>FDIST(P5,N5,N8)</f>
        <v>1.7223508725008627E-4</v>
      </c>
      <c r="R5">
        <f>M5/(M5+M8)</f>
        <v>0.38213208134327337</v>
      </c>
      <c r="T5" s="224" t="str">
        <f t="shared" si="1"/>
        <v>Humid</v>
      </c>
      <c r="U5" s="224">
        <f t="shared" si="2"/>
        <v>30.4</v>
      </c>
      <c r="V5" s="224">
        <f t="shared" si="3"/>
        <v>15</v>
      </c>
      <c r="W5" s="224"/>
      <c r="X5" s="224"/>
      <c r="AE5" t="str">
        <v>Humid</v>
      </c>
      <c r="AF5" s="322"/>
      <c r="AG5" s="323"/>
      <c r="AH5" s="324"/>
      <c r="AL5">
        <f>$AL$3-$AL$4</f>
        <v>12.8</v>
      </c>
      <c r="AM5">
        <f>HARMEAN($AM$3,$AM$4)</f>
        <v>5</v>
      </c>
      <c r="AN5">
        <f>COUNT(G5:I7)</f>
        <v>9</v>
      </c>
      <c r="AO5" t="e">
        <f ca="1">ADJK(COUNT(G5:G7),COUNT(G5:I5))</f>
        <v>#NAME?</v>
      </c>
    </row>
    <row r="6" spans="1:44" ht="15.75" thickBot="1" x14ac:dyDescent="0.3">
      <c r="A6" s="180"/>
      <c r="B6" s="179">
        <v>23</v>
      </c>
      <c r="C6" s="179">
        <v>11</v>
      </c>
      <c r="D6" s="179">
        <v>8</v>
      </c>
      <c r="F6" t="str">
        <f>A10</f>
        <v>Dry</v>
      </c>
      <c r="G6" s="178">
        <f>COUNT(B10:B14)</f>
        <v>5</v>
      </c>
      <c r="H6" s="7">
        <f t="shared" ref="H6:I6" si="5">COUNT(C10:C14)</f>
        <v>5</v>
      </c>
      <c r="I6" s="40">
        <f t="shared" si="5"/>
        <v>5</v>
      </c>
      <c r="J6">
        <f>COUNT(B10:D14)</f>
        <v>15</v>
      </c>
      <c r="L6" t="s">
        <v>238</v>
      </c>
      <c r="M6">
        <f>DEVSQ(G15:I15)*G8</f>
        <v>98.711111111111208</v>
      </c>
      <c r="N6">
        <f>COUNT(G15:I15)-1</f>
        <v>2</v>
      </c>
      <c r="O6">
        <f>M6/N6</f>
        <v>49.355555555555604</v>
      </c>
      <c r="P6">
        <f>O6/O8</f>
        <v>0.8754434371304699</v>
      </c>
      <c r="Q6">
        <f>FDIST(P6,N6,N8)</f>
        <v>0.42535951679577555</v>
      </c>
      <c r="R6">
        <f>M6/(M6+M8)</f>
        <v>4.6380019629544599E-2</v>
      </c>
      <c r="V6">
        <f>SUM(V3:V5)</f>
        <v>45</v>
      </c>
      <c r="W6">
        <f>V6-COUNT(G5:I7)</f>
        <v>36</v>
      </c>
      <c r="X6" t="e">
        <f ca="1">QCRIT(COUNT(V3:V5),W6,X1,2)</f>
        <v>#NAME?</v>
      </c>
      <c r="AJ6" t="s">
        <v>478</v>
      </c>
      <c r="AQ6" t="s">
        <v>31</v>
      </c>
      <c r="AR6">
        <v>0.05</v>
      </c>
    </row>
    <row r="7" spans="1:44" ht="16.5" thickTop="1" thickBot="1" x14ac:dyDescent="0.3">
      <c r="A7" s="180"/>
      <c r="B7" s="179">
        <v>26</v>
      </c>
      <c r="C7" s="179">
        <v>28</v>
      </c>
      <c r="D7" s="179">
        <v>2</v>
      </c>
      <c r="F7" t="str">
        <f>A15</f>
        <v>Humid</v>
      </c>
      <c r="G7" s="221">
        <f>COUNT(B15:B19)</f>
        <v>5</v>
      </c>
      <c r="H7" s="222">
        <f t="shared" ref="H7:I7" si="6">COUNT(C15:C19)</f>
        <v>5</v>
      </c>
      <c r="I7" s="223">
        <f t="shared" si="6"/>
        <v>5</v>
      </c>
      <c r="J7">
        <f>COUNT(B15:D19)</f>
        <v>15</v>
      </c>
      <c r="L7" t="s">
        <v>410</v>
      </c>
      <c r="M7">
        <f>M9-M5-M6-M8</f>
        <v>882.75555555555525</v>
      </c>
      <c r="N7">
        <f>N6*N5</f>
        <v>4</v>
      </c>
      <c r="O7">
        <f>M7/N7</f>
        <v>220.68888888888881</v>
      </c>
      <c r="P7">
        <f>O7/O8</f>
        <v>3.9144659046117445</v>
      </c>
      <c r="Q7">
        <f>FDIST(P7,N7,N8)</f>
        <v>9.7039309182118672E-3</v>
      </c>
      <c r="R7">
        <f>M7/(M7+M8)</f>
        <v>0.30310706873397625</v>
      </c>
      <c r="T7" t="s">
        <v>478</v>
      </c>
      <c r="AJ7" s="251" t="s">
        <v>370</v>
      </c>
      <c r="AK7" s="251" t="s">
        <v>477</v>
      </c>
      <c r="AL7" s="251" t="s">
        <v>51</v>
      </c>
      <c r="AM7" s="251" t="s">
        <v>195</v>
      </c>
      <c r="AN7" s="251" t="s">
        <v>760</v>
      </c>
      <c r="AO7" s="251" t="s">
        <v>26</v>
      </c>
      <c r="AP7" s="251" t="s">
        <v>27</v>
      </c>
      <c r="AQ7" s="251" t="s">
        <v>56</v>
      </c>
      <c r="AR7" s="251" t="s">
        <v>54</v>
      </c>
    </row>
    <row r="8" spans="1:44" ht="15.75" thickTop="1" x14ac:dyDescent="0.25">
      <c r="A8" s="180"/>
      <c r="B8" s="179">
        <v>19</v>
      </c>
      <c r="C8" s="179">
        <v>16</v>
      </c>
      <c r="D8" s="179">
        <v>19</v>
      </c>
      <c r="G8">
        <f>COUNT(B5:B19)</f>
        <v>15</v>
      </c>
      <c r="H8">
        <f t="shared" ref="H8:I8" si="7">COUNT(C5:C19)</f>
        <v>15</v>
      </c>
      <c r="I8">
        <f t="shared" si="7"/>
        <v>15</v>
      </c>
      <c r="J8">
        <f>COUNT(B5:D19)</f>
        <v>45</v>
      </c>
      <c r="L8" t="s">
        <v>249</v>
      </c>
      <c r="M8">
        <f>SUM(G19:I21)*(G5-1)</f>
        <v>2029.6000000000001</v>
      </c>
      <c r="N8">
        <f>N9-N5-N6-N7</f>
        <v>36</v>
      </c>
      <c r="O8">
        <f>M8/N8</f>
        <v>56.37777777777778</v>
      </c>
      <c r="T8" s="251" t="s">
        <v>731</v>
      </c>
      <c r="U8" s="251" t="s">
        <v>732</v>
      </c>
      <c r="V8" s="251" t="s">
        <v>4</v>
      </c>
      <c r="W8" s="251" t="s">
        <v>370</v>
      </c>
      <c r="X8" s="251" t="s">
        <v>477</v>
      </c>
      <c r="Y8" s="251" t="s">
        <v>760</v>
      </c>
      <c r="Z8" s="251" t="s">
        <v>26</v>
      </c>
      <c r="AA8" s="251" t="s">
        <v>27</v>
      </c>
      <c r="AB8" s="251" t="s">
        <v>56</v>
      </c>
      <c r="AC8" s="251" t="s">
        <v>54</v>
      </c>
      <c r="AJ8" s="383">
        <f>SQRT(SUMPRODUCT(G19:I21*(G5:I7-1))/(AM5*AL8))</f>
        <v>3.3579094025234744</v>
      </c>
      <c r="AK8" s="383">
        <f>AL5/AJ8</f>
        <v>3.8118955771650005</v>
      </c>
      <c r="AL8" s="383">
        <f>SUM(G5:I7)-COUNT(G5:I7)</f>
        <v>36</v>
      </c>
      <c r="AM8" s="383" t="e">
        <f ca="1">QCRIT(AO5,AL8,AR6,2)</f>
        <v>#NAME?</v>
      </c>
      <c r="AN8" s="383" t="e">
        <f ca="1">AJ8*AM8</f>
        <v>#NAME?</v>
      </c>
      <c r="AO8" s="383" t="e">
        <f ca="1">AL5-AJ8*AM8</f>
        <v>#NAME?</v>
      </c>
      <c r="AP8" s="383" t="e">
        <f ca="1">AL5+AJ8*AM8</f>
        <v>#NAME?</v>
      </c>
      <c r="AQ8" s="383" t="e">
        <f ca="1">QDIST(ABS(AK8),AO5,AL8)</f>
        <v>#NAME?</v>
      </c>
      <c r="AR8" s="383">
        <f>ABS(AL5)/(AJ8*SQRT(AM5))</f>
        <v>1.704731526734347</v>
      </c>
    </row>
    <row r="9" spans="1:44" x14ac:dyDescent="0.25">
      <c r="A9" s="180"/>
      <c r="B9" s="179">
        <v>31</v>
      </c>
      <c r="C9" s="179">
        <v>23</v>
      </c>
      <c r="D9" s="445">
        <v>10</v>
      </c>
      <c r="L9" s="393" t="s">
        <v>1</v>
      </c>
      <c r="M9" s="393">
        <f>O9*N9</f>
        <v>4266.3111111111102</v>
      </c>
      <c r="N9" s="393">
        <f>J8-1</f>
        <v>44</v>
      </c>
      <c r="O9" s="393">
        <f>J22</f>
        <v>96.961616161616135</v>
      </c>
      <c r="P9" s="393"/>
      <c r="Q9" s="393"/>
      <c r="R9" s="393"/>
      <c r="T9" s="385" t="str">
        <f>T3</f>
        <v>Cold</v>
      </c>
      <c r="U9" s="385" t="str">
        <f>T4</f>
        <v>Dry</v>
      </c>
      <c r="V9" s="385">
        <f>ABS(U3-U4)</f>
        <v>7.5999999999999979</v>
      </c>
      <c r="W9" s="385">
        <f>SQRT(SUMPRODUCT(G19:I21*(G5:I7-1))/(HARMEAN(V3,V4)*W6))</f>
        <v>1.9386898974613034</v>
      </c>
      <c r="X9" s="385">
        <f>V9/W9</f>
        <v>3.9201731075981403</v>
      </c>
      <c r="Y9" s="385" t="e">
        <f ca="1">X$6*W9</f>
        <v>#NAME?</v>
      </c>
      <c r="Z9" s="385" t="e">
        <f ca="1">V9-Y9</f>
        <v>#NAME?</v>
      </c>
      <c r="AA9" s="385" t="e">
        <f ca="1">V9+Y9</f>
        <v>#NAME?</v>
      </c>
      <c r="AB9" s="385" t="e">
        <f ca="1">QDIST(X9,COUNT(V$3:V$5),W$6)</f>
        <v>#NAME?</v>
      </c>
      <c r="AC9" s="385">
        <f>V9/(SQRT(HARMEAN(V3,V4))*W9)</f>
        <v>1.0121843439985183</v>
      </c>
    </row>
    <row r="10" spans="1:44" x14ac:dyDescent="0.25">
      <c r="A10" s="371" t="s">
        <v>323</v>
      </c>
      <c r="B10" s="372">
        <v>33</v>
      </c>
      <c r="C10" s="372">
        <v>25</v>
      </c>
      <c r="D10" s="372">
        <v>30</v>
      </c>
      <c r="F10" t="s">
        <v>259</v>
      </c>
      <c r="T10" s="7" t="str">
        <f>T3</f>
        <v>Cold</v>
      </c>
      <c r="U10" s="7" t="str">
        <f>T5</f>
        <v>Humid</v>
      </c>
      <c r="V10" s="7">
        <f>ABS(U3-U5)</f>
        <v>12.866666666666664</v>
      </c>
      <c r="W10" s="7">
        <f>SQRT(SUMPRODUCT(G19:I21*(G5:I7-1))/(HARMEAN(V3,V5)*W6))</f>
        <v>1.9386898974613034</v>
      </c>
      <c r="X10" s="7">
        <f t="shared" ref="X10:X11" si="8">V10/W10</f>
        <v>6.6367842961968524</v>
      </c>
      <c r="Y10" s="7" t="e">
        <f t="shared" ref="Y10:Y11" ca="1" si="9">X$6*W10</f>
        <v>#NAME?</v>
      </c>
      <c r="Z10" s="7" t="e">
        <f t="shared" ref="Z10:Z11" ca="1" si="10">V10-Y10</f>
        <v>#NAME?</v>
      </c>
      <c r="AA10" s="7" t="e">
        <f t="shared" ref="AA10:AA11" ca="1" si="11">V10+Y10</f>
        <v>#NAME?</v>
      </c>
      <c r="AB10" s="7" t="e">
        <f ca="1">QDIST(X10,COUNT(V$3:V$5),W$6)</f>
        <v>#NAME?</v>
      </c>
      <c r="AC10" s="7">
        <f>V10/(SQRT(HARMEAN(V3,V5))*W10)</f>
        <v>1.7136103367694213</v>
      </c>
    </row>
    <row r="11" spans="1:44" ht="15.75" thickBot="1" x14ac:dyDescent="0.3">
      <c r="A11" s="180"/>
      <c r="B11" s="179">
        <v>26</v>
      </c>
      <c r="C11" s="179">
        <v>29</v>
      </c>
      <c r="D11" s="179">
        <v>29</v>
      </c>
      <c r="G11" s="440" t="str">
        <f>B4</f>
        <v>Arm</v>
      </c>
      <c r="H11" s="440" t="str">
        <f t="shared" ref="H11:I11" si="12">C4</f>
        <v>Neck</v>
      </c>
      <c r="I11" s="440" t="str">
        <f t="shared" si="12"/>
        <v>Foot</v>
      </c>
      <c r="T11" s="393" t="str">
        <f>T4</f>
        <v>Dry</v>
      </c>
      <c r="U11" s="393" t="str">
        <f>T5</f>
        <v>Humid</v>
      </c>
      <c r="V11" s="393">
        <f>ABS(U4-U5)</f>
        <v>5.2666666666666657</v>
      </c>
      <c r="W11" s="393">
        <f>SQRT(SUMPRODUCT(G19:I21*(G5:I7-1))/(HARMEAN(V4,V5)*W6))</f>
        <v>1.9386898974613034</v>
      </c>
      <c r="X11" s="393">
        <f t="shared" si="8"/>
        <v>2.7166111885987116</v>
      </c>
      <c r="Y11" s="393" t="e">
        <f t="shared" ca="1" si="9"/>
        <v>#NAME?</v>
      </c>
      <c r="Z11" s="393" t="e">
        <f t="shared" ca="1" si="10"/>
        <v>#NAME?</v>
      </c>
      <c r="AA11" s="393" t="e">
        <f t="shared" ca="1" si="11"/>
        <v>#NAME?</v>
      </c>
      <c r="AB11" s="393" t="e">
        <f ca="1">QDIST(X11,COUNT(V$3:V$5),W$6)</f>
        <v>#NAME?</v>
      </c>
      <c r="AC11" s="393">
        <f>V11/(SQRT(HARMEAN(V4,V5))*W11)</f>
        <v>0.70142599277090301</v>
      </c>
      <c r="AE11" t="s">
        <v>178</v>
      </c>
      <c r="AJ11" t="s">
        <v>637</v>
      </c>
    </row>
    <row r="12" spans="1:44" ht="15.75" thickTop="1" x14ac:dyDescent="0.25">
      <c r="A12" s="180"/>
      <c r="B12" s="179">
        <v>15</v>
      </c>
      <c r="C12" s="179">
        <v>17</v>
      </c>
      <c r="D12" s="179">
        <v>39</v>
      </c>
      <c r="F12" t="str">
        <f>A5</f>
        <v>Cold</v>
      </c>
      <c r="G12" s="380">
        <f>AVERAGE(B5:B9)</f>
        <v>22.8</v>
      </c>
      <c r="H12" s="381">
        <f t="shared" ref="H12:I12" si="13">AVERAGE(C5:C9)</f>
        <v>19.8</v>
      </c>
      <c r="I12" s="382">
        <f t="shared" si="13"/>
        <v>10</v>
      </c>
      <c r="J12">
        <f>AVERAGE(B5:D9)</f>
        <v>17.533333333333335</v>
      </c>
      <c r="AF12" t="str">
        <f t="array" ref="AF12:AH12">G11:I11</f>
        <v>Arm</v>
      </c>
      <c r="AG12" t="str">
        <v>Neck</v>
      </c>
      <c r="AH12" t="str">
        <v>Foot</v>
      </c>
      <c r="AJ12" s="251" t="s">
        <v>39</v>
      </c>
      <c r="AK12" s="251" t="s">
        <v>634</v>
      </c>
      <c r="AL12" s="251" t="s">
        <v>4</v>
      </c>
      <c r="AM12" s="251" t="s">
        <v>28</v>
      </c>
      <c r="AN12" s="251" t="s">
        <v>48</v>
      </c>
      <c r="AO12" s="251" t="s">
        <v>638</v>
      </c>
    </row>
    <row r="13" spans="1:44" x14ac:dyDescent="0.25">
      <c r="A13" s="180"/>
      <c r="B13" s="179">
        <v>18</v>
      </c>
      <c r="C13" s="179">
        <v>22</v>
      </c>
      <c r="D13" s="179">
        <v>25</v>
      </c>
      <c r="F13" t="str">
        <f>A10</f>
        <v>Dry</v>
      </c>
      <c r="G13" s="178">
        <f>AVERAGE(B10:B14)</f>
        <v>25</v>
      </c>
      <c r="H13" s="7">
        <f t="shared" ref="H13:I13" si="14">AVERAGE(C10:C14)</f>
        <v>21</v>
      </c>
      <c r="I13" s="40">
        <f t="shared" si="14"/>
        <v>29.4</v>
      </c>
      <c r="J13">
        <f>AVERAGE(B10:D14)</f>
        <v>25.133333333333333</v>
      </c>
      <c r="AE13" t="str">
        <f t="array" ref="AE13:AE15">F12:F14</f>
        <v>Cold</v>
      </c>
      <c r="AF13" s="446"/>
      <c r="AG13" s="447"/>
      <c r="AH13" s="448">
        <v>-1</v>
      </c>
      <c r="AJ13" t="str">
        <f t="array" ref="AJ13">INDEX(AE13:AE15,MIN(IF(AF13:AH15=1,ROW(AF13:AH15)-ROW(AF13)+1)))</f>
        <v>Dry</v>
      </c>
      <c r="AK13" t="str">
        <f t="array" ref="AK13">INDEX(AF12:AH12,MIN(IF(AF13:AH15=1,COLUMN(AF13:AH15)-COLUMN(AF13)+1)))</f>
        <v>Foot</v>
      </c>
      <c r="AL13">
        <f>INDEX(G12:I14,MATCH(AJ13,F12:F14,0),MATCH(AK13,G11:I11,0))</f>
        <v>29.4</v>
      </c>
      <c r="AM13">
        <f>INDEX(G5:I7,MATCH(AJ13,F5:F7,0),MATCH(AK13,G4:I4,0))</f>
        <v>5</v>
      </c>
    </row>
    <row r="14" spans="1:44" ht="15.75" thickBot="1" x14ac:dyDescent="0.3">
      <c r="A14" s="180"/>
      <c r="B14" s="179">
        <v>33</v>
      </c>
      <c r="C14" s="179">
        <v>12</v>
      </c>
      <c r="D14" s="445">
        <v>24</v>
      </c>
      <c r="F14" t="str">
        <f>A15</f>
        <v>Humid</v>
      </c>
      <c r="G14" s="221">
        <f>AVERAGE(B15:B19)</f>
        <v>28</v>
      </c>
      <c r="H14" s="222">
        <f t="shared" ref="H14:I14" si="15">AVERAGE(C15:C19)</f>
        <v>26</v>
      </c>
      <c r="I14" s="223">
        <f t="shared" si="15"/>
        <v>37.200000000000003</v>
      </c>
      <c r="J14">
        <f>AVERAGE(B15:D19)</f>
        <v>30.4</v>
      </c>
      <c r="T14" t="s">
        <v>790</v>
      </c>
      <c r="W14" s="440" t="s">
        <v>70</v>
      </c>
      <c r="X14">
        <v>0.05</v>
      </c>
      <c r="AE14" t="str">
        <v>Dry</v>
      </c>
      <c r="AF14" s="320"/>
      <c r="AG14" s="307"/>
      <c r="AH14" s="321">
        <v>1</v>
      </c>
      <c r="AJ14" s="224" t="str">
        <f t="array" ref="AJ14">INDEX(AE13:AE15,MIN(IF(AF13:AH15=-1,ROW(AF13:AH15)-ROW(AF13)+1)))</f>
        <v>Cold</v>
      </c>
      <c r="AK14" s="224" t="str">
        <f t="array" ref="AK14">INDEX(AF12:AH12,MIN(IF(AF13:AH15=-1,COLUMN(AF13:AH15)-COLUMN(AF13)+1)))</f>
        <v>Foot</v>
      </c>
      <c r="AL14" s="224">
        <f>INDEX(G12:I14,MATCH(AJ14,F12:F14,0),MATCH(AK14,G11:I11,0))</f>
        <v>10</v>
      </c>
      <c r="AM14" s="224">
        <f>INDEX(G5:I7,MATCH(AJ14,F5:F7,0),MATCH(AK14,G4:I4,0))</f>
        <v>5</v>
      </c>
      <c r="AN14" s="224"/>
      <c r="AO14" s="224"/>
    </row>
    <row r="15" spans="1:44" ht="15.75" thickTop="1" x14ac:dyDescent="0.25">
      <c r="A15" s="423" t="s">
        <v>324</v>
      </c>
      <c r="B15" s="444">
        <v>28</v>
      </c>
      <c r="C15" s="444">
        <v>16</v>
      </c>
      <c r="D15" s="444">
        <v>26</v>
      </c>
      <c r="G15">
        <f>AVERAGE(B5:B19)</f>
        <v>25.266666666666666</v>
      </c>
      <c r="H15">
        <f t="shared" ref="H15:I15" si="16">AVERAGE(C5:C19)</f>
        <v>22.266666666666666</v>
      </c>
      <c r="I15">
        <f t="shared" si="16"/>
        <v>25.533333333333335</v>
      </c>
      <c r="J15">
        <f>AVERAGE(B5:D19)</f>
        <v>24.355555555555554</v>
      </c>
      <c r="T15" s="251" t="s">
        <v>757</v>
      </c>
      <c r="U15" s="251" t="s">
        <v>4</v>
      </c>
      <c r="V15" s="251" t="s">
        <v>666</v>
      </c>
      <c r="W15" s="251" t="s">
        <v>51</v>
      </c>
      <c r="X15" s="251" t="s">
        <v>195</v>
      </c>
      <c r="AE15" t="str">
        <v>Humid</v>
      </c>
      <c r="AF15" s="322"/>
      <c r="AG15" s="323"/>
      <c r="AH15" s="324"/>
      <c r="AL15">
        <f>$AL$13-$AL$14</f>
        <v>19.399999999999999</v>
      </c>
      <c r="AM15">
        <f>HARMEAN($AM$13,$AM$14)</f>
        <v>5</v>
      </c>
      <c r="AN15">
        <f>COUNT(G5:I7)</f>
        <v>9</v>
      </c>
      <c r="AO15" t="e">
        <f ca="1">ADJK(COUNT(G5:G7),COUNT(G5:I5))</f>
        <v>#NAME?</v>
      </c>
    </row>
    <row r="16" spans="1:44" ht="15.75" thickBot="1" x14ac:dyDescent="0.3">
      <c r="A16" s="180"/>
      <c r="B16" s="179">
        <v>20</v>
      </c>
      <c r="C16" s="179">
        <v>18</v>
      </c>
      <c r="D16" s="179">
        <v>37</v>
      </c>
      <c r="T16" s="252" t="str">
        <f t="array" ref="T16:T18">TRANSPOSE(G11:I11)</f>
        <v>Arm</v>
      </c>
      <c r="U16" s="252">
        <f t="array" ref="U16:U18">TRANSPOSE(G15:I15)</f>
        <v>25.266666666666666</v>
      </c>
      <c r="V16" s="252">
        <f t="array" ref="V16:V18">TRANSPOSE(G8:I8)</f>
        <v>15</v>
      </c>
      <c r="W16" s="252"/>
      <c r="X16" s="252"/>
      <c r="AJ16" t="s">
        <v>478</v>
      </c>
      <c r="AQ16" t="s">
        <v>31</v>
      </c>
      <c r="AR16">
        <v>0.05</v>
      </c>
    </row>
    <row r="17" spans="1:44" ht="15.75" thickTop="1" x14ac:dyDescent="0.25">
      <c r="A17" s="180"/>
      <c r="B17" s="179">
        <v>18</v>
      </c>
      <c r="C17" s="179">
        <v>26</v>
      </c>
      <c r="D17" s="179">
        <v>39</v>
      </c>
      <c r="F17" t="s">
        <v>490</v>
      </c>
      <c r="T17" s="7" t="str">
        <v>Neck</v>
      </c>
      <c r="U17" s="7">
        <v>22.266666666666666</v>
      </c>
      <c r="V17" s="7">
        <v>15</v>
      </c>
      <c r="W17" s="7"/>
      <c r="X17" s="7"/>
      <c r="AJ17" s="251" t="s">
        <v>370</v>
      </c>
      <c r="AK17" s="251" t="s">
        <v>477</v>
      </c>
      <c r="AL17" s="251" t="s">
        <v>51</v>
      </c>
      <c r="AM17" s="251" t="s">
        <v>195</v>
      </c>
      <c r="AN17" s="251" t="s">
        <v>760</v>
      </c>
      <c r="AO17" s="251" t="s">
        <v>26</v>
      </c>
      <c r="AP17" s="251" t="s">
        <v>27</v>
      </c>
      <c r="AQ17" s="251" t="s">
        <v>56</v>
      </c>
      <c r="AR17" s="251" t="s">
        <v>54</v>
      </c>
    </row>
    <row r="18" spans="1:44" x14ac:dyDescent="0.25">
      <c r="A18" s="180"/>
      <c r="B18" s="179">
        <v>36</v>
      </c>
      <c r="C18" s="179">
        <v>36</v>
      </c>
      <c r="D18" s="179">
        <v>34</v>
      </c>
      <c r="G18" s="440" t="str">
        <f>B4</f>
        <v>Arm</v>
      </c>
      <c r="H18" s="440" t="str">
        <f t="shared" ref="H18:I18" si="17">C4</f>
        <v>Neck</v>
      </c>
      <c r="I18" s="440" t="str">
        <f t="shared" si="17"/>
        <v>Foot</v>
      </c>
      <c r="T18" s="224" t="str">
        <v>Foot</v>
      </c>
      <c r="U18" s="224">
        <v>25.533333333333335</v>
      </c>
      <c r="V18" s="224">
        <v>15</v>
      </c>
      <c r="W18" s="224"/>
      <c r="X18" s="224"/>
      <c r="AJ18" s="449">
        <f>SQRT(SUMPRODUCT(G19:I21*(G5:I7-1))/(AM15*AL18))</f>
        <v>3.3579094025234744</v>
      </c>
      <c r="AK18" s="449">
        <f>AL15/AJ18</f>
        <v>5.777404234140703</v>
      </c>
      <c r="AL18" s="449">
        <f>SUM(G5:I7)-COUNT(G5:I7)</f>
        <v>36</v>
      </c>
      <c r="AM18" s="449" t="e">
        <f ca="1">QCRIT(AO15,AL18,AR16,2)</f>
        <v>#NAME?</v>
      </c>
      <c r="AN18" s="449" t="e">
        <f ca="1">AJ18*AM18</f>
        <v>#NAME?</v>
      </c>
      <c r="AO18" s="449" t="e">
        <f ca="1">AL15-AJ18*AM18</f>
        <v>#NAME?</v>
      </c>
      <c r="AP18" s="449" t="e">
        <f ca="1">AL15+AJ18*AM18</f>
        <v>#NAME?</v>
      </c>
      <c r="AQ18" s="449" t="e">
        <f ca="1">QDIST(ABS(AK18),AO15,AL18)</f>
        <v>#NAME?</v>
      </c>
      <c r="AR18" s="449">
        <f>ABS(AL15)/(AJ18*SQRT(AM15))</f>
        <v>2.5837337202067445</v>
      </c>
    </row>
    <row r="19" spans="1:44" x14ac:dyDescent="0.25">
      <c r="A19" s="170"/>
      <c r="B19" s="175">
        <v>38</v>
      </c>
      <c r="C19" s="175">
        <v>34</v>
      </c>
      <c r="D19" s="175">
        <v>50</v>
      </c>
      <c r="F19" t="str">
        <f>A5</f>
        <v>Cold</v>
      </c>
      <c r="G19" s="380">
        <f>VAR(B5:B9)</f>
        <v>38.200000000000045</v>
      </c>
      <c r="H19" s="381">
        <f t="shared" ref="H19:I19" si="18">VAR(C5:C9)</f>
        <v>42.699999999999989</v>
      </c>
      <c r="I19" s="382">
        <f t="shared" si="18"/>
        <v>37.5</v>
      </c>
      <c r="J19">
        <f>VAR(B5:D9)</f>
        <v>65.838095238095249</v>
      </c>
      <c r="V19">
        <f>SUM(V16:V18)</f>
        <v>45</v>
      </c>
      <c r="W19">
        <f>V19-COUNT(G5:I7)</f>
        <v>36</v>
      </c>
      <c r="X19" t="e">
        <f ca="1">QCRIT(COUNT(V16:V18),W19,X14,2)</f>
        <v>#NAME?</v>
      </c>
    </row>
    <row r="20" spans="1:44" ht="15.75" thickBot="1" x14ac:dyDescent="0.3">
      <c r="F20" t="str">
        <f>A10</f>
        <v>Dry</v>
      </c>
      <c r="G20" s="178">
        <f>VAR(B10:B14)</f>
        <v>69.5</v>
      </c>
      <c r="H20" s="7">
        <f t="shared" ref="H20:I20" si="19">VAR(C10:C14)</f>
        <v>44.5</v>
      </c>
      <c r="I20" s="40">
        <f t="shared" si="19"/>
        <v>35.299999999999955</v>
      </c>
      <c r="J20">
        <f>VAR(B10:D14)</f>
        <v>55.266666666666687</v>
      </c>
      <c r="T20" t="s">
        <v>478</v>
      </c>
    </row>
    <row r="21" spans="1:44" ht="15.75" thickTop="1" x14ac:dyDescent="0.25">
      <c r="F21" t="str">
        <f>A15</f>
        <v>Humid</v>
      </c>
      <c r="G21" s="221">
        <f>VAR(B15:B19)</f>
        <v>82</v>
      </c>
      <c r="H21" s="222">
        <f t="shared" ref="H21:I21" si="20">VAR(C15:C19)</f>
        <v>82</v>
      </c>
      <c r="I21" s="223">
        <f t="shared" si="20"/>
        <v>75.700000000000045</v>
      </c>
      <c r="J21">
        <f>VAR(B15:D19)</f>
        <v>93.971428571428604</v>
      </c>
      <c r="T21" s="251" t="s">
        <v>731</v>
      </c>
      <c r="U21" s="251" t="s">
        <v>732</v>
      </c>
      <c r="V21" s="251" t="s">
        <v>4</v>
      </c>
      <c r="W21" s="251" t="s">
        <v>370</v>
      </c>
      <c r="X21" s="251" t="s">
        <v>477</v>
      </c>
      <c r="Y21" s="251" t="s">
        <v>760</v>
      </c>
      <c r="Z21" s="251" t="s">
        <v>26</v>
      </c>
      <c r="AA21" s="251" t="s">
        <v>27</v>
      </c>
      <c r="AB21" s="251" t="s">
        <v>56</v>
      </c>
      <c r="AC21" s="251" t="s">
        <v>54</v>
      </c>
    </row>
    <row r="22" spans="1:44" x14ac:dyDescent="0.25">
      <c r="G22">
        <f>VAR(B5:B19)</f>
        <v>59.066666666666606</v>
      </c>
      <c r="H22">
        <f t="shared" ref="H22:I22" si="21">VAR(C5:C19)</f>
        <v>56.06666666666667</v>
      </c>
      <c r="I22">
        <f t="shared" si="21"/>
        <v>182.55238095238096</v>
      </c>
      <c r="J22">
        <f>VAR(B5:D19)</f>
        <v>96.961616161616135</v>
      </c>
      <c r="T22" s="358" t="str">
        <f>T16</f>
        <v>Arm</v>
      </c>
      <c r="U22" s="358" t="str">
        <f>T17</f>
        <v>Neck</v>
      </c>
      <c r="V22" s="358">
        <f>ABS(U16-U17)</f>
        <v>3</v>
      </c>
      <c r="W22" s="358">
        <f>SQRT(SUMPRODUCT(G19:I21*(G5:I7-1))/(HARMEAN(V16,V17)*W19))</f>
        <v>1.9386898974613034</v>
      </c>
      <c r="X22" s="358">
        <f>V22/W22</f>
        <v>1.5474367529992663</v>
      </c>
      <c r="Y22" s="358" t="e">
        <f ca="1">X$19*W22</f>
        <v>#NAME?</v>
      </c>
      <c r="Z22" s="358" t="e">
        <f ca="1">V22-Y22</f>
        <v>#NAME?</v>
      </c>
      <c r="AA22" s="358" t="e">
        <f ca="1">V22+Y22</f>
        <v>#NAME?</v>
      </c>
      <c r="AB22" s="358" t="e">
        <f ca="1">QDIST(X22,COUNT(V$16:V$18),W$19)</f>
        <v>#NAME?</v>
      </c>
      <c r="AC22" s="358">
        <f>V22/(SQRT(HARMEAN(V16,V17))*W22)</f>
        <v>0.39954645157836255</v>
      </c>
    </row>
    <row r="23" spans="1:44" x14ac:dyDescent="0.25">
      <c r="T23" s="7" t="str">
        <f>T16</f>
        <v>Arm</v>
      </c>
      <c r="U23" s="7" t="str">
        <f>T18</f>
        <v>Foot</v>
      </c>
      <c r="V23" s="7">
        <f>ABS(U16-U18)</f>
        <v>0.26666666666666927</v>
      </c>
      <c r="W23" s="7">
        <f>SQRT(SUMPRODUCT(G19:I21*(G5:I7-1))/(HARMEAN(V16,V18)*W19))</f>
        <v>1.9386898974613034</v>
      </c>
      <c r="X23" s="7">
        <f t="shared" ref="X23:X24" si="22">V23/W23</f>
        <v>0.13754993359993614</v>
      </c>
      <c r="Y23" s="7" t="e">
        <f t="shared" ref="Y23:Y24" ca="1" si="23">X$19*W23</f>
        <v>#NAME?</v>
      </c>
      <c r="Z23" s="7" t="e">
        <f t="shared" ref="Z23:Z24" ca="1" si="24">V23-Y23</f>
        <v>#NAME?</v>
      </c>
      <c r="AA23" s="7" t="e">
        <f t="shared" ref="AA23:AA24" ca="1" si="25">V23+Y23</f>
        <v>#NAME?</v>
      </c>
      <c r="AB23" s="7" t="e">
        <f ca="1">QDIST(X23,COUNT(V$16:V$18),W$19)</f>
        <v>#NAME?</v>
      </c>
      <c r="AC23" s="7">
        <f>V23/(SQRT(HARMEAN(V16,V18))*W23)</f>
        <v>3.5515240140299241E-2</v>
      </c>
    </row>
    <row r="24" spans="1:44" x14ac:dyDescent="0.25">
      <c r="T24" s="224" t="str">
        <f>T17</f>
        <v>Neck</v>
      </c>
      <c r="U24" s="224" t="str">
        <f>T18</f>
        <v>Foot</v>
      </c>
      <c r="V24" s="224">
        <f>ABS(U17-U18)</f>
        <v>3.2666666666666693</v>
      </c>
      <c r="W24" s="224">
        <f>SQRT(SUMPRODUCT(G19:I21*(G5:I7-1))/(HARMEAN(V17,V18)*W19))</f>
        <v>1.9386898974613034</v>
      </c>
      <c r="X24" s="224">
        <f t="shared" si="22"/>
        <v>1.6849866865992025</v>
      </c>
      <c r="Y24" s="224" t="e">
        <f t="shared" ca="1" si="23"/>
        <v>#NAME?</v>
      </c>
      <c r="Z24" s="224" t="e">
        <f t="shared" ca="1" si="24"/>
        <v>#NAME?</v>
      </c>
      <c r="AA24" s="224" t="e">
        <f t="shared" ca="1" si="25"/>
        <v>#NAME?</v>
      </c>
      <c r="AB24" s="224" t="e">
        <f ca="1">QDIST(X24,COUNT(V$16:V$18),W$19)</f>
        <v>#NAME?</v>
      </c>
      <c r="AC24" s="224">
        <f>V24/(SQRT(HARMEAN(V17,V18))*W24)</f>
        <v>0.43506169171866182</v>
      </c>
    </row>
  </sheetData>
  <mergeCells count="1">
    <mergeCell ref="B3:D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AE30"/>
  <sheetViews>
    <sheetView zoomScaleNormal="100" workbookViewId="0"/>
  </sheetViews>
  <sheetFormatPr defaultRowHeight="15" x14ac:dyDescent="0.25"/>
  <cols>
    <col min="4" max="15" width="4.42578125" customWidth="1"/>
    <col min="16" max="16" width="2.7109375" customWidth="1"/>
    <col min="25" max="25" width="19.5703125" customWidth="1"/>
    <col min="32" max="32" width="23.42578125" customWidth="1"/>
  </cols>
  <sheetData>
    <row r="1" spans="1:31" x14ac:dyDescent="0.25">
      <c r="A1" s="1" t="s">
        <v>282</v>
      </c>
      <c r="S1" s="65" t="s">
        <v>301</v>
      </c>
    </row>
    <row r="3" spans="1:31" x14ac:dyDescent="0.25">
      <c r="A3" s="134" t="s">
        <v>269</v>
      </c>
      <c r="B3" s="135" t="s">
        <v>302</v>
      </c>
      <c r="C3" s="136" t="s">
        <v>306</v>
      </c>
      <c r="D3" s="574" t="s">
        <v>270</v>
      </c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6"/>
      <c r="Q3" s="148" t="s">
        <v>7</v>
      </c>
      <c r="S3" s="12" t="s">
        <v>222</v>
      </c>
      <c r="T3" s="12" t="s">
        <v>35</v>
      </c>
      <c r="U3" s="12" t="s">
        <v>36</v>
      </c>
      <c r="V3" s="12" t="s">
        <v>37</v>
      </c>
    </row>
    <row r="4" spans="1:31" x14ac:dyDescent="0.25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47">
        <f>AVERAGE(D4:O4)</f>
        <v>24.75</v>
      </c>
      <c r="S4" s="134">
        <f>COUNT(D4:O4)</f>
        <v>12</v>
      </c>
      <c r="T4" s="137">
        <f>COUNTA(S9:S10)</f>
        <v>2</v>
      </c>
      <c r="U4" s="137">
        <f>COUNTA(T8:U8)</f>
        <v>2</v>
      </c>
      <c r="V4" s="136">
        <f>COUNTA(S19:S20)</f>
        <v>2</v>
      </c>
      <c r="Y4" s="146" t="s">
        <v>19</v>
      </c>
      <c r="Z4" s="103" t="s">
        <v>88</v>
      </c>
      <c r="AA4" s="146" t="s">
        <v>51</v>
      </c>
      <c r="AB4" s="103" t="s">
        <v>92</v>
      </c>
      <c r="AC4" s="582" t="s">
        <v>300</v>
      </c>
      <c r="AD4" s="582"/>
      <c r="AE4" s="582"/>
    </row>
    <row r="5" spans="1:31" x14ac:dyDescent="0.25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123">
        <f t="shared" ref="Q5:Q11" si="0">AVERAGE(D5:O5)</f>
        <v>19.75</v>
      </c>
      <c r="X5" s="143" t="s">
        <v>93</v>
      </c>
      <c r="Y5" s="140">
        <v>1</v>
      </c>
      <c r="Z5" s="138">
        <f>DEVSQ(D4:O11)</f>
        <v>6867.65625</v>
      </c>
      <c r="AA5" s="138">
        <f>S4*T4*U4*V4-1</f>
        <v>95</v>
      </c>
      <c r="AB5" s="139">
        <f t="shared" ref="AB5:AB17" si="1">Z5/AA5</f>
        <v>72.29111842105263</v>
      </c>
      <c r="AC5" s="580" t="s">
        <v>287</v>
      </c>
      <c r="AD5" s="581"/>
      <c r="AE5" s="581"/>
    </row>
    <row r="6" spans="1:31" x14ac:dyDescent="0.25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123">
        <f t="shared" si="0"/>
        <v>21.083333333333332</v>
      </c>
      <c r="S6" s="65" t="s">
        <v>258</v>
      </c>
      <c r="X6" s="143" t="s">
        <v>86</v>
      </c>
      <c r="Y6" s="124">
        <f>S4*U4*V4</f>
        <v>48</v>
      </c>
      <c r="Z6" s="7">
        <f>DEVSQ(V9:V10)*Y6</f>
        <v>0.84375</v>
      </c>
      <c r="AA6" s="7">
        <f>T4-1</f>
        <v>1</v>
      </c>
      <c r="AB6" s="8">
        <f t="shared" si="1"/>
        <v>0.84375</v>
      </c>
      <c r="AC6" s="580" t="s">
        <v>288</v>
      </c>
      <c r="AD6" s="581"/>
      <c r="AE6" s="581"/>
    </row>
    <row r="7" spans="1:31" x14ac:dyDescent="0.25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23">
        <f t="shared" si="0"/>
        <v>32.666666666666664</v>
      </c>
      <c r="X7" s="143" t="s">
        <v>78</v>
      </c>
      <c r="Y7" s="124">
        <f>S4*T4*V4</f>
        <v>48</v>
      </c>
      <c r="Z7" s="7">
        <f>DEVSQ(T11:U11)*Y7</f>
        <v>810.84375</v>
      </c>
      <c r="AA7" s="7">
        <f>U4-1</f>
        <v>1</v>
      </c>
      <c r="AB7" s="8">
        <f t="shared" si="1"/>
        <v>810.84375</v>
      </c>
      <c r="AC7" s="580" t="s">
        <v>289</v>
      </c>
      <c r="AD7" s="581"/>
      <c r="AE7" s="581"/>
    </row>
    <row r="8" spans="1:31" x14ac:dyDescent="0.25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23">
        <f t="shared" si="0"/>
        <v>20.75</v>
      </c>
      <c r="T8" s="12" t="s">
        <v>303</v>
      </c>
      <c r="U8" s="12" t="s">
        <v>304</v>
      </c>
      <c r="X8" s="144" t="s">
        <v>79</v>
      </c>
      <c r="Y8" s="124">
        <f>S4*T4*U4</f>
        <v>48</v>
      </c>
      <c r="Z8" s="7">
        <f>DEVSQ(V19:V20)*Y8</f>
        <v>25.010416666666785</v>
      </c>
      <c r="AA8" s="7">
        <f>V4-1</f>
        <v>1</v>
      </c>
      <c r="AB8" s="8">
        <f t="shared" si="1"/>
        <v>25.010416666666785</v>
      </c>
      <c r="AC8" s="580" t="s">
        <v>290</v>
      </c>
      <c r="AD8" s="581"/>
      <c r="AE8" s="581"/>
    </row>
    <row r="9" spans="1:31" x14ac:dyDescent="0.25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123">
        <f t="shared" si="0"/>
        <v>21.75</v>
      </c>
      <c r="S9" t="s">
        <v>77</v>
      </c>
      <c r="T9" s="140">
        <f>AVERAGEIFS($Q$4:$Q$11,$A$4:$A$11,$S9,$B$4:$B$11,T$8)</f>
        <v>22.25</v>
      </c>
      <c r="U9" s="139">
        <f>AVERAGEIFS($Q$4:$Q$11,$A$4:$A$11,$S9,$B$4:$B$11,U$8)</f>
        <v>26.875</v>
      </c>
      <c r="V9">
        <f>AVERAGE(T9:U9)</f>
        <v>24.5625</v>
      </c>
      <c r="X9" s="143" t="s">
        <v>283</v>
      </c>
      <c r="Y9" s="124">
        <f>S4*V4</f>
        <v>24</v>
      </c>
      <c r="Z9" s="7">
        <f>DEVSQ(T9:U10)*Y9</f>
        <v>845.53125</v>
      </c>
      <c r="AA9" s="7">
        <f>T4*U4-1</f>
        <v>3</v>
      </c>
      <c r="AB9" s="8">
        <f t="shared" si="1"/>
        <v>281.84375</v>
      </c>
      <c r="AC9" s="580" t="s">
        <v>291</v>
      </c>
      <c r="AD9" s="581"/>
      <c r="AE9" s="581"/>
    </row>
    <row r="10" spans="1:31" x14ac:dyDescent="0.25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23">
        <f t="shared" si="0"/>
        <v>34.083333333333336</v>
      </c>
      <c r="S10" t="s">
        <v>72</v>
      </c>
      <c r="T10" s="9">
        <f>AVERAGEIFS($Q$4:$Q$11,$A$4:$A$11,$S10,$B$4:$B$11,T$8)</f>
        <v>21.25</v>
      </c>
      <c r="U10" s="11">
        <f>AVERAGEIFS($Q$4:$Q$11,$A$4:$A$11,$S10,$B$4:$B$11,U$8)</f>
        <v>28.25</v>
      </c>
      <c r="V10">
        <f>AVERAGE(T10:U10)</f>
        <v>24.75</v>
      </c>
      <c r="X10" s="145" t="s">
        <v>271</v>
      </c>
      <c r="Y10" s="124" t="s">
        <v>272</v>
      </c>
      <c r="Z10" s="7">
        <f>Z9-Z6-Z7</f>
        <v>33.84375</v>
      </c>
      <c r="AA10" s="7">
        <f>AA9-AA6-AA7</f>
        <v>1</v>
      </c>
      <c r="AB10" s="8">
        <f t="shared" si="1"/>
        <v>33.84375</v>
      </c>
      <c r="AC10" s="580" t="s">
        <v>292</v>
      </c>
      <c r="AD10" s="581"/>
      <c r="AE10" s="581"/>
    </row>
    <row r="11" spans="1:31" x14ac:dyDescent="0.25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58">
        <f t="shared" si="0"/>
        <v>22.416666666666668</v>
      </c>
      <c r="T11">
        <f>AVERAGE(T9:T10)</f>
        <v>21.75</v>
      </c>
      <c r="U11">
        <f>AVERAGE(U9:U10)</f>
        <v>27.5625</v>
      </c>
      <c r="V11">
        <f>AVERAGE(T11:U11)</f>
        <v>24.65625</v>
      </c>
      <c r="X11" s="145" t="s">
        <v>284</v>
      </c>
      <c r="Y11" s="124">
        <f>S4*U4</f>
        <v>24</v>
      </c>
      <c r="Z11" s="7">
        <f>DEVSQ(T14:U15)*Y11</f>
        <v>472.19791666666663</v>
      </c>
      <c r="AA11" s="7">
        <f>T4*V4-1</f>
        <v>3</v>
      </c>
      <c r="AB11" s="8">
        <f t="shared" si="1"/>
        <v>157.39930555555554</v>
      </c>
      <c r="AC11" s="580" t="s">
        <v>293</v>
      </c>
      <c r="AD11" s="581"/>
      <c r="AE11" s="581"/>
    </row>
    <row r="12" spans="1:31" x14ac:dyDescent="0.25">
      <c r="X12" s="144" t="s">
        <v>273</v>
      </c>
      <c r="Y12" s="124" t="s">
        <v>274</v>
      </c>
      <c r="Z12" s="7">
        <f>Z11-Z6-Z8</f>
        <v>446.34374999999983</v>
      </c>
      <c r="AA12" s="7">
        <f>AA11-AA6-AA8</f>
        <v>1</v>
      </c>
      <c r="AB12" s="8">
        <f t="shared" si="1"/>
        <v>446.34374999999983</v>
      </c>
      <c r="AC12" s="580" t="s">
        <v>294</v>
      </c>
      <c r="AD12" s="581"/>
      <c r="AE12" s="581"/>
    </row>
    <row r="13" spans="1:31" x14ac:dyDescent="0.25">
      <c r="T13" s="12" t="s">
        <v>307</v>
      </c>
      <c r="U13" s="12" t="s">
        <v>308</v>
      </c>
      <c r="X13" s="145" t="s">
        <v>285</v>
      </c>
      <c r="Y13" s="124">
        <f>S4*T4</f>
        <v>24</v>
      </c>
      <c r="Z13" s="7">
        <f>DEVSQ(T19:U20)*Y13</f>
        <v>858.86458333333337</v>
      </c>
      <c r="AA13" s="7">
        <f>U4*V4-1</f>
        <v>3</v>
      </c>
      <c r="AB13" s="8">
        <f t="shared" si="1"/>
        <v>286.28819444444446</v>
      </c>
      <c r="AC13" s="580" t="s">
        <v>295</v>
      </c>
      <c r="AD13" s="581"/>
      <c r="AE13" s="581"/>
    </row>
    <row r="14" spans="1:31" x14ac:dyDescent="0.25">
      <c r="S14" t="s">
        <v>77</v>
      </c>
      <c r="T14" s="140">
        <f>AVERAGEIFS($Q$4:$Q$11,$A$4:$A$11,$S14,$C$4:$C$11,T$13)</f>
        <v>22.916666666666664</v>
      </c>
      <c r="U14" s="139">
        <f>AVERAGEIFS($Q$4:$Q$11,$A$4:$A$11,$S14,$C$4:$C$11,U$13)</f>
        <v>26.208333333333332</v>
      </c>
      <c r="V14">
        <f>AVERAGE(T14:U14)</f>
        <v>24.5625</v>
      </c>
      <c r="X14" s="144" t="s">
        <v>275</v>
      </c>
      <c r="Y14" s="124" t="s">
        <v>276</v>
      </c>
      <c r="Z14" s="7">
        <f>Z13-Z7-Z8</f>
        <v>23.010416666666586</v>
      </c>
      <c r="AA14" s="7">
        <f>AA13-AA7-AA8</f>
        <v>1</v>
      </c>
      <c r="AB14" s="8">
        <f t="shared" si="1"/>
        <v>23.010416666666586</v>
      </c>
      <c r="AC14" s="580" t="s">
        <v>296</v>
      </c>
      <c r="AD14" s="581"/>
      <c r="AE14" s="581"/>
    </row>
    <row r="15" spans="1:31" x14ac:dyDescent="0.25">
      <c r="S15" t="s">
        <v>72</v>
      </c>
      <c r="T15" s="9">
        <f>AVERAGEIFS($Q$4:$Q$11,$A$4:$A$11,$S15,$C$4:$C$11,T$13)</f>
        <v>27.416666666666668</v>
      </c>
      <c r="U15" s="11">
        <f>AVERAGEIFS($Q$4:$Q$11,$A$4:$A$11,$S15,$C$4:$C$11,U$13)</f>
        <v>22.083333333333336</v>
      </c>
      <c r="V15">
        <f>AVERAGE(T15:U15)</f>
        <v>24.75</v>
      </c>
      <c r="X15" s="65" t="s">
        <v>286</v>
      </c>
      <c r="Y15" s="124">
        <f>S4</f>
        <v>12</v>
      </c>
      <c r="Z15" s="7">
        <f>DEVSQ(Q4:Q11)*Y15</f>
        <v>2623.2395833333335</v>
      </c>
      <c r="AA15" s="7">
        <f>T4*U4*V4-1</f>
        <v>7</v>
      </c>
      <c r="AB15" s="8">
        <f t="shared" si="1"/>
        <v>374.74851190476193</v>
      </c>
      <c r="AC15" s="580" t="s">
        <v>297</v>
      </c>
      <c r="AD15" s="581"/>
      <c r="AE15" s="581"/>
    </row>
    <row r="16" spans="1:31" x14ac:dyDescent="0.25">
      <c r="T16">
        <f>AVERAGE(T14:T15)</f>
        <v>25.166666666666664</v>
      </c>
      <c r="U16">
        <f>AVERAGE(U14:U15)</f>
        <v>24.145833333333336</v>
      </c>
      <c r="V16">
        <f>AVERAGE(T16:U16)</f>
        <v>24.65625</v>
      </c>
      <c r="X16" s="65" t="s">
        <v>277</v>
      </c>
      <c r="Y16" s="141" t="s">
        <v>278</v>
      </c>
      <c r="Z16" s="7">
        <f>Z15-Z6-Z7-Z8-Z10-Z12-Z14</f>
        <v>1283.3437500000005</v>
      </c>
      <c r="AA16" s="7">
        <f>AA15-AA6-AA7-AA8-AA10-AA12-AA14</f>
        <v>1</v>
      </c>
      <c r="AB16" s="8">
        <f t="shared" si="1"/>
        <v>1283.3437500000005</v>
      </c>
      <c r="AC16" s="580" t="s">
        <v>298</v>
      </c>
      <c r="AD16" s="581"/>
      <c r="AE16" s="581"/>
    </row>
    <row r="17" spans="19:31" x14ac:dyDescent="0.25">
      <c r="X17" s="65" t="s">
        <v>237</v>
      </c>
      <c r="Y17" s="142" t="s">
        <v>279</v>
      </c>
      <c r="Z17" s="10">
        <f>Z5-Z6-Z7-Z8-Z10-Z12-Z14-Z16</f>
        <v>4244.4166666666661</v>
      </c>
      <c r="AA17" s="10">
        <f>AA5-AA6-AA7-AA8-AA10-AA12-AA14-AA16</f>
        <v>88</v>
      </c>
      <c r="AB17" s="11">
        <f t="shared" si="1"/>
        <v>48.232007575757571</v>
      </c>
      <c r="AC17" s="580" t="s">
        <v>299</v>
      </c>
      <c r="AD17" s="581"/>
      <c r="AE17" s="581"/>
    </row>
    <row r="18" spans="19:31" x14ac:dyDescent="0.25">
      <c r="T18" s="12" t="s">
        <v>303</v>
      </c>
      <c r="U18" s="12" t="s">
        <v>304</v>
      </c>
    </row>
    <row r="19" spans="19:31" ht="15.75" thickBot="1" x14ac:dyDescent="0.3">
      <c r="S19" t="s">
        <v>307</v>
      </c>
      <c r="T19" s="140">
        <f>AVERAGEIFS($Q$4:$Q$11,$C$4:$C$11,$S19,$B$4:$B$11,T$18)</f>
        <v>22.75</v>
      </c>
      <c r="U19" s="139">
        <f>AVERAGEIFS($Q$4:$Q$11,$C$4:$C$11,$S19,$B$4:$B$11,U$18)</f>
        <v>27.583333333333336</v>
      </c>
      <c r="V19">
        <f>AVERAGE(T19:U19)</f>
        <v>25.166666666666668</v>
      </c>
      <c r="Y19" t="s">
        <v>101</v>
      </c>
    </row>
    <row r="20" spans="19:31" ht="15.75" thickTop="1" x14ac:dyDescent="0.25">
      <c r="S20" t="s">
        <v>308</v>
      </c>
      <c r="T20" s="9">
        <f>AVERAGEIFS($Q$4:$Q$11,$C$4:$C$11,$S20,$B$4:$B$11,T$18)</f>
        <v>20.75</v>
      </c>
      <c r="U20" s="11">
        <f>AVERAGEIFS($Q$4:$Q$11,$C$4:$C$11,$S20,$B$4:$B$11,U$18)</f>
        <v>27.541666666666664</v>
      </c>
      <c r="V20">
        <f>AVERAGE(T20:U20)</f>
        <v>24.145833333333332</v>
      </c>
      <c r="Y20" s="116" t="s">
        <v>135</v>
      </c>
      <c r="Z20" s="116" t="s">
        <v>88</v>
      </c>
      <c r="AA20" s="116" t="s">
        <v>51</v>
      </c>
      <c r="AB20" s="116" t="s">
        <v>92</v>
      </c>
      <c r="AC20" s="116" t="s">
        <v>82</v>
      </c>
      <c r="AD20" s="116" t="s">
        <v>74</v>
      </c>
      <c r="AE20" s="251" t="s">
        <v>879</v>
      </c>
    </row>
    <row r="21" spans="19:31" x14ac:dyDescent="0.25">
      <c r="T21">
        <f>AVERAGE(T19:T20)</f>
        <v>21.75</v>
      </c>
      <c r="U21">
        <f>AVERAGE(U19:U20)</f>
        <v>27.5625</v>
      </c>
      <c r="V21">
        <f>AVERAGE(T21:U21)</f>
        <v>24.65625</v>
      </c>
      <c r="Y21" s="17" t="s">
        <v>280</v>
      </c>
      <c r="Z21" s="17">
        <f t="shared" ref="Z21:AA23" si="2">Z6</f>
        <v>0.84375</v>
      </c>
      <c r="AA21" s="17">
        <f t="shared" si="2"/>
        <v>1</v>
      </c>
      <c r="AB21" s="17">
        <f>Z21/AA21</f>
        <v>0.84375</v>
      </c>
      <c r="AC21" s="17">
        <f t="shared" ref="AC21:AC27" si="3">AB21/AB$28</f>
        <v>1.7493569984096756E-2</v>
      </c>
      <c r="AD21">
        <f t="shared" ref="AD21:AD27" si="4">FDIST(AC21,AA21,AA$28)</f>
        <v>0.89507801695319222</v>
      </c>
      <c r="AE21">
        <f>Z21/(Z21+Z28)</f>
        <v>1.9875105816535599E-4</v>
      </c>
    </row>
    <row r="22" spans="19:31" x14ac:dyDescent="0.25">
      <c r="Y22" s="17" t="s">
        <v>305</v>
      </c>
      <c r="Z22" s="17">
        <f t="shared" si="2"/>
        <v>810.84375</v>
      </c>
      <c r="AA22" s="17">
        <f t="shared" si="2"/>
        <v>1</v>
      </c>
      <c r="AB22" s="17">
        <f t="shared" ref="AB22:AB28" si="5">Z22/AA22</f>
        <v>810.84375</v>
      </c>
      <c r="AC22" s="17">
        <f t="shared" si="3"/>
        <v>16.811320754716984</v>
      </c>
      <c r="AD22">
        <f t="shared" si="4"/>
        <v>9.177926727043635E-5</v>
      </c>
      <c r="AE22">
        <f>Z22/(Z22+Z28)</f>
        <v>0.16039603960396043</v>
      </c>
    </row>
    <row r="23" spans="19:31" x14ac:dyDescent="0.25">
      <c r="Y23" s="17" t="s">
        <v>309</v>
      </c>
      <c r="Z23" s="17">
        <f t="shared" si="2"/>
        <v>25.010416666666785</v>
      </c>
      <c r="AA23" s="17">
        <f t="shared" si="2"/>
        <v>1</v>
      </c>
      <c r="AB23" s="17">
        <f t="shared" si="5"/>
        <v>25.010416666666785</v>
      </c>
      <c r="AC23" s="17">
        <f t="shared" si="3"/>
        <v>0.51854396952859894</v>
      </c>
      <c r="AD23">
        <f t="shared" si="4"/>
        <v>0.47337178271106939</v>
      </c>
      <c r="AE23" s="540">
        <f>Z23/(Z23+Z28)</f>
        <v>5.8580264233345407E-3</v>
      </c>
    </row>
    <row r="24" spans="19:31" x14ac:dyDescent="0.25">
      <c r="Y24" s="17" t="s">
        <v>271</v>
      </c>
      <c r="Z24" s="17">
        <f>Z10</f>
        <v>33.84375</v>
      </c>
      <c r="AA24" s="17">
        <f>AA10</f>
        <v>1</v>
      </c>
      <c r="AB24" s="17">
        <f t="shared" si="5"/>
        <v>33.84375</v>
      </c>
      <c r="AC24" s="17">
        <f t="shared" si="3"/>
        <v>0.70168652936210318</v>
      </c>
      <c r="AD24">
        <f t="shared" si="4"/>
        <v>0.40448689763874979</v>
      </c>
      <c r="AE24">
        <f>Z24/(Z24+Z28)</f>
        <v>7.9106334593743079E-3</v>
      </c>
    </row>
    <row r="25" spans="19:31" x14ac:dyDescent="0.25">
      <c r="Y25" s="17" t="s">
        <v>273</v>
      </c>
      <c r="Z25" s="17">
        <f>Z12</f>
        <v>446.34374999999983</v>
      </c>
      <c r="AA25" s="17">
        <f>AA12</f>
        <v>1</v>
      </c>
      <c r="AB25" s="17">
        <f t="shared" si="5"/>
        <v>446.34374999999983</v>
      </c>
      <c r="AC25" s="17">
        <f t="shared" si="3"/>
        <v>9.2540985215871814</v>
      </c>
      <c r="AD25">
        <f t="shared" si="4"/>
        <v>3.0965102604328444E-3</v>
      </c>
      <c r="AE25">
        <f>Z25/(Z25+Z28)</f>
        <v>9.5153815235180836E-2</v>
      </c>
    </row>
    <row r="26" spans="19:31" x14ac:dyDescent="0.25">
      <c r="Y26" s="17" t="s">
        <v>275</v>
      </c>
      <c r="Z26">
        <f>Z14</f>
        <v>23.010416666666586</v>
      </c>
      <c r="AA26">
        <f>AA14</f>
        <v>1</v>
      </c>
      <c r="AB26" s="17">
        <f t="shared" si="5"/>
        <v>23.010416666666586</v>
      </c>
      <c r="AC26" s="17">
        <f t="shared" si="3"/>
        <v>0.47707772956629135</v>
      </c>
      <c r="AD26">
        <f t="shared" si="4"/>
        <v>0.49156686051230858</v>
      </c>
      <c r="AE26">
        <f>Z26/(Z26+Z28)</f>
        <v>5.392105410900871E-3</v>
      </c>
    </row>
    <row r="27" spans="19:31" x14ac:dyDescent="0.25">
      <c r="Y27" s="17" t="s">
        <v>277</v>
      </c>
      <c r="Z27">
        <f>Z16</f>
        <v>1283.3437500000005</v>
      </c>
      <c r="AA27">
        <f>AA16</f>
        <v>1</v>
      </c>
      <c r="AB27" s="17">
        <f t="shared" si="5"/>
        <v>1283.3437500000005</v>
      </c>
      <c r="AC27" s="17">
        <f t="shared" si="3"/>
        <v>26.607719945811176</v>
      </c>
      <c r="AD27">
        <f t="shared" si="4"/>
        <v>1.5228732447781372E-6</v>
      </c>
      <c r="AE27">
        <f>Z27/(Z27+Z28)</f>
        <v>0.23216341759867348</v>
      </c>
    </row>
    <row r="28" spans="19:31" x14ac:dyDescent="0.25">
      <c r="Y28" s="17" t="s">
        <v>281</v>
      </c>
      <c r="Z28">
        <f>Z17</f>
        <v>4244.4166666666661</v>
      </c>
      <c r="AA28">
        <f>AA17</f>
        <v>88</v>
      </c>
      <c r="AB28" s="17">
        <f t="shared" si="5"/>
        <v>48.232007575757571</v>
      </c>
    </row>
    <row r="30" spans="19:31" ht="15.75" thickBot="1" x14ac:dyDescent="0.3">
      <c r="Y30" s="18" t="s">
        <v>1</v>
      </c>
      <c r="Z30" s="18">
        <f>Z5</f>
        <v>6867.65625</v>
      </c>
      <c r="AA30" s="18">
        <f>AA5</f>
        <v>95</v>
      </c>
      <c r="AB30" s="18"/>
      <c r="AC30" s="18"/>
      <c r="AD30" s="18"/>
      <c r="AE30" s="18"/>
    </row>
  </sheetData>
  <mergeCells count="15">
    <mergeCell ref="AC17:AE17"/>
    <mergeCell ref="AC4:AE4"/>
    <mergeCell ref="D3:O3"/>
    <mergeCell ref="AC11:AE11"/>
    <mergeCell ref="AC12:AE12"/>
    <mergeCell ref="AC13:AE13"/>
    <mergeCell ref="AC14:AE14"/>
    <mergeCell ref="AC15:AE15"/>
    <mergeCell ref="AC16:AE16"/>
    <mergeCell ref="AC5:AE5"/>
    <mergeCell ref="AC6:AE6"/>
    <mergeCell ref="AC7:AE7"/>
    <mergeCell ref="AC8:AE8"/>
    <mergeCell ref="AC9:AE9"/>
    <mergeCell ref="AC10:AE10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AD30"/>
  <sheetViews>
    <sheetView zoomScaleNormal="100" workbookViewId="0"/>
  </sheetViews>
  <sheetFormatPr defaultRowHeight="15" x14ac:dyDescent="0.25"/>
  <cols>
    <col min="4" max="15" width="4.42578125" customWidth="1"/>
    <col min="16" max="16" width="2.140625" customWidth="1"/>
    <col min="19" max="19" width="7.42578125" customWidth="1"/>
    <col min="20" max="20" width="5.85546875" customWidth="1"/>
    <col min="23" max="23" width="4.5703125" customWidth="1"/>
    <col min="26" max="26" width="5.28515625" customWidth="1"/>
  </cols>
  <sheetData>
    <row r="1" spans="1:30" x14ac:dyDescent="0.25">
      <c r="A1" s="1" t="s">
        <v>510</v>
      </c>
      <c r="Q1" t="s">
        <v>24</v>
      </c>
      <c r="X1" t="s">
        <v>506</v>
      </c>
    </row>
    <row r="2" spans="1:30" ht="14.45" customHeight="1" x14ac:dyDescent="0.25"/>
    <row r="3" spans="1:30" ht="15.75" thickBot="1" x14ac:dyDescent="0.3">
      <c r="A3" s="194" t="s">
        <v>269</v>
      </c>
      <c r="B3" s="187" t="s">
        <v>302</v>
      </c>
      <c r="C3" s="195" t="s">
        <v>306</v>
      </c>
      <c r="D3" s="572" t="s">
        <v>270</v>
      </c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3"/>
      <c r="T3" s="12" t="s">
        <v>19</v>
      </c>
      <c r="U3" s="12" t="s">
        <v>7</v>
      </c>
      <c r="V3" s="12" t="s">
        <v>62</v>
      </c>
      <c r="X3" t="s">
        <v>101</v>
      </c>
      <c r="AB3" s="409" t="s">
        <v>31</v>
      </c>
      <c r="AC3" s="409">
        <v>0.05</v>
      </c>
    </row>
    <row r="4" spans="1:30" ht="15.75" thickTop="1" x14ac:dyDescent="0.25">
      <c r="A4" s="180" t="s">
        <v>77</v>
      </c>
      <c r="B4" s="179" t="s">
        <v>303</v>
      </c>
      <c r="C4" s="181" t="s">
        <v>307</v>
      </c>
      <c r="D4" s="252">
        <v>23</v>
      </c>
      <c r="E4" s="252">
        <v>18</v>
      </c>
      <c r="F4" s="252">
        <v>26</v>
      </c>
      <c r="G4" s="252">
        <v>32</v>
      </c>
      <c r="H4" s="252">
        <v>13</v>
      </c>
      <c r="I4" s="252">
        <v>31</v>
      </c>
      <c r="J4" s="252">
        <v>26</v>
      </c>
      <c r="K4" s="252">
        <v>34</v>
      </c>
      <c r="L4" s="252">
        <v>17</v>
      </c>
      <c r="M4" s="252">
        <v>23</v>
      </c>
      <c r="N4" s="252">
        <v>28</v>
      </c>
      <c r="O4" s="398">
        <v>26</v>
      </c>
      <c r="Q4" s="380" t="e">
        <f t="array" aca="1" ref="Q4:Q5" ca="1">ExtractUnique(A4:A11)</f>
        <v>#NAME?</v>
      </c>
      <c r="R4" s="381"/>
      <c r="S4" s="382"/>
      <c r="T4" s="380">
        <f ca="1">SUMIF($Q$22:$Q$29,Q4,$T$22:$T$29)</f>
        <v>0</v>
      </c>
      <c r="U4" s="381" t="str">
        <f t="array" aca="1" ref="U4" ca="1">IF(T4=0,"",AVERAGE(IF($A$4:$A$11=Q4,$D$4:$O$11,"")))</f>
        <v/>
      </c>
      <c r="V4" s="382" t="str">
        <f t="array" aca="1" ref="V4" ca="1">IF(T4&lt;2,"",VAR(IF($A$4:$A$11=Q4,$D$4:$O$11,"")))</f>
        <v/>
      </c>
      <c r="X4" s="251"/>
      <c r="Y4" s="251" t="s">
        <v>88</v>
      </c>
      <c r="Z4" s="251" t="s">
        <v>51</v>
      </c>
      <c r="AA4" s="251" t="s">
        <v>92</v>
      </c>
      <c r="AB4" s="251" t="s">
        <v>82</v>
      </c>
      <c r="AC4" s="251" t="s">
        <v>56</v>
      </c>
      <c r="AD4" s="251" t="s">
        <v>865</v>
      </c>
    </row>
    <row r="5" spans="1:30" x14ac:dyDescent="0.25">
      <c r="A5" s="180" t="s">
        <v>77</v>
      </c>
      <c r="B5" s="179" t="s">
        <v>303</v>
      </c>
      <c r="C5" s="181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181">
        <v>25</v>
      </c>
      <c r="Q5" s="178" t="e">
        <f ca="1"/>
        <v>#NAME?</v>
      </c>
      <c r="R5" s="7"/>
      <c r="S5" s="40"/>
      <c r="T5" s="178">
        <f ca="1">SUMIF($Q$22:$Q$29,Q5,$T$22:$T$29)</f>
        <v>0</v>
      </c>
      <c r="U5" s="7" t="str">
        <f t="array" aca="1" ref="U5" ca="1">IF(T5=0,"",AVERAGE(IF($A$4:$A$11=Q5,$D$4:$O$11,"")))</f>
        <v/>
      </c>
      <c r="V5" s="40" t="str">
        <f t="array" aca="1" ref="V5" ca="1">IF(T5&lt;2,"",VAR(IF($A$4:$A$11=Q5,$D$4:$O$11,"")))</f>
        <v/>
      </c>
      <c r="X5" t="s">
        <v>86</v>
      </c>
      <c r="Y5" t="e">
        <f ca="1">DEVSQ(U4:U5)*T4</f>
        <v>#NUM!</v>
      </c>
      <c r="Z5">
        <f ca="1">COUNT(U4:U5)-1</f>
        <v>-1</v>
      </c>
      <c r="AA5" t="e">
        <f t="shared" ref="AA5:AA13" ca="1" si="0">Y5/Z5</f>
        <v>#NUM!</v>
      </c>
      <c r="AB5" t="e">
        <f ca="1">AA5/AA12</f>
        <v>#NUM!</v>
      </c>
      <c r="AC5" t="e">
        <f ca="1">FDIST(AB5,Z5,Z12)</f>
        <v>#NUM!</v>
      </c>
      <c r="AD5" t="e">
        <f ca="1">Y5/(Y5+Y12)</f>
        <v>#NUM!</v>
      </c>
    </row>
    <row r="6" spans="1:30" x14ac:dyDescent="0.25">
      <c r="A6" s="180" t="s">
        <v>77</v>
      </c>
      <c r="B6" s="179" t="s">
        <v>304</v>
      </c>
      <c r="C6" s="181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181">
        <v>19</v>
      </c>
      <c r="Q6" s="178"/>
      <c r="R6" s="7" t="e">
        <f t="array" aca="1" ref="R6:R7" ca="1">ExtractUnique(B4:B11)</f>
        <v>#NAME?</v>
      </c>
      <c r="S6" s="40"/>
      <c r="T6" s="178">
        <f ca="1">SUMIF($R$22:$R$29,R6,$T$22:$T$29)</f>
        <v>0</v>
      </c>
      <c r="U6" s="7" t="str">
        <f t="array" aca="1" ref="U6" ca="1">IF(T6=0,"",AVERAGE(IF($B$4:$B$11=R6,$D$4:$O$11,"")))</f>
        <v/>
      </c>
      <c r="V6" s="40" t="str">
        <f t="array" aca="1" ref="V6" ca="1">IF(T6&lt;2,"",VAR(IF($B$4:$B$11=R6,$D$4:$O$11,"")))</f>
        <v/>
      </c>
      <c r="X6" t="s">
        <v>78</v>
      </c>
      <c r="Y6" t="e">
        <f ca="1">DEVSQ(U6:U7)*T6</f>
        <v>#NUM!</v>
      </c>
      <c r="Z6">
        <f ca="1">COUNT(U6:U7)-1</f>
        <v>-1</v>
      </c>
      <c r="AA6" t="e">
        <f t="shared" ca="1" si="0"/>
        <v>#NUM!</v>
      </c>
      <c r="AB6" t="e">
        <f ca="1">AA6/AA12</f>
        <v>#NUM!</v>
      </c>
      <c r="AC6" t="e">
        <f ca="1">FDIST(AB6,Z6,Z12)</f>
        <v>#NUM!</v>
      </c>
      <c r="AD6" t="e">
        <f ca="1">Y6/(Y6+Y12)</f>
        <v>#NUM!</v>
      </c>
    </row>
    <row r="7" spans="1:30" x14ac:dyDescent="0.25">
      <c r="A7" s="180" t="s">
        <v>77</v>
      </c>
      <c r="B7" s="179" t="s">
        <v>304</v>
      </c>
      <c r="C7" s="181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181">
        <v>36</v>
      </c>
      <c r="Q7" s="178"/>
      <c r="R7" s="7" t="e">
        <f ca="1"/>
        <v>#NAME?</v>
      </c>
      <c r="S7" s="40"/>
      <c r="T7" s="178">
        <f ca="1">SUMIF($R$22:$R$29,R7,$T$22:$T$29)</f>
        <v>0</v>
      </c>
      <c r="U7" s="7" t="str">
        <f t="array" aca="1" ref="U7" ca="1">IF(T7=0,"",AVERAGE(IF($B$4:$B$11=R7,$D$4:$O$11,"")))</f>
        <v/>
      </c>
      <c r="V7" s="40" t="str">
        <f t="array" aca="1" ref="V7" ca="1">IF(T7&lt;2,"",VAR(IF($B$4:$B$11=R7,$D$4:$O$11,"")))</f>
        <v/>
      </c>
      <c r="X7" t="s">
        <v>79</v>
      </c>
      <c r="Y7" t="e">
        <f ca="1">DEVSQ(U8:U9)*T8</f>
        <v>#NUM!</v>
      </c>
      <c r="Z7">
        <f ca="1">COUNT(U8:U9)-1</f>
        <v>-1</v>
      </c>
      <c r="AA7" t="e">
        <f t="shared" ca="1" si="0"/>
        <v>#NUM!</v>
      </c>
      <c r="AB7" t="e">
        <f ca="1">AA7/AA12</f>
        <v>#NUM!</v>
      </c>
      <c r="AC7" t="e">
        <f ca="1">FDIST(AB7,Z7,Z12)</f>
        <v>#NUM!</v>
      </c>
      <c r="AD7" s="540" t="e">
        <f ca="1">Y7/(Y7+Y12)</f>
        <v>#NUM!</v>
      </c>
    </row>
    <row r="8" spans="1:30" x14ac:dyDescent="0.25">
      <c r="A8" s="180" t="s">
        <v>72</v>
      </c>
      <c r="B8" s="179" t="s">
        <v>303</v>
      </c>
      <c r="C8" s="181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181">
        <v>24</v>
      </c>
      <c r="Q8" s="178"/>
      <c r="R8" s="7"/>
      <c r="S8" s="40" t="e">
        <f t="array" aca="1" ref="S8:S9" ca="1">ExtractUnique(C4:C11)</f>
        <v>#NAME?</v>
      </c>
      <c r="T8" s="178">
        <f ca="1">SUMIF($S$22:$S$29,S8,$T$22:$T$29)</f>
        <v>0</v>
      </c>
      <c r="U8" s="7" t="str">
        <f t="array" aca="1" ref="U8" ca="1">IF(T8=0,"",AVERAGE(IF($C$4:$C$11=S8,$D$4:$O$11,"")))</f>
        <v/>
      </c>
      <c r="V8" s="40" t="str">
        <f t="array" aca="1" ref="V8" ca="1">IF(T8&lt;2,"",VAR(IF($C$4:$C$11=S8,$D$4:$O$11,"")))</f>
        <v/>
      </c>
      <c r="X8" t="s">
        <v>271</v>
      </c>
      <c r="Y8" t="e">
        <f ca="1">DEVSQ(U10:U13)*T10-Y5-Y6</f>
        <v>#NUM!</v>
      </c>
      <c r="Z8">
        <f ca="1">Z6*Z5</f>
        <v>1</v>
      </c>
      <c r="AA8" t="e">
        <f t="shared" ca="1" si="0"/>
        <v>#NUM!</v>
      </c>
      <c r="AB8" t="e">
        <f ca="1">AA8/AA12</f>
        <v>#NUM!</v>
      </c>
      <c r="AC8" t="e">
        <f ca="1">FDIST(AB8,Z8,Z12)</f>
        <v>#NUM!</v>
      </c>
      <c r="AD8" t="e">
        <f ca="1">Y8/(Y8+Y12)</f>
        <v>#NUM!</v>
      </c>
    </row>
    <row r="9" spans="1:30" x14ac:dyDescent="0.25">
      <c r="A9" s="180" t="s">
        <v>72</v>
      </c>
      <c r="B9" s="179" t="s">
        <v>303</v>
      </c>
      <c r="C9" s="181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181">
        <v>16</v>
      </c>
      <c r="Q9" s="221"/>
      <c r="R9" s="222"/>
      <c r="S9" s="223" t="e">
        <f ca="1"/>
        <v>#NAME?</v>
      </c>
      <c r="T9" s="221">
        <f ca="1">SUMIF($S$22:$S$29,S9,$T$22:$T$29)</f>
        <v>0</v>
      </c>
      <c r="U9" s="222" t="str">
        <f t="array" aca="1" ref="U9" ca="1">IF(T9=0,"",AVERAGE(IF($C$4:$C$11=S9,$D$4:$O$11,"")))</f>
        <v/>
      </c>
      <c r="V9" s="223" t="str">
        <f t="array" aca="1" ref="V9" ca="1">IF(T9&lt;2,"",VAR(IF($C$4:$C$11=S9,$D$4:$O$11,"")))</f>
        <v/>
      </c>
      <c r="X9" t="s">
        <v>273</v>
      </c>
      <c r="Y9" t="e">
        <f ca="1">DEVSQ(U14:U17)*T14-Y5-Y7</f>
        <v>#NUM!</v>
      </c>
      <c r="Z9">
        <f ca="1">Z7*Z5</f>
        <v>1</v>
      </c>
      <c r="AA9" t="e">
        <f t="shared" ca="1" si="0"/>
        <v>#NUM!</v>
      </c>
      <c r="AB9" t="e">
        <f ca="1">AA9/AA12</f>
        <v>#NUM!</v>
      </c>
      <c r="AC9" t="e">
        <f ca="1">FDIST(AB9,Z9,Z12)</f>
        <v>#NUM!</v>
      </c>
      <c r="AD9" t="e">
        <f ca="1">Y9/(Y9+Y12)</f>
        <v>#NUM!</v>
      </c>
    </row>
    <row r="10" spans="1:30" x14ac:dyDescent="0.25">
      <c r="A10" s="180" t="s">
        <v>72</v>
      </c>
      <c r="B10" s="179" t="s">
        <v>304</v>
      </c>
      <c r="C10" s="181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181">
        <v>28</v>
      </c>
      <c r="Q10" s="380" t="e">
        <f ca="1">$Q$4</f>
        <v>#NAME?</v>
      </c>
      <c r="R10" s="381" t="e">
        <f ca="1">$R6</f>
        <v>#NAME?</v>
      </c>
      <c r="S10" s="382"/>
      <c r="T10" s="380">
        <f ca="1">SUMIFS($T$22:$T$29,$Q$22:$Q$29,Q10,$R$22:$R$29,R10)</f>
        <v>0</v>
      </c>
      <c r="U10" s="381" t="str">
        <f t="array" aca="1" ref="U10" ca="1">IF(T10=0,"",AVERAGE(IF($A$4:$A$11=Q10,IF($B$4:$B$11=R10,$D$4:$O$11,""))))</f>
        <v/>
      </c>
      <c r="V10" s="382" t="str">
        <f t="array" aca="1" ref="V10" ca="1">IF(T10&lt;2,"",VAR(IF($A$4:$A$11=Q10,IF($B$4:$B$11=R10,$D$4:$O$11,""))))</f>
        <v/>
      </c>
      <c r="X10" t="s">
        <v>275</v>
      </c>
      <c r="Y10" t="e">
        <f ca="1">DEVSQ(U18:U21)*T18-Y6-Y7</f>
        <v>#NUM!</v>
      </c>
      <c r="Z10">
        <f ca="1">Z7*Z6</f>
        <v>1</v>
      </c>
      <c r="AA10" t="e">
        <f t="shared" ca="1" si="0"/>
        <v>#NUM!</v>
      </c>
      <c r="AB10" t="e">
        <f ca="1">AA10/AA12</f>
        <v>#NUM!</v>
      </c>
      <c r="AC10" t="e">
        <f ca="1">FDIST(AB10,Z10,Z12)</f>
        <v>#NUM!</v>
      </c>
      <c r="AD10" t="e">
        <f ca="1">Y10/(Y10+Y12)</f>
        <v>#NUM!</v>
      </c>
    </row>
    <row r="11" spans="1:30" x14ac:dyDescent="0.25">
      <c r="A11" s="170" t="s">
        <v>72</v>
      </c>
      <c r="B11" s="175" t="s">
        <v>304</v>
      </c>
      <c r="C11" s="174" t="s">
        <v>308</v>
      </c>
      <c r="D11" s="393">
        <v>35</v>
      </c>
      <c r="E11" s="393">
        <v>23</v>
      </c>
      <c r="F11" s="393">
        <v>24</v>
      </c>
      <c r="G11" s="393">
        <v>11</v>
      </c>
      <c r="H11" s="393">
        <v>23</v>
      </c>
      <c r="I11" s="393">
        <v>30</v>
      </c>
      <c r="J11" s="393">
        <v>26</v>
      </c>
      <c r="K11" s="393">
        <v>16</v>
      </c>
      <c r="L11" s="393">
        <v>23</v>
      </c>
      <c r="M11" s="393">
        <v>14</v>
      </c>
      <c r="N11" s="393">
        <v>19</v>
      </c>
      <c r="O11" s="174">
        <v>25</v>
      </c>
      <c r="Q11" s="178" t="e">
        <f ca="1">$Q$4</f>
        <v>#NAME?</v>
      </c>
      <c r="R11" s="7" t="e">
        <f ca="1">$R7</f>
        <v>#NAME?</v>
      </c>
      <c r="S11" s="40"/>
      <c r="T11" s="178">
        <f ca="1">SUMIFS($T$22:$T$29,$Q$22:$Q$29,Q11,$R$22:$R$29,R11)</f>
        <v>0</v>
      </c>
      <c r="U11" s="7" t="str">
        <f t="array" aca="1" ref="U11" ca="1">IF(T11=0,"",AVERAGE(IF($A$4:$A$11=Q11,IF($B$4:$B$11=R11,$D$4:$O$11,""))))</f>
        <v/>
      </c>
      <c r="V11" s="40" t="str">
        <f t="array" aca="1" ref="V11" ca="1">IF(T11&lt;2,"",VAR(IF($A$4:$A$11=Q11,IF($B$4:$B$11=R11,$D$4:$O$11,""))))</f>
        <v/>
      </c>
      <c r="X11" t="s">
        <v>277</v>
      </c>
      <c r="Y11" t="e">
        <f ca="1">DEVSQ(U22:U29)*T22-Y10-Y9-Y8-Y7-Y6-Y5</f>
        <v>#NUM!</v>
      </c>
      <c r="Z11">
        <f ca="1">Z7*Z6*Z5</f>
        <v>-1</v>
      </c>
      <c r="AA11" t="e">
        <f t="shared" ca="1" si="0"/>
        <v>#NUM!</v>
      </c>
      <c r="AB11" t="e">
        <f ca="1">AA11/AA12</f>
        <v>#NUM!</v>
      </c>
      <c r="AC11" t="e">
        <f ca="1">FDIST(AB11,Z11,Z12)</f>
        <v>#NUM!</v>
      </c>
      <c r="AD11" t="e">
        <f ca="1">Y11/(Y11+Y12)</f>
        <v>#NUM!</v>
      </c>
    </row>
    <row r="12" spans="1:30" x14ac:dyDescent="0.25">
      <c r="Q12" s="178" t="e">
        <f ca="1">$Q$5</f>
        <v>#NAME?</v>
      </c>
      <c r="R12" s="7" t="e">
        <f ca="1">$R6</f>
        <v>#NAME?</v>
      </c>
      <c r="S12" s="40"/>
      <c r="T12" s="178">
        <f ca="1">SUMIFS($T$22:$T$29,$Q$22:$Q$29,Q12,$R$22:$R$29,R12)</f>
        <v>0</v>
      </c>
      <c r="U12" s="7" t="str">
        <f t="array" aca="1" ref="U12" ca="1">IF(T12=0,"",AVERAGE(IF($A$4:$A$11=Q12,IF($B$4:$B$11=R12,$D$4:$O$11,""))))</f>
        <v/>
      </c>
      <c r="V12" s="40" t="str">
        <f t="array" aca="1" ref="V12" ca="1">IF(T12&lt;2,"",VAR(IF($A$4:$A$11=Q12,IF($B$4:$B$11=R12,$D$4:$O$11,""))))</f>
        <v/>
      </c>
      <c r="X12" t="s">
        <v>249</v>
      </c>
      <c r="Y12" t="e">
        <f ca="1">Y13-Y11-Y10-Y9-Y8-Y7-Y6-Y5</f>
        <v>#NUM!</v>
      </c>
      <c r="Z12">
        <f ca="1">T30-(Z5+1)*(Z6+1)*(Z7+1)</f>
        <v>96</v>
      </c>
      <c r="AA12" t="e">
        <f t="shared" ca="1" si="0"/>
        <v>#NUM!</v>
      </c>
    </row>
    <row r="13" spans="1:30" x14ac:dyDescent="0.25">
      <c r="Q13" s="221" t="e">
        <f ca="1">$Q$5</f>
        <v>#NAME?</v>
      </c>
      <c r="R13" s="222" t="e">
        <f ca="1">$R7</f>
        <v>#NAME?</v>
      </c>
      <c r="S13" s="223"/>
      <c r="T13" s="221">
        <f ca="1">SUMIFS($T$22:$T$29,$Q$22:$Q$29,Q13,$R$22:$R$29,R13)</f>
        <v>0</v>
      </c>
      <c r="U13" s="222" t="str">
        <f t="array" aca="1" ref="U13" ca="1">IF(T13=0,"",AVERAGE(IF($A$4:$A$11=Q13,IF($B$4:$B$11=R13,$D$4:$O$11,""))))</f>
        <v/>
      </c>
      <c r="V13" s="223" t="str">
        <f t="array" aca="1" ref="V13" ca="1">IF(T13&lt;2,"",VAR(IF($A$4:$A$11=Q13,IF($B$4:$B$11=R13,$D$4:$O$11,""))))</f>
        <v/>
      </c>
      <c r="X13" s="224" t="s">
        <v>1</v>
      </c>
      <c r="Y13" s="224">
        <f>V30*Z13</f>
        <v>6867.65625</v>
      </c>
      <c r="Z13" s="224">
        <f>T30-1</f>
        <v>95</v>
      </c>
      <c r="AA13" s="224">
        <f t="shared" si="0"/>
        <v>72.29111842105263</v>
      </c>
      <c r="AB13" s="224"/>
      <c r="AC13" s="224"/>
      <c r="AD13" s="224"/>
    </row>
    <row r="14" spans="1:30" x14ac:dyDescent="0.25">
      <c r="Q14" s="380" t="e">
        <f ca="1">$Q$4</f>
        <v>#NAME?</v>
      </c>
      <c r="R14" s="381"/>
      <c r="S14" s="382" t="e">
        <f ca="1">$S8</f>
        <v>#NAME?</v>
      </c>
      <c r="T14" s="380">
        <f ca="1">SUMIFS($T$22:$T$29,$Q$22:$Q$29,Q14,$S$22:$S$29,S14)</f>
        <v>0</v>
      </c>
      <c r="U14" s="381" t="str">
        <f t="array" aca="1" ref="U14" ca="1">IF(T14=0,"",AVERAGE(IF($A$4:$A$11=Q14,IF($C$4:$C$11=S14,$D$4:$O$11,""))))</f>
        <v/>
      </c>
      <c r="V14" s="382" t="str">
        <f t="array" aca="1" ref="V14" ca="1">IF(T14&lt;2,"",VAR(IF($A$4:$A$11=Q14,IF($C$4:$C$11=S14,$D$4:$O$11,""))))</f>
        <v/>
      </c>
    </row>
    <row r="15" spans="1:30" x14ac:dyDescent="0.25">
      <c r="Q15" s="178" t="e">
        <f ca="1">$Q$4</f>
        <v>#NAME?</v>
      </c>
      <c r="R15" s="7"/>
      <c r="S15" s="40" t="e">
        <f ca="1">$S9</f>
        <v>#NAME?</v>
      </c>
      <c r="T15" s="178">
        <f ca="1">SUMIFS($T$22:$T$29,$Q$22:$Q$29,Q15,$S$22:$S$29,S15)</f>
        <v>0</v>
      </c>
      <c r="U15" s="7" t="str">
        <f t="array" aca="1" ref="U15" ca="1">IF(T15=0,"",AVERAGE(IF($A$4:$A$11=Q15,IF($C$4:$C$11=S15,$D$4:$O$11,""))))</f>
        <v/>
      </c>
      <c r="V15" s="40" t="str">
        <f t="array" aca="1" ref="V15" ca="1">IF(T15&lt;2,"",VAR(IF($A$4:$A$11=Q15,IF($C$4:$C$11=S15,$D$4:$O$11,""))))</f>
        <v/>
      </c>
    </row>
    <row r="16" spans="1:30" x14ac:dyDescent="0.25">
      <c r="Q16" s="178" t="e">
        <f ca="1">$Q$5</f>
        <v>#NAME?</v>
      </c>
      <c r="R16" s="7"/>
      <c r="S16" s="40" t="e">
        <f ca="1">$S8</f>
        <v>#NAME?</v>
      </c>
      <c r="T16" s="178">
        <f ca="1">SUMIFS($T$22:$T$29,$Q$22:$Q$29,Q16,$S$22:$S$29,S16)</f>
        <v>0</v>
      </c>
      <c r="U16" s="7" t="str">
        <f t="array" aca="1" ref="U16" ca="1">IF(T16=0,"",AVERAGE(IF($A$4:$A$11=Q16,IF($C$4:$C$11=S16,$D$4:$O$11,""))))</f>
        <v/>
      </c>
      <c r="V16" s="40" t="str">
        <f t="array" aca="1" ref="V16" ca="1">IF(T16&lt;2,"",VAR(IF($A$4:$A$11=Q16,IF($C$4:$C$11=S16,$D$4:$O$11,""))))</f>
        <v/>
      </c>
    </row>
    <row r="17" spans="17:22" x14ac:dyDescent="0.25">
      <c r="Q17" s="221" t="e">
        <f ca="1">$Q$5</f>
        <v>#NAME?</v>
      </c>
      <c r="R17" s="222"/>
      <c r="S17" s="223" t="e">
        <f ca="1">$S9</f>
        <v>#NAME?</v>
      </c>
      <c r="T17" s="221">
        <f ca="1">SUMIFS($T$22:$T$29,$Q$22:$Q$29,Q17,$S$22:$S$29,S17)</f>
        <v>0</v>
      </c>
      <c r="U17" s="222" t="str">
        <f t="array" aca="1" ref="U17" ca="1">IF(T17=0,"",AVERAGE(IF($A$4:$A$11=Q17,IF($C$4:$C$11=S17,$D$4:$O$11,""))))</f>
        <v/>
      </c>
      <c r="V17" s="223" t="str">
        <f t="array" aca="1" ref="V17" ca="1">IF(T17&lt;2,"",VAR(IF($A$4:$A$11=Q17,IF($C$4:$C$11=S17,$D$4:$O$11,""))))</f>
        <v/>
      </c>
    </row>
    <row r="18" spans="17:22" x14ac:dyDescent="0.25">
      <c r="Q18" s="380"/>
      <c r="R18" s="381" t="e">
        <f ca="1">$R$6</f>
        <v>#NAME?</v>
      </c>
      <c r="S18" s="382" t="e">
        <f ca="1">$S8</f>
        <v>#NAME?</v>
      </c>
      <c r="T18" s="380">
        <f ca="1">SUMIFS($T$22:$T$29,$R$22:$R$29,R18,$S$22:$S$29,S18)</f>
        <v>0</v>
      </c>
      <c r="U18" s="381" t="str">
        <f t="array" aca="1" ref="U18" ca="1">IF(T18=0,"",AVERAGE(IF($B$4:$B$11=R18,IF($C$4:$C$11=S18,$D$4:$O$11,""))))</f>
        <v/>
      </c>
      <c r="V18" s="382" t="str">
        <f t="array" aca="1" ref="V18" ca="1">IF(T18&lt;2,"",VAR(IF($B$4:$B$11=R18,IF($C$4:$C$11=S18,$D$4:$O$11,""))))</f>
        <v/>
      </c>
    </row>
    <row r="19" spans="17:22" x14ac:dyDescent="0.25">
      <c r="Q19" s="178"/>
      <c r="R19" s="7" t="e">
        <f ca="1">$R$6</f>
        <v>#NAME?</v>
      </c>
      <c r="S19" s="40" t="e">
        <f ca="1">$S9</f>
        <v>#NAME?</v>
      </c>
      <c r="T19" s="178">
        <f ca="1">SUMIFS($T$22:$T$29,$R$22:$R$29,R19,$S$22:$S$29,S19)</f>
        <v>0</v>
      </c>
      <c r="U19" s="7" t="str">
        <f t="array" aca="1" ref="U19" ca="1">IF(T19=0,"",AVERAGE(IF($B$4:$B$11=R19,IF($C$4:$C$11=S19,$D$4:$O$11,""))))</f>
        <v/>
      </c>
      <c r="V19" s="40" t="str">
        <f t="array" aca="1" ref="V19" ca="1">IF(T19&lt;2,"",VAR(IF($B$4:$B$11=R19,IF($C$4:$C$11=S19,$D$4:$O$11,""))))</f>
        <v/>
      </c>
    </row>
    <row r="20" spans="17:22" x14ac:dyDescent="0.25">
      <c r="Q20" s="178"/>
      <c r="R20" s="7" t="e">
        <f ca="1">$R$7</f>
        <v>#NAME?</v>
      </c>
      <c r="S20" s="40" t="e">
        <f ca="1">$S8</f>
        <v>#NAME?</v>
      </c>
      <c r="T20" s="178">
        <f ca="1">SUMIFS($T$22:$T$29,$R$22:$R$29,R20,$S$22:$S$29,S20)</f>
        <v>0</v>
      </c>
      <c r="U20" s="7" t="str">
        <f t="array" aca="1" ref="U20" ca="1">IF(T20=0,"",AVERAGE(IF($B$4:$B$11=R20,IF($C$4:$C$11=S20,$D$4:$O$11,""))))</f>
        <v/>
      </c>
      <c r="V20" s="40" t="str">
        <f t="array" aca="1" ref="V20" ca="1">IF(T20&lt;2,"",VAR(IF($B$4:$B$11=R20,IF($C$4:$C$11=S20,$D$4:$O$11,""))))</f>
        <v/>
      </c>
    </row>
    <row r="21" spans="17:22" x14ac:dyDescent="0.25">
      <c r="Q21" s="221"/>
      <c r="R21" s="222" t="e">
        <f ca="1">$R$7</f>
        <v>#NAME?</v>
      </c>
      <c r="S21" s="223" t="e">
        <f ca="1">$S9</f>
        <v>#NAME?</v>
      </c>
      <c r="T21" s="221">
        <f ca="1">SUMIFS($T$22:$T$29,$R$22:$R$29,R21,$S$22:$S$29,S21)</f>
        <v>0</v>
      </c>
      <c r="U21" s="222" t="str">
        <f t="array" aca="1" ref="U21" ca="1">IF(T21=0,"",AVERAGE(IF($B$4:$B$11=R21,IF($C$4:$C$11=S21,$D$4:$O$11,""))))</f>
        <v/>
      </c>
      <c r="V21" s="223" t="str">
        <f t="array" aca="1" ref="V21" ca="1">IF(T21&lt;2,"",VAR(IF($B$4:$B$11=R21,IF($C$4:$C$11=S21,$D$4:$O$11,""))))</f>
        <v/>
      </c>
    </row>
    <row r="22" spans="17:22" x14ac:dyDescent="0.25">
      <c r="Q22" s="380" t="str">
        <f>A4</f>
        <v>Male</v>
      </c>
      <c r="R22" s="381" t="str">
        <f t="shared" ref="R22:S29" si="1">B4</f>
        <v>Italian</v>
      </c>
      <c r="S22" s="382" t="str">
        <f t="shared" si="1"/>
        <v>Seated</v>
      </c>
      <c r="T22" s="380">
        <f>COUNT(D4:O4)</f>
        <v>12</v>
      </c>
      <c r="U22" s="381">
        <f>AVERAGE(D4:O4)</f>
        <v>24.75</v>
      </c>
      <c r="V22" s="382">
        <f>VAR(D4:O4)</f>
        <v>40.204545454545453</v>
      </c>
    </row>
    <row r="23" spans="17:22" x14ac:dyDescent="0.25">
      <c r="Q23" s="178" t="str">
        <f t="shared" ref="Q23:Q29" si="2">A5</f>
        <v>Male</v>
      </c>
      <c r="R23" s="7" t="str">
        <f t="shared" si="1"/>
        <v>Italian</v>
      </c>
      <c r="S23" s="40" t="str">
        <f t="shared" si="1"/>
        <v>Prone</v>
      </c>
      <c r="T23" s="178">
        <f t="shared" ref="T23:T29" si="3">COUNT(D5:O5)</f>
        <v>12</v>
      </c>
      <c r="U23" s="7">
        <f t="shared" ref="U23:U29" si="4">AVERAGE(D5:O5)</f>
        <v>19.75</v>
      </c>
      <c r="V23" s="40">
        <f t="shared" ref="V23:V29" si="5">VAR(D5:O5)</f>
        <v>34.204545454545453</v>
      </c>
    </row>
    <row r="24" spans="17:22" x14ac:dyDescent="0.25">
      <c r="Q24" s="178" t="str">
        <f t="shared" si="2"/>
        <v>Male</v>
      </c>
      <c r="R24" s="7" t="str">
        <f t="shared" si="1"/>
        <v>Foreign</v>
      </c>
      <c r="S24" s="40" t="str">
        <f t="shared" si="1"/>
        <v>Seated</v>
      </c>
      <c r="T24" s="178">
        <f t="shared" si="3"/>
        <v>12</v>
      </c>
      <c r="U24" s="7">
        <f t="shared" si="4"/>
        <v>21.083333333333332</v>
      </c>
      <c r="V24" s="40">
        <f t="shared" si="5"/>
        <v>60.083333333333364</v>
      </c>
    </row>
    <row r="25" spans="17:22" x14ac:dyDescent="0.25">
      <c r="Q25" s="178" t="str">
        <f t="shared" si="2"/>
        <v>Male</v>
      </c>
      <c r="R25" s="7" t="str">
        <f t="shared" si="1"/>
        <v>Foreign</v>
      </c>
      <c r="S25" s="40" t="str">
        <f t="shared" si="1"/>
        <v>Prone</v>
      </c>
      <c r="T25" s="178">
        <f t="shared" si="3"/>
        <v>12</v>
      </c>
      <c r="U25" s="7">
        <f t="shared" si="4"/>
        <v>32.666666666666664</v>
      </c>
      <c r="V25" s="40">
        <f t="shared" si="5"/>
        <v>48.060606060606005</v>
      </c>
    </row>
    <row r="26" spans="17:22" x14ac:dyDescent="0.25">
      <c r="Q26" s="178" t="str">
        <f t="shared" si="2"/>
        <v>Female</v>
      </c>
      <c r="R26" s="7" t="str">
        <f t="shared" si="1"/>
        <v>Italian</v>
      </c>
      <c r="S26" s="40" t="str">
        <f t="shared" si="1"/>
        <v>Seated</v>
      </c>
      <c r="T26" s="178">
        <f t="shared" si="3"/>
        <v>12</v>
      </c>
      <c r="U26" s="7">
        <f t="shared" si="4"/>
        <v>20.75</v>
      </c>
      <c r="V26" s="40">
        <f t="shared" si="5"/>
        <v>53.659090909090907</v>
      </c>
    </row>
    <row r="27" spans="17:22" x14ac:dyDescent="0.25">
      <c r="Q27" s="178" t="str">
        <f t="shared" si="2"/>
        <v>Female</v>
      </c>
      <c r="R27" s="7" t="str">
        <f t="shared" si="1"/>
        <v>Italian</v>
      </c>
      <c r="S27" s="40" t="str">
        <f t="shared" si="1"/>
        <v>Prone</v>
      </c>
      <c r="T27" s="178">
        <f t="shared" si="3"/>
        <v>12</v>
      </c>
      <c r="U27" s="7">
        <f t="shared" si="4"/>
        <v>21.75</v>
      </c>
      <c r="V27" s="40">
        <f t="shared" si="5"/>
        <v>53.113636363636367</v>
      </c>
    </row>
    <row r="28" spans="17:22" x14ac:dyDescent="0.25">
      <c r="Q28" s="178" t="str">
        <f t="shared" si="2"/>
        <v>Female</v>
      </c>
      <c r="R28" s="7" t="str">
        <f t="shared" si="1"/>
        <v>Foreign</v>
      </c>
      <c r="S28" s="40" t="str">
        <f t="shared" si="1"/>
        <v>Seated</v>
      </c>
      <c r="T28" s="178">
        <f t="shared" si="3"/>
        <v>12</v>
      </c>
      <c r="U28" s="7">
        <f t="shared" si="4"/>
        <v>34.083333333333336</v>
      </c>
      <c r="V28" s="40">
        <f t="shared" si="5"/>
        <v>51.719696969696912</v>
      </c>
    </row>
    <row r="29" spans="17:22" x14ac:dyDescent="0.25">
      <c r="Q29" s="221" t="str">
        <f t="shared" si="2"/>
        <v>Female</v>
      </c>
      <c r="R29" s="222" t="str">
        <f t="shared" si="1"/>
        <v>Foreign</v>
      </c>
      <c r="S29" s="223" t="str">
        <f t="shared" si="1"/>
        <v>Prone</v>
      </c>
      <c r="T29" s="221">
        <f t="shared" si="3"/>
        <v>12</v>
      </c>
      <c r="U29" s="222">
        <f t="shared" si="4"/>
        <v>22.416666666666668</v>
      </c>
      <c r="V29" s="223">
        <f t="shared" si="5"/>
        <v>44.810606060606091</v>
      </c>
    </row>
    <row r="30" spans="17:22" x14ac:dyDescent="0.25">
      <c r="T30">
        <f>SUM(T22:T29)</f>
        <v>96</v>
      </c>
      <c r="U30">
        <f>AVERAGE(D4:O11)</f>
        <v>24.65625</v>
      </c>
      <c r="V30">
        <f>VAR(D4:O11)</f>
        <v>72.29111842105263</v>
      </c>
    </row>
  </sheetData>
  <mergeCells count="1">
    <mergeCell ref="D3:O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AI98"/>
  <sheetViews>
    <sheetView zoomScaleNormal="100" workbookViewId="0"/>
  </sheetViews>
  <sheetFormatPr defaultRowHeight="15" x14ac:dyDescent="0.25"/>
  <cols>
    <col min="1" max="3" width="7.42578125" customWidth="1"/>
    <col min="4" max="4" width="4.42578125" customWidth="1"/>
    <col min="5" max="5" width="4.5703125" customWidth="1"/>
    <col min="8" max="8" width="7.42578125" customWidth="1"/>
    <col min="9" max="9" width="5.85546875" customWidth="1"/>
    <col min="12" max="12" width="4" customWidth="1"/>
    <col min="15" max="15" width="4.28515625" customWidth="1"/>
  </cols>
  <sheetData>
    <row r="1" spans="1:35" x14ac:dyDescent="0.25">
      <c r="A1" s="547" t="s">
        <v>889</v>
      </c>
      <c r="B1" s="7"/>
      <c r="C1" s="7"/>
      <c r="D1" s="7"/>
      <c r="F1" t="s">
        <v>24</v>
      </c>
      <c r="M1" t="s">
        <v>508</v>
      </c>
      <c r="U1" t="s">
        <v>512</v>
      </c>
    </row>
    <row r="2" spans="1:35" ht="15" customHeight="1" x14ac:dyDescent="0.25">
      <c r="A2" s="516"/>
      <c r="B2" s="516"/>
      <c r="C2" s="516"/>
      <c r="D2" s="516"/>
    </row>
    <row r="3" spans="1:35" ht="15.75" thickBot="1" x14ac:dyDescent="0.3">
      <c r="A3" s="7" t="s">
        <v>77</v>
      </c>
      <c r="B3" s="7" t="s">
        <v>303</v>
      </c>
      <c r="C3" s="7" t="s">
        <v>307</v>
      </c>
      <c r="D3" s="7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10" t="s">
        <v>31</v>
      </c>
      <c r="R3" s="410">
        <v>0.05</v>
      </c>
      <c r="U3" s="380" t="e">
        <f t="array" aca="1" ref="U3:AI10" ca="1">Anova3Rows(A3:D98)</f>
        <v>#NAME?</v>
      </c>
      <c r="V3" s="381" t="e">
        <f ca="1"/>
        <v>#NAME?</v>
      </c>
      <c r="W3" s="382" t="e">
        <f ca="1"/>
        <v>#NAME?</v>
      </c>
      <c r="X3" s="381" t="e">
        <f ca="1"/>
        <v>#NAME?</v>
      </c>
      <c r="Y3" s="381" t="e">
        <f ca="1"/>
        <v>#NAME?</v>
      </c>
      <c r="Z3" s="381" t="e">
        <f ca="1"/>
        <v>#NAME?</v>
      </c>
      <c r="AA3" s="381" t="e">
        <f ca="1"/>
        <v>#NAME?</v>
      </c>
      <c r="AB3" s="381" t="e">
        <f ca="1"/>
        <v>#NAME?</v>
      </c>
      <c r="AC3" s="381" t="e">
        <f ca="1"/>
        <v>#NAME?</v>
      </c>
      <c r="AD3" s="381" t="e">
        <f ca="1"/>
        <v>#NAME?</v>
      </c>
      <c r="AE3" s="381" t="e">
        <f ca="1"/>
        <v>#NAME?</v>
      </c>
      <c r="AF3" s="381" t="e">
        <f ca="1"/>
        <v>#NAME?</v>
      </c>
      <c r="AG3" s="381" t="e">
        <f ca="1"/>
        <v>#NAME?</v>
      </c>
      <c r="AH3" s="381" t="e">
        <f ca="1"/>
        <v>#NAME?</v>
      </c>
      <c r="AI3" s="382" t="e">
        <f ca="1"/>
        <v>#NAME?</v>
      </c>
    </row>
    <row r="4" spans="1:35" ht="15.75" thickTop="1" x14ac:dyDescent="0.25">
      <c r="A4" s="7" t="s">
        <v>77</v>
      </c>
      <c r="B4" s="7" t="s">
        <v>303</v>
      </c>
      <c r="C4" s="7" t="s">
        <v>307</v>
      </c>
      <c r="D4" s="7">
        <v>18</v>
      </c>
      <c r="F4" s="380" t="e">
        <f t="array" aca="1" ref="F4:F5" ca="1">SortUnique(A3:A98)</f>
        <v>#NAME?</v>
      </c>
      <c r="G4" s="381"/>
      <c r="H4" s="382"/>
      <c r="I4" s="380">
        <f ca="1">SUMIF($F$22:$F$29,F4,$I$22:$I$29)</f>
        <v>0</v>
      </c>
      <c r="J4" s="381" t="str">
        <f ca="1">IF(I4=0,"",AVERAGEIF($A$3:$A$98,$F4,$D$3:$D$98))</f>
        <v/>
      </c>
      <c r="K4" s="382" t="str">
        <f t="array" aca="1" ref="K4" ca="1">IF(I4&lt;2,"",VAR(IF($A$3:$A$98=$F4,$D$3:$D$98,"")))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865</v>
      </c>
      <c r="U4" s="178" t="e">
        <f ca="1"/>
        <v>#NAME?</v>
      </c>
      <c r="V4" s="7" t="e">
        <f ca="1"/>
        <v>#NAME?</v>
      </c>
      <c r="W4" s="40" t="e">
        <f ca="1"/>
        <v>#NAME?</v>
      </c>
      <c r="X4" s="7" t="e">
        <f ca="1"/>
        <v>#NAME?</v>
      </c>
      <c r="Y4" s="7" t="e">
        <f ca="1"/>
        <v>#NAME?</v>
      </c>
      <c r="Z4" s="7" t="e">
        <f ca="1"/>
        <v>#NAME?</v>
      </c>
      <c r="AA4" s="7" t="e">
        <f ca="1"/>
        <v>#NAME?</v>
      </c>
      <c r="AB4" s="7" t="e">
        <f ca="1"/>
        <v>#NAME?</v>
      </c>
      <c r="AC4" s="7" t="e">
        <f ca="1"/>
        <v>#NAME?</v>
      </c>
      <c r="AD4" s="7" t="e">
        <f ca="1"/>
        <v>#NAME?</v>
      </c>
      <c r="AE4" s="7" t="e">
        <f ca="1"/>
        <v>#NAME?</v>
      </c>
      <c r="AF4" s="7" t="e">
        <f ca="1"/>
        <v>#NAME?</v>
      </c>
      <c r="AG4" s="7" t="e">
        <f ca="1"/>
        <v>#NAME?</v>
      </c>
      <c r="AH4" s="7" t="e">
        <f ca="1"/>
        <v>#NAME?</v>
      </c>
      <c r="AI4" s="40" t="e">
        <f ca="1"/>
        <v>#NAME?</v>
      </c>
    </row>
    <row r="5" spans="1:35" x14ac:dyDescent="0.25">
      <c r="A5" s="7" t="s">
        <v>77</v>
      </c>
      <c r="B5" s="7" t="s">
        <v>303</v>
      </c>
      <c r="C5" s="7" t="s">
        <v>307</v>
      </c>
      <c r="D5" s="7">
        <v>26</v>
      </c>
      <c r="F5" s="178" t="e">
        <f ca="1"/>
        <v>#NAME?</v>
      </c>
      <c r="G5" s="7"/>
      <c r="H5" s="40"/>
      <c r="I5" s="178">
        <f ca="1">SUMIF($F$22:$F$29,F5,$I$22:$I$29)</f>
        <v>0</v>
      </c>
      <c r="J5" s="7" t="str">
        <f ca="1">IF(I5=0,"",AVERAGEIF($A$3:$A$98,$F5,$D$3:$D$98))</f>
        <v/>
      </c>
      <c r="K5" s="40" t="str">
        <f t="array" aca="1" ref="K5" ca="1">IF(I5&lt;2,"",VAR(IF($A$3:$A$98=$F5,$D$3:$D$98,"")))</f>
        <v/>
      </c>
      <c r="M5" t="s">
        <v>86</v>
      </c>
      <c r="N5" t="e">
        <f t="array" aca="1" ref="N5:N12" ca="1">SSAnova3(A3:D98)</f>
        <v>#NAME?</v>
      </c>
      <c r="O5">
        <f ca="1">COUNT(J4:J5)-1</f>
        <v>-1</v>
      </c>
      <c r="P5" t="e">
        <f t="shared" ref="P5:P13" ca="1" si="0">N5/O5</f>
        <v>#NAME?</v>
      </c>
      <c r="Q5" t="e">
        <f ca="1">P5/P12</f>
        <v>#NAME?</v>
      </c>
      <c r="R5" t="e">
        <f ca="1">FDIST(Q5,O5,O12)</f>
        <v>#NAME?</v>
      </c>
      <c r="S5" t="e">
        <f ca="1">N5/(N5+N12)</f>
        <v>#NAME?</v>
      </c>
      <c r="U5" s="178" t="e">
        <f ca="1"/>
        <v>#NAME?</v>
      </c>
      <c r="V5" s="7" t="e">
        <f ca="1"/>
        <v>#NAME?</v>
      </c>
      <c r="W5" s="40" t="e">
        <f ca="1"/>
        <v>#NAME?</v>
      </c>
      <c r="X5" s="7" t="e">
        <f ca="1"/>
        <v>#NAME?</v>
      </c>
      <c r="Y5" s="7" t="e">
        <f ca="1"/>
        <v>#NAME?</v>
      </c>
      <c r="Z5" s="7" t="e">
        <f ca="1"/>
        <v>#NAME?</v>
      </c>
      <c r="AA5" s="7" t="e">
        <f ca="1"/>
        <v>#NAME?</v>
      </c>
      <c r="AB5" s="7" t="e">
        <f ca="1"/>
        <v>#NAME?</v>
      </c>
      <c r="AC5" s="7" t="e">
        <f ca="1"/>
        <v>#NAME?</v>
      </c>
      <c r="AD5" s="7" t="e">
        <f ca="1"/>
        <v>#NAME?</v>
      </c>
      <c r="AE5" s="7" t="e">
        <f ca="1"/>
        <v>#NAME?</v>
      </c>
      <c r="AF5" s="7" t="e">
        <f ca="1"/>
        <v>#NAME?</v>
      </c>
      <c r="AG5" s="7" t="e">
        <f ca="1"/>
        <v>#NAME?</v>
      </c>
      <c r="AH5" s="7" t="e">
        <f ca="1"/>
        <v>#NAME?</v>
      </c>
      <c r="AI5" s="40" t="e">
        <f ca="1"/>
        <v>#NAME?</v>
      </c>
    </row>
    <row r="6" spans="1:35" x14ac:dyDescent="0.25">
      <c r="A6" s="7" t="s">
        <v>77</v>
      </c>
      <c r="B6" s="7" t="s">
        <v>303</v>
      </c>
      <c r="C6" s="7" t="s">
        <v>307</v>
      </c>
      <c r="D6" s="7">
        <v>32</v>
      </c>
      <c r="F6" s="178"/>
      <c r="G6" s="7" t="e">
        <f t="array" aca="1" ref="G6:G7" ca="1">SortUnique(B3:B98)</f>
        <v>#NAME?</v>
      </c>
      <c r="H6" s="40"/>
      <c r="I6" s="178">
        <f ca="1">SUMIF($G$22:$G$29,G6,$I$22:$I$29)</f>
        <v>0</v>
      </c>
      <c r="J6" s="7" t="str">
        <f ca="1">IF(I6=0,"",AVERAGEIF($B$3:$B$98,$G6,$D$3:$D$98))</f>
        <v/>
      </c>
      <c r="K6" s="40" t="str">
        <f t="array" aca="1" ref="K6" ca="1">IF(I6&lt;2,"",VAR(IF($B$3:$B$98=$G6,$D$3:$D$98,"")))</f>
        <v/>
      </c>
      <c r="M6" t="s">
        <v>78</v>
      </c>
      <c r="N6" t="e">
        <f ca="1"/>
        <v>#NAME?</v>
      </c>
      <c r="O6">
        <f ca="1">COUNT(J6:J7)-1</f>
        <v>-1</v>
      </c>
      <c r="P6" t="e">
        <f t="shared" ca="1" si="0"/>
        <v>#NAME?</v>
      </c>
      <c r="Q6" t="e">
        <f ca="1">P6/P12</f>
        <v>#NAME?</v>
      </c>
      <c r="R6" t="e">
        <f ca="1">FDIST(Q6,O6,O12)</f>
        <v>#NAME?</v>
      </c>
      <c r="S6" t="e">
        <f ca="1">N6/(N6+N12)</f>
        <v>#NAME?</v>
      </c>
      <c r="U6" s="178" t="e">
        <f ca="1"/>
        <v>#NAME?</v>
      </c>
      <c r="V6" s="7" t="e">
        <f ca="1"/>
        <v>#NAME?</v>
      </c>
      <c r="W6" s="40" t="e">
        <f ca="1"/>
        <v>#NAME?</v>
      </c>
      <c r="X6" s="7" t="e">
        <f ca="1"/>
        <v>#NAME?</v>
      </c>
      <c r="Y6" s="7" t="e">
        <f ca="1"/>
        <v>#NAME?</v>
      </c>
      <c r="Z6" s="7" t="e">
        <f ca="1"/>
        <v>#NAME?</v>
      </c>
      <c r="AA6" s="7" t="e">
        <f ca="1"/>
        <v>#NAME?</v>
      </c>
      <c r="AB6" s="7" t="e">
        <f ca="1"/>
        <v>#NAME?</v>
      </c>
      <c r="AC6" s="7" t="e">
        <f ca="1"/>
        <v>#NAME?</v>
      </c>
      <c r="AD6" s="7" t="e">
        <f ca="1"/>
        <v>#NAME?</v>
      </c>
      <c r="AE6" s="7" t="e">
        <f ca="1"/>
        <v>#NAME?</v>
      </c>
      <c r="AF6" s="7" t="e">
        <f ca="1"/>
        <v>#NAME?</v>
      </c>
      <c r="AG6" s="7" t="e">
        <f ca="1"/>
        <v>#NAME?</v>
      </c>
      <c r="AH6" s="7" t="e">
        <f ca="1"/>
        <v>#NAME?</v>
      </c>
      <c r="AI6" s="40" t="e">
        <f ca="1"/>
        <v>#NAME?</v>
      </c>
    </row>
    <row r="7" spans="1:35" x14ac:dyDescent="0.25">
      <c r="A7" s="7" t="s">
        <v>77</v>
      </c>
      <c r="B7" s="7" t="s">
        <v>303</v>
      </c>
      <c r="C7" s="7" t="s">
        <v>307</v>
      </c>
      <c r="D7" s="7">
        <v>13</v>
      </c>
      <c r="F7" s="178"/>
      <c r="G7" s="7" t="e">
        <f ca="1"/>
        <v>#NAME?</v>
      </c>
      <c r="H7" s="40"/>
      <c r="I7" s="178">
        <f ca="1">SUMIF($G$22:$G$29,G7,$I$22:$I$29)</f>
        <v>0</v>
      </c>
      <c r="J7" s="7" t="str">
        <f ca="1">IF(I7=0,"",AVERAGEIF($B$3:$B$98,$G7,$D$3:$D$98))</f>
        <v/>
      </c>
      <c r="K7" s="40" t="str">
        <f t="array" aca="1" ref="K7" ca="1">IF(I7&lt;2,"",VAR(IF($B$3:$B$98=$G7,$D$3:$D$98,"")))</f>
        <v/>
      </c>
      <c r="M7" t="s">
        <v>79</v>
      </c>
      <c r="N7" t="e">
        <f ca="1"/>
        <v>#NAME?</v>
      </c>
      <c r="O7">
        <f ca="1">COUNT(J8:J9)-1</f>
        <v>-1</v>
      </c>
      <c r="P7" t="e">
        <f t="shared" ca="1" si="0"/>
        <v>#NAME?</v>
      </c>
      <c r="Q7" t="e">
        <f ca="1">P7/P12</f>
        <v>#NAME?</v>
      </c>
      <c r="R7" t="e">
        <f ca="1">FDIST(Q7,O7,O12)</f>
        <v>#NAME?</v>
      </c>
      <c r="S7" s="540" t="e">
        <f ca="1">N7/(N7+N12)</f>
        <v>#NAME?</v>
      </c>
      <c r="U7" s="178" t="e">
        <f ca="1"/>
        <v>#NAME?</v>
      </c>
      <c r="V7" s="7" t="e">
        <f ca="1"/>
        <v>#NAME?</v>
      </c>
      <c r="W7" s="40" t="e">
        <f ca="1"/>
        <v>#NAME?</v>
      </c>
      <c r="X7" s="7" t="e">
        <f ca="1"/>
        <v>#NAME?</v>
      </c>
      <c r="Y7" s="7" t="e">
        <f ca="1"/>
        <v>#NAME?</v>
      </c>
      <c r="Z7" s="7" t="e">
        <f ca="1"/>
        <v>#NAME?</v>
      </c>
      <c r="AA7" s="7" t="e">
        <f ca="1"/>
        <v>#NAME?</v>
      </c>
      <c r="AB7" s="7" t="e">
        <f ca="1"/>
        <v>#NAME?</v>
      </c>
      <c r="AC7" s="7" t="e">
        <f ca="1"/>
        <v>#NAME?</v>
      </c>
      <c r="AD7" s="7" t="e">
        <f ca="1"/>
        <v>#NAME?</v>
      </c>
      <c r="AE7" s="7" t="e">
        <f ca="1"/>
        <v>#NAME?</v>
      </c>
      <c r="AF7" s="7" t="e">
        <f ca="1"/>
        <v>#NAME?</v>
      </c>
      <c r="AG7" s="7" t="e">
        <f ca="1"/>
        <v>#NAME?</v>
      </c>
      <c r="AH7" s="7" t="e">
        <f ca="1"/>
        <v>#NAME?</v>
      </c>
      <c r="AI7" s="40" t="e">
        <f ca="1"/>
        <v>#NAME?</v>
      </c>
    </row>
    <row r="8" spans="1:35" x14ac:dyDescent="0.25">
      <c r="A8" s="7" t="s">
        <v>77</v>
      </c>
      <c r="B8" s="7" t="s">
        <v>303</v>
      </c>
      <c r="C8" s="7" t="s">
        <v>307</v>
      </c>
      <c r="D8" s="7">
        <v>31</v>
      </c>
      <c r="F8" s="178"/>
      <c r="G8" s="7"/>
      <c r="H8" s="40" t="e">
        <f t="array" aca="1" ref="H8:H9" ca="1">SortUnique(C3:C98)</f>
        <v>#NAME?</v>
      </c>
      <c r="I8" s="178">
        <f ca="1">SUMIF($H$22:$H$29,H8,$I$22:$I$29)</f>
        <v>0</v>
      </c>
      <c r="J8" s="7" t="str">
        <f ca="1">IF(I8=0,"",AVERAGEIF($C$3:$C$98,$H8,$D$3:$D$98))</f>
        <v/>
      </c>
      <c r="K8" s="40" t="str">
        <f t="array" aca="1" ref="K8" ca="1">IF(I8&lt;2,"",VAR(IF($C$3:$C$98=$H8,$D$3:$D$98,"")))</f>
        <v/>
      </c>
      <c r="M8" t="s">
        <v>271</v>
      </c>
      <c r="N8" t="e">
        <f ca="1"/>
        <v>#NAME?</v>
      </c>
      <c r="O8">
        <f ca="1">O6*O5</f>
        <v>1</v>
      </c>
      <c r="P8" t="e">
        <f t="shared" ca="1" si="0"/>
        <v>#NAME?</v>
      </c>
      <c r="Q8" t="e">
        <f ca="1">P8/P12</f>
        <v>#NAME?</v>
      </c>
      <c r="R8" t="e">
        <f ca="1">FDIST(Q8,O8,O12)</f>
        <v>#NAME?</v>
      </c>
      <c r="S8" t="e">
        <f ca="1">N8/(N8+N12)</f>
        <v>#NAME?</v>
      </c>
      <c r="U8" s="178" t="e">
        <f ca="1"/>
        <v>#NAME?</v>
      </c>
      <c r="V8" s="7" t="e">
        <f ca="1"/>
        <v>#NAME?</v>
      </c>
      <c r="W8" s="40" t="e">
        <f ca="1"/>
        <v>#NAME?</v>
      </c>
      <c r="X8" s="7" t="e">
        <f ca="1"/>
        <v>#NAME?</v>
      </c>
      <c r="Y8" s="7" t="e">
        <f ca="1"/>
        <v>#NAME?</v>
      </c>
      <c r="Z8" s="7" t="e">
        <f ca="1"/>
        <v>#NAME?</v>
      </c>
      <c r="AA8" s="7" t="e">
        <f ca="1"/>
        <v>#NAME?</v>
      </c>
      <c r="AB8" s="7" t="e">
        <f ca="1"/>
        <v>#NAME?</v>
      </c>
      <c r="AC8" s="7" t="e">
        <f ca="1"/>
        <v>#NAME?</v>
      </c>
      <c r="AD8" s="7" t="e">
        <f ca="1"/>
        <v>#NAME?</v>
      </c>
      <c r="AE8" s="7" t="e">
        <f ca="1"/>
        <v>#NAME?</v>
      </c>
      <c r="AF8" s="7" t="e">
        <f ca="1"/>
        <v>#NAME?</v>
      </c>
      <c r="AG8" s="7" t="e">
        <f ca="1"/>
        <v>#NAME?</v>
      </c>
      <c r="AH8" s="7" t="e">
        <f ca="1"/>
        <v>#NAME?</v>
      </c>
      <c r="AI8" s="40" t="e">
        <f ca="1"/>
        <v>#NAME?</v>
      </c>
    </row>
    <row r="9" spans="1:35" x14ac:dyDescent="0.25">
      <c r="A9" s="7" t="s">
        <v>77</v>
      </c>
      <c r="B9" s="7" t="s">
        <v>303</v>
      </c>
      <c r="C9" s="7" t="s">
        <v>307</v>
      </c>
      <c r="D9" s="7">
        <v>26</v>
      </c>
      <c r="F9" s="221"/>
      <c r="G9" s="222"/>
      <c r="H9" s="223" t="e">
        <f ca="1"/>
        <v>#NAME?</v>
      </c>
      <c r="I9" s="221">
        <f ca="1">SUMIF($H$22:$H$29,H9,$I$22:$I$29)</f>
        <v>0</v>
      </c>
      <c r="J9" s="222" t="str">
        <f ca="1">IF(I9=0,"",AVERAGEIF($C$3:$C$98,$H9,$D$3:$D$98))</f>
        <v/>
      </c>
      <c r="K9" s="223" t="str">
        <f t="array" aca="1" ref="K9" ca="1">IF(I9&lt;2,"",VAR(IF($C$3:$C$98=$H9,$D$3:$D$98,"")))</f>
        <v/>
      </c>
      <c r="M9" t="s">
        <v>273</v>
      </c>
      <c r="N9" t="e">
        <f ca="1"/>
        <v>#NAME?</v>
      </c>
      <c r="O9">
        <f ca="1">O7*O5</f>
        <v>1</v>
      </c>
      <c r="P9" t="e">
        <f t="shared" ca="1" si="0"/>
        <v>#NAME?</v>
      </c>
      <c r="Q9" t="e">
        <f ca="1">P9/P12</f>
        <v>#NAME?</v>
      </c>
      <c r="R9" t="e">
        <f ca="1">FDIST(Q9,O8,O12)</f>
        <v>#NAME?</v>
      </c>
      <c r="S9" t="e">
        <f ca="1">N9/(N9+N12)</f>
        <v>#NAME?</v>
      </c>
      <c r="U9" s="178" t="e">
        <f ca="1"/>
        <v>#NAME?</v>
      </c>
      <c r="V9" s="7" t="e">
        <f ca="1"/>
        <v>#NAME?</v>
      </c>
      <c r="W9" s="40" t="e">
        <f ca="1"/>
        <v>#NAME?</v>
      </c>
      <c r="X9" s="7" t="e">
        <f ca="1"/>
        <v>#NAME?</v>
      </c>
      <c r="Y9" s="7" t="e">
        <f ca="1"/>
        <v>#NAME?</v>
      </c>
      <c r="Z9" s="7" t="e">
        <f ca="1"/>
        <v>#NAME?</v>
      </c>
      <c r="AA9" s="7" t="e">
        <f ca="1"/>
        <v>#NAME?</v>
      </c>
      <c r="AB9" s="7" t="e">
        <f ca="1"/>
        <v>#NAME?</v>
      </c>
      <c r="AC9" s="7" t="e">
        <f ca="1"/>
        <v>#NAME?</v>
      </c>
      <c r="AD9" s="7" t="e">
        <f ca="1"/>
        <v>#NAME?</v>
      </c>
      <c r="AE9" s="7" t="e">
        <f ca="1"/>
        <v>#NAME?</v>
      </c>
      <c r="AF9" s="7" t="e">
        <f ca="1"/>
        <v>#NAME?</v>
      </c>
      <c r="AG9" s="7" t="e">
        <f ca="1"/>
        <v>#NAME?</v>
      </c>
      <c r="AH9" s="7" t="e">
        <f ca="1"/>
        <v>#NAME?</v>
      </c>
      <c r="AI9" s="40" t="e">
        <f ca="1"/>
        <v>#NAME?</v>
      </c>
    </row>
    <row r="10" spans="1:35" x14ac:dyDescent="0.25">
      <c r="A10" s="7" t="s">
        <v>77</v>
      </c>
      <c r="B10" s="7" t="s">
        <v>303</v>
      </c>
      <c r="C10" s="7" t="s">
        <v>307</v>
      </c>
      <c r="D10" s="7">
        <v>34</v>
      </c>
      <c r="F10" s="380" t="e">
        <f ca="1">$F$4</f>
        <v>#NAME?</v>
      </c>
      <c r="G10" s="381" t="e">
        <f ca="1">$G6</f>
        <v>#NAME?</v>
      </c>
      <c r="H10" s="382"/>
      <c r="I10" s="380">
        <f ca="1">SUMIFS($I$22:$I$29,$F$22:$F$29,F10,$G$22:$G$29,G10)</f>
        <v>0</v>
      </c>
      <c r="J10" s="381" t="str">
        <f ca="1">IF(I10=0,"",AVERAGEIFS($D$3:$D$98,$A$3:$A$98,$F10,$B$3:$B$98,$G10))</f>
        <v/>
      </c>
      <c r="K10" s="382" t="str">
        <f t="array" aca="1" ref="K10" ca="1">IF(I10&lt;2,"",VAR(IF($A$3:$A$98=$F10,IF($B$3:$B$98=$G10,$D$3:$D$98,""))))</f>
        <v/>
      </c>
      <c r="M10" t="s">
        <v>275</v>
      </c>
      <c r="N10" t="e">
        <f ca="1"/>
        <v>#NAME?</v>
      </c>
      <c r="O10">
        <f ca="1">O7*O6</f>
        <v>1</v>
      </c>
      <c r="P10" t="e">
        <f t="shared" ca="1" si="0"/>
        <v>#NAME?</v>
      </c>
      <c r="Q10" t="e">
        <f ca="1">P10/P12</f>
        <v>#NAME?</v>
      </c>
      <c r="R10" t="e">
        <f ca="1">FDIST(Q10,O10,O12)</f>
        <v>#NAME?</v>
      </c>
      <c r="S10" t="e">
        <f ca="1">N10/(N10+N12)</f>
        <v>#NAME?</v>
      </c>
      <c r="U10" s="221" t="e">
        <f ca="1"/>
        <v>#NAME?</v>
      </c>
      <c r="V10" s="222" t="e">
        <f ca="1"/>
        <v>#NAME?</v>
      </c>
      <c r="W10" s="223" t="e">
        <f ca="1"/>
        <v>#NAME?</v>
      </c>
      <c r="X10" s="222" t="e">
        <f ca="1"/>
        <v>#NAME?</v>
      </c>
      <c r="Y10" s="222" t="e">
        <f ca="1"/>
        <v>#NAME?</v>
      </c>
      <c r="Z10" s="222" t="e">
        <f ca="1"/>
        <v>#NAME?</v>
      </c>
      <c r="AA10" s="222" t="e">
        <f ca="1"/>
        <v>#NAME?</v>
      </c>
      <c r="AB10" s="222" t="e">
        <f ca="1"/>
        <v>#NAME?</v>
      </c>
      <c r="AC10" s="222" t="e">
        <f ca="1"/>
        <v>#NAME?</v>
      </c>
      <c r="AD10" s="222" t="e">
        <f ca="1"/>
        <v>#NAME?</v>
      </c>
      <c r="AE10" s="222" t="e">
        <f ca="1"/>
        <v>#NAME?</v>
      </c>
      <c r="AF10" s="222" t="e">
        <f ca="1"/>
        <v>#NAME?</v>
      </c>
      <c r="AG10" s="222" t="e">
        <f ca="1"/>
        <v>#NAME?</v>
      </c>
      <c r="AH10" s="222" t="e">
        <f ca="1"/>
        <v>#NAME?</v>
      </c>
      <c r="AI10" s="223" t="e">
        <f ca="1"/>
        <v>#NAME?</v>
      </c>
    </row>
    <row r="11" spans="1:35" x14ac:dyDescent="0.25">
      <c r="A11" s="7" t="s">
        <v>77</v>
      </c>
      <c r="B11" s="7" t="s">
        <v>303</v>
      </c>
      <c r="C11" s="7" t="s">
        <v>307</v>
      </c>
      <c r="D11" s="7">
        <v>17</v>
      </c>
      <c r="F11" s="178" t="e">
        <f ca="1">$F$4</f>
        <v>#NAME?</v>
      </c>
      <c r="G11" s="7" t="e">
        <f ca="1">$G7</f>
        <v>#NAME?</v>
      </c>
      <c r="H11" s="40"/>
      <c r="I11" s="178">
        <f ca="1">SUMIFS($I$22:$I$29,$F$22:$F$29,F11,$G$22:$G$29,G11)</f>
        <v>0</v>
      </c>
      <c r="J11" s="7" t="str">
        <f ca="1">IF(I11=0,"",AVERAGEIFS($D$3:$D$98,$A$3:$A$98,$F11,$B$3:$B$98,$G11))</f>
        <v/>
      </c>
      <c r="K11" s="40" t="str">
        <f t="array" aca="1" ref="K11" ca="1">IF(I11&lt;2,"",VAR(IF($A$3:$A$98=$F11,IF($B$3:$B$98=$G11,$D$3:$D$98,""))))</f>
        <v/>
      </c>
      <c r="M11" t="s">
        <v>277</v>
      </c>
      <c r="N11" t="e">
        <f ca="1"/>
        <v>#NAME?</v>
      </c>
      <c r="O11">
        <f ca="1">O7*O6*O5</f>
        <v>-1</v>
      </c>
      <c r="P11" t="e">
        <f t="shared" ca="1" si="0"/>
        <v>#NAME?</v>
      </c>
      <c r="Q11" t="e">
        <f ca="1">P11/P12</f>
        <v>#NAME?</v>
      </c>
      <c r="R11" t="e">
        <f ca="1">FDIST(Q11,O11,O12)</f>
        <v>#NAME?</v>
      </c>
      <c r="S11" t="e">
        <f ca="1">N11/(N11+N12)</f>
        <v>#NAME?</v>
      </c>
    </row>
    <row r="12" spans="1:35" x14ac:dyDescent="0.25">
      <c r="A12" s="7" t="s">
        <v>77</v>
      </c>
      <c r="B12" s="7" t="s">
        <v>303</v>
      </c>
      <c r="C12" s="7" t="s">
        <v>307</v>
      </c>
      <c r="D12" s="7">
        <v>23</v>
      </c>
      <c r="F12" s="178" t="e">
        <f ca="1">$F$5</f>
        <v>#NAME?</v>
      </c>
      <c r="G12" s="7" t="e">
        <f ca="1">$G6</f>
        <v>#NAME?</v>
      </c>
      <c r="H12" s="40"/>
      <c r="I12" s="178">
        <f ca="1">SUMIFS($I$22:$I$29,$F$22:$F$29,F12,$G$22:$G$29,G12)</f>
        <v>0</v>
      </c>
      <c r="J12" s="7" t="str">
        <f ca="1">IF(I12=0,"",AVERAGEIFS($D$3:$D$98,$A$3:$A$98,$F12,$B$3:$B$98,$G12))</f>
        <v/>
      </c>
      <c r="K12" s="40" t="str">
        <f t="array" aca="1" ref="K12" ca="1">IF(I12&lt;2,"",VAR(IF($A$3:$A$98=$F12,IF($B$3:$B$98=$G12,$D$3:$D$98,""))))</f>
        <v/>
      </c>
      <c r="M12" t="s">
        <v>249</v>
      </c>
      <c r="N12" t="e">
        <f ca="1"/>
        <v>#NAME?</v>
      </c>
      <c r="O12">
        <f ca="1">I30-(O5+1)*(O6+1)*(O7+1)</f>
        <v>0</v>
      </c>
      <c r="P12" t="e">
        <f t="shared" ca="1" si="0"/>
        <v>#NAME?</v>
      </c>
    </row>
    <row r="13" spans="1:35" x14ac:dyDescent="0.25">
      <c r="A13" s="7" t="s">
        <v>77</v>
      </c>
      <c r="B13" s="7" t="s">
        <v>303</v>
      </c>
      <c r="C13" s="7" t="s">
        <v>307</v>
      </c>
      <c r="D13" s="7">
        <v>28</v>
      </c>
      <c r="F13" s="221" t="e">
        <f ca="1">$F$5</f>
        <v>#NAME?</v>
      </c>
      <c r="G13" s="222" t="e">
        <f ca="1">$G7</f>
        <v>#NAME?</v>
      </c>
      <c r="H13" s="223"/>
      <c r="I13" s="221">
        <f ca="1">SUMIFS($I$22:$I$29,$F$22:$F$29,F13,$G$22:$G$29,G13)</f>
        <v>0</v>
      </c>
      <c r="J13" s="222" t="str">
        <f ca="1">IF(I13=0,"",AVERAGEIFS($D$3:$D$98,$A$3:$A$98,$F13,$B$3:$B$98,$G13))</f>
        <v/>
      </c>
      <c r="K13" s="223" t="str">
        <f t="array" aca="1" ref="K13" ca="1">IF(I13&lt;2,"",VAR(IF($A$3:$A$98=$F13,IF($B$3:$B$98=$G13,$D$3:$D$98,""))))</f>
        <v/>
      </c>
      <c r="M13" s="224" t="s">
        <v>1</v>
      </c>
      <c r="N13" s="224">
        <f>DEVSQ(D3:D98)</f>
        <v>6867.65625</v>
      </c>
      <c r="O13" s="224">
        <f ca="1">I30-1</f>
        <v>-1</v>
      </c>
      <c r="P13" s="224">
        <f t="shared" ca="1" si="0"/>
        <v>-6867.65625</v>
      </c>
      <c r="Q13" s="224"/>
      <c r="R13" s="224"/>
      <c r="S13" s="224"/>
    </row>
    <row r="14" spans="1:35" x14ac:dyDescent="0.25">
      <c r="A14" s="7" t="s">
        <v>77</v>
      </c>
      <c r="B14" s="7" t="s">
        <v>303</v>
      </c>
      <c r="C14" s="7" t="s">
        <v>307</v>
      </c>
      <c r="D14" s="7">
        <v>26</v>
      </c>
      <c r="F14" s="380" t="e">
        <f ca="1">$F$4</f>
        <v>#NAME?</v>
      </c>
      <c r="G14" s="381"/>
      <c r="H14" s="382" t="e">
        <f ca="1">$H8</f>
        <v>#NAME?</v>
      </c>
      <c r="I14" s="380">
        <f ca="1">SUMIFS($I$22:$I$29,$F$22:$F$29,F14,$H$22:$H$29,H14)</f>
        <v>0</v>
      </c>
      <c r="J14" s="381" t="str">
        <f ca="1">IF(I14=0,"",AVERAGEIFS($D$3:$D$98,$A$3:$A$98,$F14,$C$3:$C$98,$H14))</f>
        <v/>
      </c>
      <c r="K14" s="382" t="str">
        <f t="array" aca="1" ref="K14" ca="1">IF(I14&lt;2,"",VAR(IF($A$3:$A$98=$F14,IF($C$3:$C$98=$H14,$D$3:$D$98,""))))</f>
        <v/>
      </c>
    </row>
    <row r="15" spans="1:35" x14ac:dyDescent="0.25">
      <c r="A15" s="7" t="s">
        <v>77</v>
      </c>
      <c r="B15" s="7" t="s">
        <v>303</v>
      </c>
      <c r="C15" s="7" t="s">
        <v>308</v>
      </c>
      <c r="D15" s="7">
        <v>24</v>
      </c>
      <c r="F15" s="178" t="e">
        <f ca="1">$F$4</f>
        <v>#NAME?</v>
      </c>
      <c r="G15" s="7"/>
      <c r="H15" s="40" t="e">
        <f ca="1">$H9</f>
        <v>#NAME?</v>
      </c>
      <c r="I15" s="178">
        <f ca="1">SUMIFS($I$22:$I$29,$F$22:$F$29,F15,$H$22:$H$29,H15)</f>
        <v>0</v>
      </c>
      <c r="J15" s="7" t="str">
        <f ca="1">IF(I15=0,"",AVERAGEIFS($D$3:$D$98,$A$3:$A$98,$F15,$C$3:$C$98,$H15))</f>
        <v/>
      </c>
      <c r="K15" s="40" t="str">
        <f t="array" aca="1" ref="K15" ca="1">IF(I15&lt;2,"",VAR(IF($A$3:$A$98=$F15,IF($C$3:$C$98=$H15,$D$3:$D$98,""))))</f>
        <v/>
      </c>
    </row>
    <row r="16" spans="1:35" x14ac:dyDescent="0.25">
      <c r="A16" s="7" t="s">
        <v>77</v>
      </c>
      <c r="B16" s="7" t="s">
        <v>303</v>
      </c>
      <c r="C16" s="7" t="s">
        <v>308</v>
      </c>
      <c r="D16" s="7">
        <v>25</v>
      </c>
      <c r="F16" s="178" t="e">
        <f ca="1">$F$5</f>
        <v>#NAME?</v>
      </c>
      <c r="G16" s="7"/>
      <c r="H16" s="40" t="e">
        <f ca="1">$H8</f>
        <v>#NAME?</v>
      </c>
      <c r="I16" s="178">
        <f ca="1">SUMIFS($I$22:$I$29,$F$22:$F$29,F16,$H$22:$H$29,H16)</f>
        <v>0</v>
      </c>
      <c r="J16" s="7" t="str">
        <f ca="1">IF(I16=0,"",AVERAGEIFS($D$3:$D$98,$A$3:$A$98,$F16,$C$3:$C$98,$H16))</f>
        <v/>
      </c>
      <c r="K16" s="40" t="str">
        <f t="array" aca="1" ref="K16" ca="1">IF(I16&lt;2,"",VAR(IF($A$3:$A$98=$F16,IF($C$3:$C$98=$H16,$D$3:$D$98,""))))</f>
        <v/>
      </c>
    </row>
    <row r="17" spans="1:11" x14ac:dyDescent="0.25">
      <c r="A17" s="7" t="s">
        <v>77</v>
      </c>
      <c r="B17" s="7" t="s">
        <v>303</v>
      </c>
      <c r="C17" s="7" t="s">
        <v>308</v>
      </c>
      <c r="D17" s="7">
        <v>14</v>
      </c>
      <c r="F17" s="221" t="e">
        <f ca="1">$F$5</f>
        <v>#NAME?</v>
      </c>
      <c r="G17" s="222"/>
      <c r="H17" s="223" t="e">
        <f ca="1">$H9</f>
        <v>#NAME?</v>
      </c>
      <c r="I17" s="221">
        <f ca="1">SUMIFS($I$22:$I$29,$F$22:$F$29,F17,$H$22:$H$29,H17)</f>
        <v>0</v>
      </c>
      <c r="J17" s="222" t="str">
        <f ca="1">IF(I17=0,"",AVERAGEIFS($D$3:$D$98,$A$3:$A$98,$F17,$C$3:$C$98,$H17))</f>
        <v/>
      </c>
      <c r="K17" s="223" t="str">
        <f t="array" aca="1" ref="K17" ca="1">IF(I17&lt;2,"",VAR(IF($A$3:$A$98=$F17,IF($C$3:$C$98=$H17,$D$3:$D$98,""))))</f>
        <v/>
      </c>
    </row>
    <row r="18" spans="1:11" x14ac:dyDescent="0.25">
      <c r="A18" s="7" t="s">
        <v>77</v>
      </c>
      <c r="B18" s="7" t="s">
        <v>303</v>
      </c>
      <c r="C18" s="7" t="s">
        <v>308</v>
      </c>
      <c r="D18" s="7">
        <v>17</v>
      </c>
      <c r="F18" s="380"/>
      <c r="G18" s="381" t="e">
        <f ca="1">$G$6</f>
        <v>#NAME?</v>
      </c>
      <c r="H18" s="382" t="e">
        <f ca="1">$H8</f>
        <v>#NAME?</v>
      </c>
      <c r="I18" s="380">
        <f ca="1">SUMIFS($I$22:$I$29,$G$22:$G$29,G18,$H$22:$H$29,H18)</f>
        <v>0</v>
      </c>
      <c r="J18" s="381" t="str">
        <f ca="1">IF(I18=0,"",AVERAGEIFS($D$3:$D$98,$B$3:$B$98,$G18,$C$3:$C$98,$H18))</f>
        <v/>
      </c>
      <c r="K18" s="382" t="str">
        <f t="array" aca="1" ref="K18" ca="1">IF(I18&lt;2,"",VAR(IF($B$3:$B$98=$G18,IF($C$3:$C$98=$H18,$D$3:$D$98,""))))</f>
        <v/>
      </c>
    </row>
    <row r="19" spans="1:11" x14ac:dyDescent="0.25">
      <c r="A19" s="7" t="s">
        <v>77</v>
      </c>
      <c r="B19" s="7" t="s">
        <v>303</v>
      </c>
      <c r="C19" s="7" t="s">
        <v>308</v>
      </c>
      <c r="D19" s="7">
        <v>30</v>
      </c>
      <c r="F19" s="178"/>
      <c r="G19" s="7" t="e">
        <f ca="1">$G$6</f>
        <v>#NAME?</v>
      </c>
      <c r="H19" s="40" t="e">
        <f ca="1">$H9</f>
        <v>#NAME?</v>
      </c>
      <c r="I19" s="178">
        <f ca="1">SUMIFS($I$22:$I$29,$G$22:$G$29,G19,$H$22:$H$29,H19)</f>
        <v>0</v>
      </c>
      <c r="J19" s="7" t="str">
        <f ca="1">IF(I19=0,"",AVERAGEIFS($D$3:$D$98,$B$3:$B$98,$G19,$C$3:$C$98,$H19))</f>
        <v/>
      </c>
      <c r="K19" s="40" t="str">
        <f t="array" aca="1" ref="K19" ca="1">IF(I19&lt;2,"",VAR(IF($B$3:$B$98=$G19,IF($C$3:$C$98=$H19,$D$3:$D$98,""))))</f>
        <v/>
      </c>
    </row>
    <row r="20" spans="1:11" x14ac:dyDescent="0.25">
      <c r="A20" s="7" t="s">
        <v>77</v>
      </c>
      <c r="B20" s="7" t="s">
        <v>303</v>
      </c>
      <c r="C20" s="7" t="s">
        <v>308</v>
      </c>
      <c r="D20" s="7">
        <v>18</v>
      </c>
      <c r="F20" s="178"/>
      <c r="G20" s="7" t="e">
        <f ca="1">$G$7</f>
        <v>#NAME?</v>
      </c>
      <c r="H20" s="40" t="e">
        <f ca="1">$H8</f>
        <v>#NAME?</v>
      </c>
      <c r="I20" s="178">
        <f ca="1">SUMIFS($I$22:$I$29,$G$22:$G$29,G20,$H$22:$H$29,H20)</f>
        <v>0</v>
      </c>
      <c r="J20" s="7" t="str">
        <f ca="1">IF(I20=0,"",AVERAGEIFS($D$3:$D$98,$B$3:$B$98,$G20,$C$3:$C$98,$H20))</f>
        <v/>
      </c>
      <c r="K20" s="40" t="str">
        <f t="array" aca="1" ref="K20" ca="1">IF(I20&lt;2,"",VAR(IF($B$3:$B$98=$G20,IF($C$3:$C$98=$H20,$D$3:$D$98,""))))</f>
        <v/>
      </c>
    </row>
    <row r="21" spans="1:11" x14ac:dyDescent="0.25">
      <c r="A21" s="7" t="s">
        <v>77</v>
      </c>
      <c r="B21" s="7" t="s">
        <v>303</v>
      </c>
      <c r="C21" s="7" t="s">
        <v>308</v>
      </c>
      <c r="D21" s="7">
        <v>11</v>
      </c>
      <c r="F21" s="221"/>
      <c r="G21" s="222" t="e">
        <f ca="1">$G$7</f>
        <v>#NAME?</v>
      </c>
      <c r="H21" s="223" t="e">
        <f ca="1">$H9</f>
        <v>#NAME?</v>
      </c>
      <c r="I21" s="221">
        <f ca="1">SUMIFS($I$22:$I$29,$G$22:$G$29,G21,$H$22:$H$29,H21)</f>
        <v>0</v>
      </c>
      <c r="J21" s="222" t="str">
        <f ca="1">IF(I21=0,"",AVERAGEIFS($D$3:$D$98,$B$3:$B$98,$G21,$C$3:$C$98,$H21))</f>
        <v/>
      </c>
      <c r="K21" s="223" t="str">
        <f t="array" aca="1" ref="K21" ca="1">IF(I21&lt;2,"",VAR(IF($B$3:$B$98=$G21,IF($C$3:$C$98=$H21,$D$3:$D$98,""))))</f>
        <v/>
      </c>
    </row>
    <row r="22" spans="1:11" x14ac:dyDescent="0.25">
      <c r="A22" s="7" t="s">
        <v>77</v>
      </c>
      <c r="B22" s="7" t="s">
        <v>303</v>
      </c>
      <c r="C22" s="7" t="s">
        <v>308</v>
      </c>
      <c r="D22" s="7">
        <v>16</v>
      </c>
      <c r="F22" s="380" t="e">
        <f ca="1">$F$4</f>
        <v>#NAME?</v>
      </c>
      <c r="G22" s="381" t="e">
        <f ca="1">G18</f>
        <v>#NAME?</v>
      </c>
      <c r="H22" s="382" t="e">
        <f ca="1">H18</f>
        <v>#NAME?</v>
      </c>
      <c r="I22" s="380">
        <f ca="1">COUNTIFS($A$3:$A$98,$F22,$B$3:$B$98,$G22,$C$3:$C$98,$H22)</f>
        <v>0</v>
      </c>
      <c r="J22" s="381" t="str">
        <f ca="1">IF(I22=0,"",AVERAGEIFS($D$3:$D$98,$A$3:$A$98,$F22,$B$3:$B$98,$G22,$C$3:$C$98,$H22))</f>
        <v/>
      </c>
      <c r="K22" s="382" t="str">
        <f t="array" aca="1" ref="K22" ca="1">IF(I22&lt;2,"",VAR(IF($A$3:$A$98=$F22,IF($B$3:$B$98=$G22,IF($C$3:$C$98=$H22,$D$3:$D$98,"")))))</f>
        <v/>
      </c>
    </row>
    <row r="23" spans="1:11" x14ac:dyDescent="0.25">
      <c r="A23" s="7" t="s">
        <v>77</v>
      </c>
      <c r="B23" s="7" t="s">
        <v>303</v>
      </c>
      <c r="C23" s="7" t="s">
        <v>308</v>
      </c>
      <c r="D23" s="7">
        <v>25</v>
      </c>
      <c r="F23" s="178" t="e">
        <f ca="1">$F$4</f>
        <v>#NAME?</v>
      </c>
      <c r="G23" s="7" t="e">
        <f t="shared" ref="G23:H29" ca="1" si="1">G19</f>
        <v>#NAME?</v>
      </c>
      <c r="H23" s="40" t="e">
        <f t="shared" ca="1" si="1"/>
        <v>#NAME?</v>
      </c>
      <c r="I23" s="178">
        <f t="shared" ref="I23:I29" ca="1" si="2">COUNTIFS($A$3:$A$98,$F23,$B$3:$B$98,$G23,$C$3:$C$98,$H23)</f>
        <v>0</v>
      </c>
      <c r="J23" s="7" t="str">
        <f t="shared" ref="J23:J29" ca="1" si="3">IF(I23=0,"",AVERAGEIFS($D$3:$D$98,$A$3:$A$98,$F23,$B$3:$B$98,$G23,$C$3:$C$98,$H23))</f>
        <v/>
      </c>
      <c r="K23" s="40" t="str">
        <f t="array" aca="1" ref="K23" ca="1">IF(I23&lt;2,"",VAR(IF($A$3:$A$98=$F23,IF($B$3:$B$98=$G23,IF($C$3:$C$98=$H23,$D$3:$D$98,"")))))</f>
        <v/>
      </c>
    </row>
    <row r="24" spans="1:11" x14ac:dyDescent="0.25">
      <c r="A24" s="7" t="s">
        <v>77</v>
      </c>
      <c r="B24" s="7" t="s">
        <v>303</v>
      </c>
      <c r="C24" s="7" t="s">
        <v>308</v>
      </c>
      <c r="D24" s="7">
        <v>18</v>
      </c>
      <c r="F24" s="178" t="e">
        <f ca="1">$F$4</f>
        <v>#NAME?</v>
      </c>
      <c r="G24" s="7" t="e">
        <f t="shared" ca="1" si="1"/>
        <v>#NAME?</v>
      </c>
      <c r="H24" s="40" t="e">
        <f t="shared" ca="1" si="1"/>
        <v>#NAME?</v>
      </c>
      <c r="I24" s="178">
        <f t="shared" ca="1" si="2"/>
        <v>0</v>
      </c>
      <c r="J24" s="7" t="str">
        <f t="shared" ca="1" si="3"/>
        <v/>
      </c>
      <c r="K24" s="40" t="str">
        <f t="array" aca="1" ref="K24" ca="1">IF(I24&lt;2,"",VAR(IF($A$3:$A$98=$F24,IF($B$3:$B$98=$G24,IF($C$3:$C$98=$H24,$D$3:$D$98,"")))))</f>
        <v/>
      </c>
    </row>
    <row r="25" spans="1:11" x14ac:dyDescent="0.25">
      <c r="A25" s="7" t="s">
        <v>77</v>
      </c>
      <c r="B25" s="7" t="s">
        <v>303</v>
      </c>
      <c r="C25" s="7" t="s">
        <v>308</v>
      </c>
      <c r="D25" s="7">
        <v>14</v>
      </c>
      <c r="F25" s="178" t="e">
        <f ca="1">$F$4</f>
        <v>#NAME?</v>
      </c>
      <c r="G25" s="7" t="e">
        <f t="shared" ca="1" si="1"/>
        <v>#NAME?</v>
      </c>
      <c r="H25" s="40" t="e">
        <f t="shared" ca="1" si="1"/>
        <v>#NAME?</v>
      </c>
      <c r="I25" s="178">
        <f t="shared" ca="1" si="2"/>
        <v>0</v>
      </c>
      <c r="J25" s="7" t="str">
        <f t="shared" ca="1" si="3"/>
        <v/>
      </c>
      <c r="K25" s="40" t="str">
        <f t="array" aca="1" ref="K25" ca="1">IF(I25&lt;2,"",VAR(IF($A$3:$A$98=$F25,IF($B$3:$B$98=$G25,IF($C$3:$C$98=$H25,$D$3:$D$98,"")))))</f>
        <v/>
      </c>
    </row>
    <row r="26" spans="1:11" x14ac:dyDescent="0.25">
      <c r="A26" s="7" t="s">
        <v>77</v>
      </c>
      <c r="B26" s="7" t="s">
        <v>303</v>
      </c>
      <c r="C26" s="7" t="s">
        <v>308</v>
      </c>
      <c r="D26" s="7">
        <v>25</v>
      </c>
      <c r="F26" s="178" t="e">
        <f ca="1">$F$5</f>
        <v>#NAME?</v>
      </c>
      <c r="G26" s="7" t="e">
        <f t="shared" ca="1" si="1"/>
        <v>#NAME?</v>
      </c>
      <c r="H26" s="40" t="e">
        <f t="shared" ca="1" si="1"/>
        <v>#NAME?</v>
      </c>
      <c r="I26" s="178">
        <f t="shared" ca="1" si="2"/>
        <v>0</v>
      </c>
      <c r="J26" s="7" t="str">
        <f t="shared" ca="1" si="3"/>
        <v/>
      </c>
      <c r="K26" s="40" t="str">
        <f t="array" aca="1" ref="K26" ca="1">IF(I26&lt;2,"",VAR(IF($A$3:$A$98=$F26,IF($B$3:$B$98=$G26,IF($C$3:$C$98=$H26,$D$3:$D$98,"")))))</f>
        <v/>
      </c>
    </row>
    <row r="27" spans="1:11" x14ac:dyDescent="0.25">
      <c r="A27" s="7" t="s">
        <v>77</v>
      </c>
      <c r="B27" s="7" t="s">
        <v>304</v>
      </c>
      <c r="C27" s="7" t="s">
        <v>307</v>
      </c>
      <c r="D27" s="7">
        <v>16</v>
      </c>
      <c r="F27" s="178" t="e">
        <f ca="1">$F$5</f>
        <v>#NAME?</v>
      </c>
      <c r="G27" s="7" t="e">
        <f t="shared" ca="1" si="1"/>
        <v>#NAME?</v>
      </c>
      <c r="H27" s="40" t="e">
        <f t="shared" ca="1" si="1"/>
        <v>#NAME?</v>
      </c>
      <c r="I27" s="178">
        <f t="shared" ca="1" si="2"/>
        <v>0</v>
      </c>
      <c r="J27" s="7" t="str">
        <f t="shared" ca="1" si="3"/>
        <v/>
      </c>
      <c r="K27" s="40" t="str">
        <f t="array" aca="1" ref="K27" ca="1">IF(I27&lt;2,"",VAR(IF($A$3:$A$98=$F27,IF($B$3:$B$98=$G27,IF($C$3:$C$98=$H27,$D$3:$D$98,"")))))</f>
        <v/>
      </c>
    </row>
    <row r="28" spans="1:11" x14ac:dyDescent="0.25">
      <c r="A28" s="7" t="s">
        <v>77</v>
      </c>
      <c r="B28" s="7" t="s">
        <v>304</v>
      </c>
      <c r="C28" s="7" t="s">
        <v>307</v>
      </c>
      <c r="D28" s="7">
        <v>31</v>
      </c>
      <c r="F28" s="178" t="e">
        <f ca="1">$F$5</f>
        <v>#NAME?</v>
      </c>
      <c r="G28" s="7" t="e">
        <f t="shared" ca="1" si="1"/>
        <v>#NAME?</v>
      </c>
      <c r="H28" s="40" t="e">
        <f t="shared" ca="1" si="1"/>
        <v>#NAME?</v>
      </c>
      <c r="I28" s="178">
        <f t="shared" ca="1" si="2"/>
        <v>0</v>
      </c>
      <c r="J28" s="7" t="str">
        <f t="shared" ca="1" si="3"/>
        <v/>
      </c>
      <c r="K28" s="40" t="str">
        <f t="array" aca="1" ref="K28" ca="1">IF(I28&lt;2,"",VAR(IF($A$3:$A$98=$F28,IF($B$3:$B$98=$G28,IF($C$3:$C$98=$H28,$D$3:$D$98,"")))))</f>
        <v/>
      </c>
    </row>
    <row r="29" spans="1:11" x14ac:dyDescent="0.25">
      <c r="A29" s="7" t="s">
        <v>77</v>
      </c>
      <c r="B29" s="7" t="s">
        <v>304</v>
      </c>
      <c r="C29" s="7" t="s">
        <v>307</v>
      </c>
      <c r="D29" s="7">
        <v>17</v>
      </c>
      <c r="F29" s="221" t="e">
        <f ca="1">$F$5</f>
        <v>#NAME?</v>
      </c>
      <c r="G29" s="222" t="e">
        <f t="shared" ca="1" si="1"/>
        <v>#NAME?</v>
      </c>
      <c r="H29" s="223" t="e">
        <f t="shared" ca="1" si="1"/>
        <v>#NAME?</v>
      </c>
      <c r="I29" s="221">
        <f t="shared" ca="1" si="2"/>
        <v>0</v>
      </c>
      <c r="J29" s="222" t="str">
        <f t="shared" ca="1" si="3"/>
        <v/>
      </c>
      <c r="K29" s="223" t="str">
        <f t="array" aca="1" ref="K29" ca="1">IF(I29&lt;2,"",VAR(IF($A$3:$A$98=$F29,IF($B$3:$B$98=$G29,IF($C$3:$C$98=$H29,$D$3:$D$98,"")))))</f>
        <v/>
      </c>
    </row>
    <row r="30" spans="1:11" x14ac:dyDescent="0.25">
      <c r="A30" s="7" t="s">
        <v>77</v>
      </c>
      <c r="B30" s="7" t="s">
        <v>304</v>
      </c>
      <c r="C30" s="7" t="s">
        <v>307</v>
      </c>
      <c r="D30" s="7">
        <v>11</v>
      </c>
      <c r="I30">
        <f ca="1">SUM(I22:I29)</f>
        <v>0</v>
      </c>
      <c r="J30">
        <f>AVERAGE(D3:D98)</f>
        <v>24.65625</v>
      </c>
      <c r="K30">
        <f>VAR(D3:D98)</f>
        <v>72.29111842105263</v>
      </c>
    </row>
    <row r="31" spans="1:11" x14ac:dyDescent="0.25">
      <c r="A31" s="7" t="s">
        <v>77</v>
      </c>
      <c r="B31" s="7" t="s">
        <v>304</v>
      </c>
      <c r="C31" s="7" t="s">
        <v>307</v>
      </c>
      <c r="D31" s="7">
        <v>34</v>
      </c>
    </row>
    <row r="32" spans="1:11" x14ac:dyDescent="0.25">
      <c r="A32" s="7" t="s">
        <v>77</v>
      </c>
      <c r="B32" s="7" t="s">
        <v>304</v>
      </c>
      <c r="C32" s="7" t="s">
        <v>307</v>
      </c>
      <c r="D32" s="7">
        <v>24</v>
      </c>
    </row>
    <row r="33" spans="1:4" x14ac:dyDescent="0.25">
      <c r="A33" s="7" t="s">
        <v>77</v>
      </c>
      <c r="B33" s="7" t="s">
        <v>304</v>
      </c>
      <c r="C33" s="7" t="s">
        <v>307</v>
      </c>
      <c r="D33" s="7">
        <v>24</v>
      </c>
    </row>
    <row r="34" spans="1:4" x14ac:dyDescent="0.25">
      <c r="A34" s="7" t="s">
        <v>77</v>
      </c>
      <c r="B34" s="7" t="s">
        <v>304</v>
      </c>
      <c r="C34" s="7" t="s">
        <v>307</v>
      </c>
      <c r="D34" s="7">
        <v>19</v>
      </c>
    </row>
    <row r="35" spans="1:4" x14ac:dyDescent="0.25">
      <c r="A35" s="7" t="s">
        <v>77</v>
      </c>
      <c r="B35" s="7" t="s">
        <v>304</v>
      </c>
      <c r="C35" s="7" t="s">
        <v>307</v>
      </c>
      <c r="D35" s="7">
        <v>31</v>
      </c>
    </row>
    <row r="36" spans="1:4" x14ac:dyDescent="0.25">
      <c r="A36" s="7" t="s">
        <v>77</v>
      </c>
      <c r="B36" s="7" t="s">
        <v>304</v>
      </c>
      <c r="C36" s="7" t="s">
        <v>307</v>
      </c>
      <c r="D36" s="7">
        <v>16</v>
      </c>
    </row>
    <row r="37" spans="1:4" x14ac:dyDescent="0.25">
      <c r="A37" s="7" t="s">
        <v>77</v>
      </c>
      <c r="B37" s="7" t="s">
        <v>304</v>
      </c>
      <c r="C37" s="7" t="s">
        <v>307</v>
      </c>
      <c r="D37" s="7">
        <v>11</v>
      </c>
    </row>
    <row r="38" spans="1:4" x14ac:dyDescent="0.25">
      <c r="A38" s="7" t="s">
        <v>77</v>
      </c>
      <c r="B38" s="7" t="s">
        <v>304</v>
      </c>
      <c r="C38" s="7" t="s">
        <v>307</v>
      </c>
      <c r="D38" s="7">
        <v>19</v>
      </c>
    </row>
    <row r="39" spans="1:4" x14ac:dyDescent="0.25">
      <c r="A39" s="7" t="s">
        <v>77</v>
      </c>
      <c r="B39" s="7" t="s">
        <v>304</v>
      </c>
      <c r="C39" s="7" t="s">
        <v>308</v>
      </c>
      <c r="D39" s="7">
        <v>31</v>
      </c>
    </row>
    <row r="40" spans="1:4" x14ac:dyDescent="0.25">
      <c r="A40" s="7" t="s">
        <v>77</v>
      </c>
      <c r="B40" s="7" t="s">
        <v>304</v>
      </c>
      <c r="C40" s="7" t="s">
        <v>308</v>
      </c>
      <c r="D40" s="7">
        <v>29</v>
      </c>
    </row>
    <row r="41" spans="1:4" x14ac:dyDescent="0.25">
      <c r="A41" s="7" t="s">
        <v>77</v>
      </c>
      <c r="B41" s="7" t="s">
        <v>304</v>
      </c>
      <c r="C41" s="7" t="s">
        <v>308</v>
      </c>
      <c r="D41" s="7">
        <v>40</v>
      </c>
    </row>
    <row r="42" spans="1:4" x14ac:dyDescent="0.25">
      <c r="A42" s="7" t="s">
        <v>77</v>
      </c>
      <c r="B42" s="7" t="s">
        <v>304</v>
      </c>
      <c r="C42" s="7" t="s">
        <v>308</v>
      </c>
      <c r="D42" s="7">
        <v>31</v>
      </c>
    </row>
    <row r="43" spans="1:4" x14ac:dyDescent="0.25">
      <c r="A43" s="7" t="s">
        <v>77</v>
      </c>
      <c r="B43" s="7" t="s">
        <v>304</v>
      </c>
      <c r="C43" s="7" t="s">
        <v>308</v>
      </c>
      <c r="D43" s="7">
        <v>35</v>
      </c>
    </row>
    <row r="44" spans="1:4" x14ac:dyDescent="0.25">
      <c r="A44" s="7" t="s">
        <v>77</v>
      </c>
      <c r="B44" s="7" t="s">
        <v>304</v>
      </c>
      <c r="C44" s="7" t="s">
        <v>308</v>
      </c>
      <c r="D44" s="7">
        <v>25</v>
      </c>
    </row>
    <row r="45" spans="1:4" x14ac:dyDescent="0.25">
      <c r="A45" s="7" t="s">
        <v>77</v>
      </c>
      <c r="B45" s="7" t="s">
        <v>304</v>
      </c>
      <c r="C45" s="7" t="s">
        <v>308</v>
      </c>
      <c r="D45" s="7">
        <v>18</v>
      </c>
    </row>
    <row r="46" spans="1:4" x14ac:dyDescent="0.25">
      <c r="A46" s="7" t="s">
        <v>77</v>
      </c>
      <c r="B46" s="7" t="s">
        <v>304</v>
      </c>
      <c r="C46" s="7" t="s">
        <v>308</v>
      </c>
      <c r="D46" s="7">
        <v>29</v>
      </c>
    </row>
    <row r="47" spans="1:4" x14ac:dyDescent="0.25">
      <c r="A47" s="7" t="s">
        <v>77</v>
      </c>
      <c r="B47" s="7" t="s">
        <v>304</v>
      </c>
      <c r="C47" s="7" t="s">
        <v>308</v>
      </c>
      <c r="D47" s="7">
        <v>36</v>
      </c>
    </row>
    <row r="48" spans="1:4" x14ac:dyDescent="0.25">
      <c r="A48" s="7" t="s">
        <v>77</v>
      </c>
      <c r="B48" s="7" t="s">
        <v>304</v>
      </c>
      <c r="C48" s="7" t="s">
        <v>308</v>
      </c>
      <c r="D48" s="7">
        <v>42</v>
      </c>
    </row>
    <row r="49" spans="1:4" x14ac:dyDescent="0.25">
      <c r="A49" s="7" t="s">
        <v>77</v>
      </c>
      <c r="B49" s="7" t="s">
        <v>304</v>
      </c>
      <c r="C49" s="7" t="s">
        <v>308</v>
      </c>
      <c r="D49" s="7">
        <v>40</v>
      </c>
    </row>
    <row r="50" spans="1:4" x14ac:dyDescent="0.25">
      <c r="A50" s="7" t="s">
        <v>77</v>
      </c>
      <c r="B50" s="7" t="s">
        <v>304</v>
      </c>
      <c r="C50" s="7" t="s">
        <v>308</v>
      </c>
      <c r="D50" s="7">
        <v>36</v>
      </c>
    </row>
    <row r="51" spans="1:4" x14ac:dyDescent="0.25">
      <c r="A51" s="7" t="s">
        <v>72</v>
      </c>
      <c r="B51" s="7" t="s">
        <v>303</v>
      </c>
      <c r="C51" s="7" t="s">
        <v>307</v>
      </c>
      <c r="D51" s="7">
        <v>19</v>
      </c>
    </row>
    <row r="52" spans="1:4" x14ac:dyDescent="0.25">
      <c r="A52" s="7" t="s">
        <v>72</v>
      </c>
      <c r="B52" s="7" t="s">
        <v>303</v>
      </c>
      <c r="C52" s="7" t="s">
        <v>307</v>
      </c>
      <c r="D52" s="7">
        <v>28</v>
      </c>
    </row>
    <row r="53" spans="1:4" x14ac:dyDescent="0.25">
      <c r="A53" s="7" t="s">
        <v>72</v>
      </c>
      <c r="B53" s="7" t="s">
        <v>303</v>
      </c>
      <c r="C53" s="7" t="s">
        <v>307</v>
      </c>
      <c r="D53" s="7">
        <v>31</v>
      </c>
    </row>
    <row r="54" spans="1:4" x14ac:dyDescent="0.25">
      <c r="A54" s="7" t="s">
        <v>72</v>
      </c>
      <c r="B54" s="7" t="s">
        <v>303</v>
      </c>
      <c r="C54" s="7" t="s">
        <v>307</v>
      </c>
      <c r="D54" s="7">
        <v>23</v>
      </c>
    </row>
    <row r="55" spans="1:4" x14ac:dyDescent="0.25">
      <c r="A55" s="7" t="s">
        <v>72</v>
      </c>
      <c r="B55" s="7" t="s">
        <v>303</v>
      </c>
      <c r="C55" s="7" t="s">
        <v>307</v>
      </c>
      <c r="D55" s="7">
        <v>19</v>
      </c>
    </row>
    <row r="56" spans="1:4" x14ac:dyDescent="0.25">
      <c r="A56" s="7" t="s">
        <v>72</v>
      </c>
      <c r="B56" s="7" t="s">
        <v>303</v>
      </c>
      <c r="C56" s="7" t="s">
        <v>307</v>
      </c>
      <c r="D56" s="7">
        <v>14</v>
      </c>
    </row>
    <row r="57" spans="1:4" x14ac:dyDescent="0.25">
      <c r="A57" s="7" t="s">
        <v>72</v>
      </c>
      <c r="B57" s="7" t="s">
        <v>303</v>
      </c>
      <c r="C57" s="7" t="s">
        <v>307</v>
      </c>
      <c r="D57" s="7">
        <v>4</v>
      </c>
    </row>
    <row r="58" spans="1:4" x14ac:dyDescent="0.25">
      <c r="A58" s="7" t="s">
        <v>72</v>
      </c>
      <c r="B58" s="7" t="s">
        <v>303</v>
      </c>
      <c r="C58" s="7" t="s">
        <v>307</v>
      </c>
      <c r="D58" s="7">
        <v>29</v>
      </c>
    </row>
    <row r="59" spans="1:4" x14ac:dyDescent="0.25">
      <c r="A59" s="7" t="s">
        <v>72</v>
      </c>
      <c r="B59" s="7" t="s">
        <v>303</v>
      </c>
      <c r="C59" s="7" t="s">
        <v>307</v>
      </c>
      <c r="D59" s="7">
        <v>18</v>
      </c>
    </row>
    <row r="60" spans="1:4" x14ac:dyDescent="0.25">
      <c r="A60" s="7" t="s">
        <v>72</v>
      </c>
      <c r="B60" s="7" t="s">
        <v>303</v>
      </c>
      <c r="C60" s="7" t="s">
        <v>307</v>
      </c>
      <c r="D60" s="7">
        <v>22</v>
      </c>
    </row>
    <row r="61" spans="1:4" x14ac:dyDescent="0.25">
      <c r="A61" s="7" t="s">
        <v>72</v>
      </c>
      <c r="B61" s="7" t="s">
        <v>303</v>
      </c>
      <c r="C61" s="7" t="s">
        <v>307</v>
      </c>
      <c r="D61" s="7">
        <v>18</v>
      </c>
    </row>
    <row r="62" spans="1:4" x14ac:dyDescent="0.25">
      <c r="A62" s="7" t="s">
        <v>72</v>
      </c>
      <c r="B62" s="7" t="s">
        <v>303</v>
      </c>
      <c r="C62" s="7" t="s">
        <v>307</v>
      </c>
      <c r="D62" s="7">
        <v>24</v>
      </c>
    </row>
    <row r="63" spans="1:4" x14ac:dyDescent="0.25">
      <c r="A63" s="7" t="s">
        <v>72</v>
      </c>
      <c r="B63" s="7" t="s">
        <v>303</v>
      </c>
      <c r="C63" s="7" t="s">
        <v>308</v>
      </c>
      <c r="D63" s="7">
        <v>29</v>
      </c>
    </row>
    <row r="64" spans="1:4" x14ac:dyDescent="0.25">
      <c r="A64" s="7" t="s">
        <v>72</v>
      </c>
      <c r="B64" s="7" t="s">
        <v>303</v>
      </c>
      <c r="C64" s="7" t="s">
        <v>308</v>
      </c>
      <c r="D64" s="7">
        <v>25</v>
      </c>
    </row>
    <row r="65" spans="1:4" x14ac:dyDescent="0.25">
      <c r="A65" s="7" t="s">
        <v>72</v>
      </c>
      <c r="B65" s="7" t="s">
        <v>303</v>
      </c>
      <c r="C65" s="7" t="s">
        <v>308</v>
      </c>
      <c r="D65" s="7">
        <v>17</v>
      </c>
    </row>
    <row r="66" spans="1:4" x14ac:dyDescent="0.25">
      <c r="A66" s="7" t="s">
        <v>72</v>
      </c>
      <c r="B66" s="7" t="s">
        <v>303</v>
      </c>
      <c r="C66" s="7" t="s">
        <v>308</v>
      </c>
      <c r="D66" s="7">
        <v>12</v>
      </c>
    </row>
    <row r="67" spans="1:4" x14ac:dyDescent="0.25">
      <c r="A67" s="7" t="s">
        <v>72</v>
      </c>
      <c r="B67" s="7" t="s">
        <v>303</v>
      </c>
      <c r="C67" s="7" t="s">
        <v>308</v>
      </c>
      <c r="D67" s="7">
        <v>26</v>
      </c>
    </row>
    <row r="68" spans="1:4" x14ac:dyDescent="0.25">
      <c r="A68" s="7" t="s">
        <v>72</v>
      </c>
      <c r="B68" s="7" t="s">
        <v>303</v>
      </c>
      <c r="C68" s="7" t="s">
        <v>308</v>
      </c>
      <c r="D68" s="7">
        <v>35</v>
      </c>
    </row>
    <row r="69" spans="1:4" x14ac:dyDescent="0.25">
      <c r="A69" s="7" t="s">
        <v>72</v>
      </c>
      <c r="B69" s="7" t="s">
        <v>303</v>
      </c>
      <c r="C69" s="7" t="s">
        <v>308</v>
      </c>
      <c r="D69" s="7">
        <v>10</v>
      </c>
    </row>
    <row r="70" spans="1:4" x14ac:dyDescent="0.25">
      <c r="A70" s="7" t="s">
        <v>72</v>
      </c>
      <c r="B70" s="7" t="s">
        <v>303</v>
      </c>
      <c r="C70" s="7" t="s">
        <v>308</v>
      </c>
      <c r="D70" s="7">
        <v>23</v>
      </c>
    </row>
    <row r="71" spans="1:4" x14ac:dyDescent="0.25">
      <c r="A71" s="7" t="s">
        <v>72</v>
      </c>
      <c r="B71" s="7" t="s">
        <v>303</v>
      </c>
      <c r="C71" s="7" t="s">
        <v>308</v>
      </c>
      <c r="D71" s="7">
        <v>26</v>
      </c>
    </row>
    <row r="72" spans="1:4" x14ac:dyDescent="0.25">
      <c r="A72" s="7" t="s">
        <v>72</v>
      </c>
      <c r="B72" s="7" t="s">
        <v>303</v>
      </c>
      <c r="C72" s="7" t="s">
        <v>308</v>
      </c>
      <c r="D72" s="7">
        <v>18</v>
      </c>
    </row>
    <row r="73" spans="1:4" x14ac:dyDescent="0.25">
      <c r="A73" s="7" t="s">
        <v>72</v>
      </c>
      <c r="B73" s="7" t="s">
        <v>303</v>
      </c>
      <c r="C73" s="7" t="s">
        <v>308</v>
      </c>
      <c r="D73" s="7">
        <v>24</v>
      </c>
    </row>
    <row r="74" spans="1:4" x14ac:dyDescent="0.25">
      <c r="A74" s="7" t="s">
        <v>72</v>
      </c>
      <c r="B74" s="7" t="s">
        <v>303</v>
      </c>
      <c r="C74" s="7" t="s">
        <v>308</v>
      </c>
      <c r="D74" s="7">
        <v>16</v>
      </c>
    </row>
    <row r="75" spans="1:4" x14ac:dyDescent="0.25">
      <c r="A75" s="7" t="s">
        <v>72</v>
      </c>
      <c r="B75" s="7" t="s">
        <v>304</v>
      </c>
      <c r="C75" s="7" t="s">
        <v>307</v>
      </c>
      <c r="D75" s="7">
        <v>28</v>
      </c>
    </row>
    <row r="76" spans="1:4" x14ac:dyDescent="0.25">
      <c r="A76" s="7" t="s">
        <v>72</v>
      </c>
      <c r="B76" s="7" t="s">
        <v>304</v>
      </c>
      <c r="C76" s="7" t="s">
        <v>307</v>
      </c>
      <c r="D76" s="7">
        <v>37</v>
      </c>
    </row>
    <row r="77" spans="1:4" x14ac:dyDescent="0.25">
      <c r="A77" s="7" t="s">
        <v>72</v>
      </c>
      <c r="B77" s="7" t="s">
        <v>304</v>
      </c>
      <c r="C77" s="7" t="s">
        <v>307</v>
      </c>
      <c r="D77" s="7">
        <v>22</v>
      </c>
    </row>
    <row r="78" spans="1:4" x14ac:dyDescent="0.25">
      <c r="A78" s="7" t="s">
        <v>72</v>
      </c>
      <c r="B78" s="7" t="s">
        <v>304</v>
      </c>
      <c r="C78" s="7" t="s">
        <v>307</v>
      </c>
      <c r="D78" s="7">
        <v>44</v>
      </c>
    </row>
    <row r="79" spans="1:4" x14ac:dyDescent="0.25">
      <c r="A79" s="7" t="s">
        <v>72</v>
      </c>
      <c r="B79" s="7" t="s">
        <v>304</v>
      </c>
      <c r="C79" s="7" t="s">
        <v>307</v>
      </c>
      <c r="D79" s="7">
        <v>37</v>
      </c>
    </row>
    <row r="80" spans="1:4" x14ac:dyDescent="0.25">
      <c r="A80" s="7" t="s">
        <v>72</v>
      </c>
      <c r="B80" s="7" t="s">
        <v>304</v>
      </c>
      <c r="C80" s="7" t="s">
        <v>307</v>
      </c>
      <c r="D80" s="7">
        <v>42</v>
      </c>
    </row>
    <row r="81" spans="1:4" x14ac:dyDescent="0.25">
      <c r="A81" s="7" t="s">
        <v>72</v>
      </c>
      <c r="B81" s="7" t="s">
        <v>304</v>
      </c>
      <c r="C81" s="7" t="s">
        <v>307</v>
      </c>
      <c r="D81" s="7">
        <v>30</v>
      </c>
    </row>
    <row r="82" spans="1:4" x14ac:dyDescent="0.25">
      <c r="A82" s="7" t="s">
        <v>72</v>
      </c>
      <c r="B82" s="7" t="s">
        <v>304</v>
      </c>
      <c r="C82" s="7" t="s">
        <v>307</v>
      </c>
      <c r="D82" s="7">
        <v>37</v>
      </c>
    </row>
    <row r="83" spans="1:4" x14ac:dyDescent="0.25">
      <c r="A83" s="7" t="s">
        <v>72</v>
      </c>
      <c r="B83" s="7" t="s">
        <v>304</v>
      </c>
      <c r="C83" s="7" t="s">
        <v>307</v>
      </c>
      <c r="D83" s="7">
        <v>25</v>
      </c>
    </row>
    <row r="84" spans="1:4" x14ac:dyDescent="0.25">
      <c r="A84" s="7" t="s">
        <v>72</v>
      </c>
      <c r="B84" s="7" t="s">
        <v>304</v>
      </c>
      <c r="C84" s="7" t="s">
        <v>307</v>
      </c>
      <c r="D84" s="7">
        <v>38</v>
      </c>
    </row>
    <row r="85" spans="1:4" x14ac:dyDescent="0.25">
      <c r="A85" s="7" t="s">
        <v>72</v>
      </c>
      <c r="B85" s="7" t="s">
        <v>304</v>
      </c>
      <c r="C85" s="7" t="s">
        <v>307</v>
      </c>
      <c r="D85" s="7">
        <v>41</v>
      </c>
    </row>
    <row r="86" spans="1:4" x14ac:dyDescent="0.25">
      <c r="A86" s="7" t="s">
        <v>72</v>
      </c>
      <c r="B86" s="7" t="s">
        <v>304</v>
      </c>
      <c r="C86" s="7" t="s">
        <v>307</v>
      </c>
      <c r="D86" s="7">
        <v>28</v>
      </c>
    </row>
    <row r="87" spans="1:4" x14ac:dyDescent="0.25">
      <c r="A87" s="7" t="s">
        <v>72</v>
      </c>
      <c r="B87" s="7" t="s">
        <v>304</v>
      </c>
      <c r="C87" s="7" t="s">
        <v>308</v>
      </c>
      <c r="D87" s="7">
        <v>35</v>
      </c>
    </row>
    <row r="88" spans="1:4" x14ac:dyDescent="0.25">
      <c r="A88" s="7" t="s">
        <v>72</v>
      </c>
      <c r="B88" s="7" t="s">
        <v>304</v>
      </c>
      <c r="C88" s="7" t="s">
        <v>308</v>
      </c>
      <c r="D88" s="7">
        <v>23</v>
      </c>
    </row>
    <row r="89" spans="1:4" x14ac:dyDescent="0.25">
      <c r="A89" s="7" t="s">
        <v>72</v>
      </c>
      <c r="B89" s="7" t="s">
        <v>304</v>
      </c>
      <c r="C89" s="7" t="s">
        <v>308</v>
      </c>
      <c r="D89" s="7">
        <v>24</v>
      </c>
    </row>
    <row r="90" spans="1:4" x14ac:dyDescent="0.25">
      <c r="A90" s="7" t="s">
        <v>72</v>
      </c>
      <c r="B90" s="7" t="s">
        <v>304</v>
      </c>
      <c r="C90" s="7" t="s">
        <v>308</v>
      </c>
      <c r="D90" s="7">
        <v>11</v>
      </c>
    </row>
    <row r="91" spans="1:4" x14ac:dyDescent="0.25">
      <c r="A91" s="7" t="s">
        <v>72</v>
      </c>
      <c r="B91" s="7" t="s">
        <v>304</v>
      </c>
      <c r="C91" s="7" t="s">
        <v>308</v>
      </c>
      <c r="D91" s="7">
        <v>23</v>
      </c>
    </row>
    <row r="92" spans="1:4" x14ac:dyDescent="0.25">
      <c r="A92" s="7" t="s">
        <v>72</v>
      </c>
      <c r="B92" s="7" t="s">
        <v>304</v>
      </c>
      <c r="C92" s="7" t="s">
        <v>308</v>
      </c>
      <c r="D92" s="7">
        <v>30</v>
      </c>
    </row>
    <row r="93" spans="1:4" x14ac:dyDescent="0.25">
      <c r="A93" s="7" t="s">
        <v>72</v>
      </c>
      <c r="B93" s="7" t="s">
        <v>304</v>
      </c>
      <c r="C93" s="7" t="s">
        <v>308</v>
      </c>
      <c r="D93" s="7">
        <v>26</v>
      </c>
    </row>
    <row r="94" spans="1:4" x14ac:dyDescent="0.25">
      <c r="A94" s="7" t="s">
        <v>72</v>
      </c>
      <c r="B94" s="7" t="s">
        <v>304</v>
      </c>
      <c r="C94" s="7" t="s">
        <v>308</v>
      </c>
      <c r="D94" s="7">
        <v>16</v>
      </c>
    </row>
    <row r="95" spans="1:4" x14ac:dyDescent="0.25">
      <c r="A95" s="7" t="s">
        <v>72</v>
      </c>
      <c r="B95" s="7" t="s">
        <v>304</v>
      </c>
      <c r="C95" s="7" t="s">
        <v>308</v>
      </c>
      <c r="D95" s="7">
        <v>23</v>
      </c>
    </row>
    <row r="96" spans="1:4" x14ac:dyDescent="0.25">
      <c r="A96" s="7" t="s">
        <v>72</v>
      </c>
      <c r="B96" s="7" t="s">
        <v>304</v>
      </c>
      <c r="C96" s="7" t="s">
        <v>308</v>
      </c>
      <c r="D96" s="7">
        <v>14</v>
      </c>
    </row>
    <row r="97" spans="1:4" x14ac:dyDescent="0.25">
      <c r="A97" s="7" t="s">
        <v>72</v>
      </c>
      <c r="B97" s="7" t="s">
        <v>304</v>
      </c>
      <c r="C97" s="7" t="s">
        <v>308</v>
      </c>
      <c r="D97" s="7">
        <v>19</v>
      </c>
    </row>
    <row r="98" spans="1:4" x14ac:dyDescent="0.25">
      <c r="A98" s="516" t="s">
        <v>72</v>
      </c>
      <c r="B98" s="516" t="s">
        <v>304</v>
      </c>
      <c r="C98" s="516" t="s">
        <v>308</v>
      </c>
      <c r="D98" s="516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Z39"/>
  <sheetViews>
    <sheetView workbookViewId="0"/>
  </sheetViews>
  <sheetFormatPr defaultRowHeight="15" x14ac:dyDescent="0.25"/>
  <cols>
    <col min="1" max="4" width="10.28515625" customWidth="1"/>
  </cols>
  <sheetData>
    <row r="1" spans="1:26" x14ac:dyDescent="0.25">
      <c r="A1" s="1" t="s">
        <v>511</v>
      </c>
      <c r="F1" t="s">
        <v>24</v>
      </c>
      <c r="M1" t="s">
        <v>506</v>
      </c>
      <c r="U1" t="s">
        <v>512</v>
      </c>
    </row>
    <row r="3" spans="1:26" ht="15.75" thickBot="1" x14ac:dyDescent="0.3">
      <c r="A3" s="380" t="s">
        <v>77</v>
      </c>
      <c r="B3" s="381" t="s">
        <v>303</v>
      </c>
      <c r="C3" s="381" t="s">
        <v>307</v>
      </c>
      <c r="D3" s="382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09" t="s">
        <v>31</v>
      </c>
      <c r="R3" s="409">
        <v>0.05</v>
      </c>
      <c r="U3" s="380" t="e">
        <f t="array" aca="1" ref="U3:Z14" ca="1">Anova3Rows(A3:D38)</f>
        <v>#NAME?</v>
      </c>
      <c r="V3" s="381" t="e">
        <f ca="1"/>
        <v>#NAME?</v>
      </c>
      <c r="W3" s="382" t="e">
        <f ca="1"/>
        <v>#NAME?</v>
      </c>
      <c r="X3" s="381" t="e">
        <f ca="1"/>
        <v>#NAME?</v>
      </c>
      <c r="Y3" s="381" t="e">
        <f ca="1"/>
        <v>#NAME?</v>
      </c>
      <c r="Z3" s="382" t="e">
        <f ca="1"/>
        <v>#NAME?</v>
      </c>
    </row>
    <row r="4" spans="1:26" ht="15.75" thickTop="1" x14ac:dyDescent="0.25">
      <c r="A4" s="178" t="s">
        <v>77</v>
      </c>
      <c r="B4" s="7" t="s">
        <v>303</v>
      </c>
      <c r="C4" s="7" t="s">
        <v>307</v>
      </c>
      <c r="D4" s="40">
        <v>18</v>
      </c>
      <c r="F4" s="380" t="e">
        <f t="array" aca="1" ref="F4:F5" ca="1">SortUnique(A3:A38)</f>
        <v>#NAME?</v>
      </c>
      <c r="G4" s="381"/>
      <c r="H4" s="382"/>
      <c r="I4" s="380">
        <f ca="1">SUMIF($F$27:$F$38,F4,$I$27:$I$38)</f>
        <v>0</v>
      </c>
      <c r="J4" s="381" t="str">
        <f ca="1">IF(I4=0,"",AVERAGEIF($A$3:$A$38,$F4,$D$3:$D$38))</f>
        <v/>
      </c>
      <c r="K4" s="382" t="str">
        <f t="array" aca="1" ref="K4" ca="1">IF(I4&lt;2,"",VAR(IF($A$3:$A$38=$F4,$D$3:$D$38,"")))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865</v>
      </c>
      <c r="U4" s="178" t="e">
        <f ca="1"/>
        <v>#NAME?</v>
      </c>
      <c r="V4" s="7" t="e">
        <f ca="1"/>
        <v>#NAME?</v>
      </c>
      <c r="W4" s="40" t="e">
        <f ca="1"/>
        <v>#NAME?</v>
      </c>
      <c r="X4" s="7" t="e">
        <f ca="1"/>
        <v>#NAME?</v>
      </c>
      <c r="Y4" s="7" t="e">
        <f ca="1"/>
        <v>#NAME?</v>
      </c>
      <c r="Z4" s="40" t="e">
        <f ca="1"/>
        <v>#NAME?</v>
      </c>
    </row>
    <row r="5" spans="1:26" x14ac:dyDescent="0.25">
      <c r="A5" s="178" t="s">
        <v>77</v>
      </c>
      <c r="B5" s="7" t="s">
        <v>303</v>
      </c>
      <c r="C5" s="7" t="s">
        <v>307</v>
      </c>
      <c r="D5" s="40">
        <v>26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IF(I5=0,"",AVERAGEIF($A$3:$A$38,$F5,$D$3:$D$38))</f>
        <v/>
      </c>
      <c r="K5" s="40" t="str">
        <f t="array" aca="1" ref="K5" ca="1">IF(I5&lt;2,"",VAR(IF($A$3:$A$38=$F5,$D$3:$D$38,"")))</f>
        <v/>
      </c>
      <c r="M5" t="s">
        <v>86</v>
      </c>
      <c r="N5" t="e">
        <f ca="1">DEVSQ(J4:J5)*I4</f>
        <v>#NUM!</v>
      </c>
      <c r="O5">
        <f ca="1">COUNT(J4:J5)-1</f>
        <v>-1</v>
      </c>
      <c r="P5" t="e">
        <f t="shared" ref="P5:P13" ca="1" si="0">N5/O5</f>
        <v>#NUM!</v>
      </c>
      <c r="Q5" t="e">
        <f ca="1">P5/P12</f>
        <v>#NUM!</v>
      </c>
      <c r="R5" t="e">
        <f ca="1">FDIST(Q5,O5,O12)</f>
        <v>#NUM!</v>
      </c>
      <c r="S5" t="e">
        <f ca="1">N5/(N5+N12)</f>
        <v>#NUM!</v>
      </c>
      <c r="U5" s="178" t="e">
        <f ca="1"/>
        <v>#NAME?</v>
      </c>
      <c r="V5" s="7" t="e">
        <f ca="1"/>
        <v>#NAME?</v>
      </c>
      <c r="W5" s="40" t="e">
        <f ca="1"/>
        <v>#NAME?</v>
      </c>
      <c r="X5" s="7" t="e">
        <f ca="1"/>
        <v>#NAME?</v>
      </c>
      <c r="Y5" s="7" t="e">
        <f ca="1"/>
        <v>#NAME?</v>
      </c>
      <c r="Z5" s="40" t="e">
        <f ca="1"/>
        <v>#NAME?</v>
      </c>
    </row>
    <row r="6" spans="1:26" x14ac:dyDescent="0.25">
      <c r="A6" s="178" t="s">
        <v>77</v>
      </c>
      <c r="B6" s="7" t="s">
        <v>303</v>
      </c>
      <c r="C6" s="7" t="s">
        <v>308</v>
      </c>
      <c r="D6" s="40">
        <v>24</v>
      </c>
      <c r="F6" s="178"/>
      <c r="G6" s="7" t="e">
        <f t="array" aca="1" ref="G6:G7" ca="1">SortUnique(B3:B38)</f>
        <v>#NAME?</v>
      </c>
      <c r="H6" s="40"/>
      <c r="I6" s="178">
        <f ca="1">SUMIF($G$27:$G$38,G6,$I$27:$I$38)</f>
        <v>0</v>
      </c>
      <c r="J6" s="7" t="str">
        <f ca="1">IF(I6=0,"",AVERAGEIF($B$3:$B$38,$G6,$D$3:$D$38))</f>
        <v/>
      </c>
      <c r="K6" s="40" t="str">
        <f t="array" aca="1" ref="K6" ca="1">IF(I6&lt;2,"",VAR(IF($B$3:$B$38=$G6,$D$3:$D$38,"")))</f>
        <v/>
      </c>
      <c r="M6" t="s">
        <v>78</v>
      </c>
      <c r="N6" t="e">
        <f ca="1">DEVSQ(J6:J7)*I6</f>
        <v>#NUM!</v>
      </c>
      <c r="O6">
        <f ca="1">COUNT(J6:J7)-1</f>
        <v>-1</v>
      </c>
      <c r="P6" t="e">
        <f t="shared" ca="1" si="0"/>
        <v>#NUM!</v>
      </c>
      <c r="Q6" t="e">
        <f ca="1">P6/P12</f>
        <v>#NUM!</v>
      </c>
      <c r="R6" t="e">
        <f ca="1">FDIST(Q6,O6,O12)</f>
        <v>#NUM!</v>
      </c>
      <c r="S6" t="e">
        <f ca="1">N6/(N6+N12)</f>
        <v>#NUM!</v>
      </c>
      <c r="U6" s="178" t="e">
        <f ca="1"/>
        <v>#NAME?</v>
      </c>
      <c r="V6" s="7" t="e">
        <f ca="1"/>
        <v>#NAME?</v>
      </c>
      <c r="W6" s="40" t="e">
        <f ca="1"/>
        <v>#NAME?</v>
      </c>
      <c r="X6" s="7" t="e">
        <f ca="1"/>
        <v>#NAME?</v>
      </c>
      <c r="Y6" s="7" t="e">
        <f ca="1"/>
        <v>#NAME?</v>
      </c>
      <c r="Z6" s="40" t="e">
        <f ca="1"/>
        <v>#NAME?</v>
      </c>
    </row>
    <row r="7" spans="1:26" x14ac:dyDescent="0.25">
      <c r="A7" s="178" t="s">
        <v>77</v>
      </c>
      <c r="B7" s="7" t="s">
        <v>303</v>
      </c>
      <c r="C7" s="7" t="s">
        <v>308</v>
      </c>
      <c r="D7" s="40">
        <v>25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IF(I7=0,"",AVERAGEIF($B$3:$B$38,$G7,$D$3:$D$38))</f>
        <v/>
      </c>
      <c r="K7" s="40" t="str">
        <f t="array" aca="1" ref="K7" ca="1">IF(I7&lt;2,"",VAR(IF($B$3:$B$38=$G7,$D$3:$D$38,"")))</f>
        <v/>
      </c>
      <c r="M7" t="s">
        <v>79</v>
      </c>
      <c r="N7" t="e">
        <f ca="1">DEVSQ(J8:J10)*I8</f>
        <v>#NUM!</v>
      </c>
      <c r="O7">
        <f ca="1">COUNT(J8:J10)-1</f>
        <v>-1</v>
      </c>
      <c r="P7" t="e">
        <f t="shared" ca="1" si="0"/>
        <v>#NUM!</v>
      </c>
      <c r="Q7" t="e">
        <f ca="1">P7/P12</f>
        <v>#NUM!</v>
      </c>
      <c r="R7" t="e">
        <f ca="1">FDIST(Q7,O7,O12)</f>
        <v>#NUM!</v>
      </c>
      <c r="S7" s="540" t="e">
        <f ca="1">N7/(N7+N12)</f>
        <v>#NUM!</v>
      </c>
      <c r="U7" s="178" t="e">
        <f ca="1"/>
        <v>#NAME?</v>
      </c>
      <c r="V7" s="7" t="e">
        <f ca="1"/>
        <v>#NAME?</v>
      </c>
      <c r="W7" s="40" t="e">
        <f ca="1"/>
        <v>#NAME?</v>
      </c>
      <c r="X7" s="7" t="e">
        <f ca="1"/>
        <v>#NAME?</v>
      </c>
      <c r="Y7" s="7" t="e">
        <f ca="1"/>
        <v>#NAME?</v>
      </c>
      <c r="Z7" s="40" t="e">
        <f ca="1"/>
        <v>#NAME?</v>
      </c>
    </row>
    <row r="8" spans="1:26" x14ac:dyDescent="0.25">
      <c r="A8" s="178" t="s">
        <v>77</v>
      </c>
      <c r="B8" s="7" t="s">
        <v>303</v>
      </c>
      <c r="C8" s="7" t="s">
        <v>308</v>
      </c>
      <c r="D8" s="40">
        <v>14</v>
      </c>
      <c r="F8" s="178"/>
      <c r="G8" s="7"/>
      <c r="H8" s="40" t="e">
        <f t="array" aca="1" ref="H8:H10" ca="1">SortUnique(C3:C38)</f>
        <v>#NAME?</v>
      </c>
      <c r="I8" s="178">
        <f ca="1">SUMIF($H$27:$H$38,H8,$I$27:$I$38)</f>
        <v>0</v>
      </c>
      <c r="J8" s="7" t="str">
        <f ca="1">IF(I8=0,"",AVERAGEIF($C$3:$C$38,$H8,$D$3:$D$38))</f>
        <v/>
      </c>
      <c r="K8" s="40" t="str">
        <f t="array" aca="1" ref="K8" ca="1">IF(I8&lt;2,"",VAR(IF($C$3:$C$38=$H8,$D$3:$D$38,"")))</f>
        <v/>
      </c>
      <c r="M8" t="s">
        <v>271</v>
      </c>
      <c r="N8" t="e">
        <f ca="1">DEVSQ(J11:J14)*I11-N5-N6</f>
        <v>#NUM!</v>
      </c>
      <c r="O8">
        <f ca="1">O6*O5</f>
        <v>1</v>
      </c>
      <c r="P8" t="e">
        <f t="shared" ca="1" si="0"/>
        <v>#NUM!</v>
      </c>
      <c r="Q8" t="e">
        <f ca="1">P8/P12</f>
        <v>#NUM!</v>
      </c>
      <c r="R8" t="e">
        <f ca="1">FDIST(Q8,O8,O12)</f>
        <v>#NUM!</v>
      </c>
      <c r="S8" t="e">
        <f ca="1">N8/(N8+N12)</f>
        <v>#NUM!</v>
      </c>
      <c r="U8" s="178" t="e">
        <f ca="1"/>
        <v>#NAME?</v>
      </c>
      <c r="V8" s="7" t="e">
        <f ca="1"/>
        <v>#NAME?</v>
      </c>
      <c r="W8" s="40" t="e">
        <f ca="1"/>
        <v>#NAME?</v>
      </c>
      <c r="X8" s="7" t="e">
        <f ca="1"/>
        <v>#NAME?</v>
      </c>
      <c r="Y8" s="7" t="e">
        <f ca="1"/>
        <v>#NAME?</v>
      </c>
      <c r="Z8" s="40" t="e">
        <f ca="1"/>
        <v>#NAME?</v>
      </c>
    </row>
    <row r="9" spans="1:26" x14ac:dyDescent="0.25">
      <c r="A9" s="178" t="s">
        <v>77</v>
      </c>
      <c r="B9" s="7" t="s">
        <v>303</v>
      </c>
      <c r="C9" s="7" t="s">
        <v>509</v>
      </c>
      <c r="D9" s="40">
        <v>42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IF(I9=0,"",AVERAGEIF($C$3:$C$38,$H9,$D$3:$D$38))</f>
        <v/>
      </c>
      <c r="K9" s="40" t="str">
        <f t="array" aca="1" ref="K9" ca="1">IF(I9&lt;2,"",VAR(IF($C$3:$C$38=$H9,$D$3:$D$38,"")))</f>
        <v/>
      </c>
      <c r="M9" t="s">
        <v>273</v>
      </c>
      <c r="N9" t="e">
        <f ca="1">DEVSQ(J15:J20)*I15-N5-N7</f>
        <v>#NUM!</v>
      </c>
      <c r="O9">
        <f ca="1">O7*O5</f>
        <v>1</v>
      </c>
      <c r="P9" t="e">
        <f t="shared" ca="1" si="0"/>
        <v>#NUM!</v>
      </c>
      <c r="Q9" t="e">
        <f ca="1">P9/P12</f>
        <v>#NUM!</v>
      </c>
      <c r="R9" t="e">
        <f ca="1">FDIST(Q9,O9,O12)</f>
        <v>#NUM!</v>
      </c>
      <c r="S9" t="e">
        <f ca="1">N9/(N9+N12)</f>
        <v>#NUM!</v>
      </c>
      <c r="U9" s="178" t="e">
        <f ca="1"/>
        <v>#NAME?</v>
      </c>
      <c r="V9" s="7" t="e">
        <f ca="1"/>
        <v>#NAME?</v>
      </c>
      <c r="W9" s="40" t="e">
        <f ca="1"/>
        <v>#NAME?</v>
      </c>
      <c r="X9" s="7" t="e">
        <f ca="1"/>
        <v>#NAME?</v>
      </c>
      <c r="Y9" s="7" t="e">
        <f ca="1"/>
        <v>#NAME?</v>
      </c>
      <c r="Z9" s="40" t="e">
        <f ca="1"/>
        <v>#NAME?</v>
      </c>
    </row>
    <row r="10" spans="1:26" x14ac:dyDescent="0.25">
      <c r="A10" s="178" t="s">
        <v>77</v>
      </c>
      <c r="B10" s="7" t="s">
        <v>303</v>
      </c>
      <c r="C10" s="7" t="s">
        <v>509</v>
      </c>
      <c r="D10" s="40">
        <v>40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IF(I10=0,"",AVERAGEIF($C$3:$C$38,$H10,$D$3:$D$38))</f>
        <v/>
      </c>
      <c r="K10" s="223" t="str">
        <f t="array" aca="1" ref="K10" ca="1">IF(I10&lt;2,"",VAR(IF($C$3:$C$38=$H10,$D$3:$D$38,"")))</f>
        <v/>
      </c>
      <c r="M10" t="s">
        <v>275</v>
      </c>
      <c r="N10" t="e">
        <f ca="1">DEVSQ(J21:J26)*I21-N6-N7</f>
        <v>#NUM!</v>
      </c>
      <c r="O10">
        <f ca="1">O7*O6</f>
        <v>1</v>
      </c>
      <c r="P10" t="e">
        <f t="shared" ca="1" si="0"/>
        <v>#NUM!</v>
      </c>
      <c r="Q10" t="e">
        <f ca="1">P10/P12</f>
        <v>#NUM!</v>
      </c>
      <c r="R10" t="e">
        <f ca="1">FDIST(Q10,O10,O12)</f>
        <v>#NUM!</v>
      </c>
      <c r="S10" t="e">
        <f ca="1">N10/(N10+N12)</f>
        <v>#NUM!</v>
      </c>
      <c r="U10" s="178" t="e">
        <f ca="1"/>
        <v>#NAME?</v>
      </c>
      <c r="V10" s="7" t="e">
        <f ca="1"/>
        <v>#NAME?</v>
      </c>
      <c r="W10" s="40" t="e">
        <f ca="1"/>
        <v>#NAME?</v>
      </c>
      <c r="X10" s="7" t="e">
        <f ca="1"/>
        <v>#NAME?</v>
      </c>
      <c r="Y10" s="7" t="e">
        <f ca="1"/>
        <v>#NAME?</v>
      </c>
      <c r="Z10" s="40" t="e">
        <f ca="1"/>
        <v>#NAME?</v>
      </c>
    </row>
    <row r="11" spans="1:26" x14ac:dyDescent="0.25">
      <c r="A11" s="178" t="s">
        <v>77</v>
      </c>
      <c r="B11" s="7" t="s">
        <v>303</v>
      </c>
      <c r="C11" s="7" t="s">
        <v>509</v>
      </c>
      <c r="D11" s="40">
        <v>36</v>
      </c>
      <c r="F11" s="380" t="e">
        <f ca="1">$F$4</f>
        <v>#NAME?</v>
      </c>
      <c r="G11" s="381" t="e">
        <f ca="1">$G6</f>
        <v>#NAME?</v>
      </c>
      <c r="H11" s="382"/>
      <c r="I11" s="380">
        <f ca="1">SUMIFS($I$27:$I$38,$F$27:$F$38,F11,$G$27:$G$38,G11)</f>
        <v>0</v>
      </c>
      <c r="J11" s="381" t="str">
        <f ca="1">IF(I11=0,"",AVERAGEIFS($D$3:$D$38,$A$3:$A$38,$F11,$B$3:$B$38,$G11))</f>
        <v/>
      </c>
      <c r="K11" s="382" t="str">
        <f t="array" aca="1" ref="K11" ca="1">IF(I11&lt;2,"",VAR(IF($A$3:$A$38=$F11,IF($B$3:$B$38=$G11,$D$3:$D$38,""))))</f>
        <v/>
      </c>
      <c r="M11" t="s">
        <v>277</v>
      </c>
      <c r="N11" t="e">
        <f ca="1">DEVSQ(J27:J38)*I27-N10-N9-N8-N7-N6-N5</f>
        <v>#NUM!</v>
      </c>
      <c r="O11">
        <f ca="1">O7*O6*O5</f>
        <v>-1</v>
      </c>
      <c r="P11" t="e">
        <f t="shared" ca="1" si="0"/>
        <v>#NUM!</v>
      </c>
      <c r="Q11" t="e">
        <f ca="1">P11/P12</f>
        <v>#NUM!</v>
      </c>
      <c r="R11" t="e">
        <f ca="1">FDIST(Q11,O11,O12)</f>
        <v>#NUM!</v>
      </c>
      <c r="S11" t="e">
        <f ca="1">N11/(N11+N12)</f>
        <v>#NUM!</v>
      </c>
      <c r="U11" s="178" t="e">
        <f ca="1"/>
        <v>#NAME?</v>
      </c>
      <c r="V11" s="7" t="e">
        <f ca="1"/>
        <v>#NAME?</v>
      </c>
      <c r="W11" s="40" t="e">
        <f ca="1"/>
        <v>#NAME?</v>
      </c>
      <c r="X11" s="7" t="e">
        <f ca="1"/>
        <v>#NAME?</v>
      </c>
      <c r="Y11" s="7" t="e">
        <f ca="1"/>
        <v>#NAME?</v>
      </c>
      <c r="Z11" s="40" t="e">
        <f ca="1"/>
        <v>#NAME?</v>
      </c>
    </row>
    <row r="12" spans="1:26" x14ac:dyDescent="0.25">
      <c r="A12" s="178" t="s">
        <v>77</v>
      </c>
      <c r="B12" s="7" t="s">
        <v>304</v>
      </c>
      <c r="C12" s="7" t="s">
        <v>307</v>
      </c>
      <c r="D12" s="40">
        <v>16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IF(I12=0,"",AVERAGEIFS($D$3:$D$38,$A$3:$A$38,$F12,$B$3:$B$38,$G12))</f>
        <v/>
      </c>
      <c r="K12" s="40" t="str">
        <f t="array" aca="1" ref="K12" ca="1">IF(I12&lt;2,"",VAR(IF($A$3:$A$38=$F12,IF($B$3:$B$38=$G12,$D$3:$D$38,""))))</f>
        <v/>
      </c>
      <c r="M12" t="s">
        <v>249</v>
      </c>
      <c r="N12" t="e">
        <f ca="1">N13-N11-N10-N9-N8-N7-N6-N5</f>
        <v>#NUM!</v>
      </c>
      <c r="O12">
        <f ca="1">I39-(O5+1)*(O6+1)*(O7+1)</f>
        <v>0</v>
      </c>
      <c r="P12" t="e">
        <f t="shared" ca="1" si="0"/>
        <v>#NUM!</v>
      </c>
      <c r="U12" s="178" t="e">
        <f ca="1"/>
        <v>#NAME?</v>
      </c>
      <c r="V12" s="7" t="e">
        <f ca="1"/>
        <v>#NAME?</v>
      </c>
      <c r="W12" s="40" t="e">
        <f ca="1"/>
        <v>#NAME?</v>
      </c>
      <c r="X12" s="7" t="e">
        <f ca="1"/>
        <v>#NAME?</v>
      </c>
      <c r="Y12" s="7" t="e">
        <f ca="1"/>
        <v>#NAME?</v>
      </c>
      <c r="Z12" s="40" t="e">
        <f ca="1"/>
        <v>#NAME?</v>
      </c>
    </row>
    <row r="13" spans="1:26" x14ac:dyDescent="0.25">
      <c r="A13" s="178" t="s">
        <v>77</v>
      </c>
      <c r="B13" s="7" t="s">
        <v>304</v>
      </c>
      <c r="C13" s="7" t="s">
        <v>307</v>
      </c>
      <c r="D13" s="40">
        <v>31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IF(I13=0,"",AVERAGEIFS($D$3:$D$38,$A$3:$A$38,$F13,$B$3:$B$38,$G13))</f>
        <v/>
      </c>
      <c r="K13" s="40" t="str">
        <f t="array" aca="1" ref="K13" ca="1">IF(I13&lt;2,"",VAR(IF($A$3:$A$38=$F13,IF($B$3:$B$38=$G13,$D$3:$D$38,""))))</f>
        <v/>
      </c>
      <c r="M13" s="224" t="s">
        <v>1</v>
      </c>
      <c r="N13" s="224">
        <f ca="1">K39*O13</f>
        <v>-62.606349206349215</v>
      </c>
      <c r="O13" s="224">
        <f ca="1">I39-1</f>
        <v>-1</v>
      </c>
      <c r="P13" s="224">
        <f t="shared" ca="1" si="0"/>
        <v>62.606349206349215</v>
      </c>
      <c r="Q13" s="224"/>
      <c r="R13" s="224"/>
      <c r="S13" s="224"/>
      <c r="U13" s="178" t="e">
        <f ca="1"/>
        <v>#NAME?</v>
      </c>
      <c r="V13" s="7" t="e">
        <f ca="1"/>
        <v>#NAME?</v>
      </c>
      <c r="W13" s="40" t="e">
        <f ca="1"/>
        <v>#NAME?</v>
      </c>
      <c r="X13" s="7" t="e">
        <f ca="1"/>
        <v>#NAME?</v>
      </c>
      <c r="Y13" s="7" t="e">
        <f ca="1"/>
        <v>#NAME?</v>
      </c>
      <c r="Z13" s="40" t="e">
        <f ca="1"/>
        <v>#NAME?</v>
      </c>
    </row>
    <row r="14" spans="1:26" x14ac:dyDescent="0.25">
      <c r="A14" s="178" t="s">
        <v>77</v>
      </c>
      <c r="B14" s="7" t="s">
        <v>304</v>
      </c>
      <c r="C14" s="7" t="s">
        <v>307</v>
      </c>
      <c r="D14" s="40">
        <v>17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IF(I14=0,"",AVERAGEIFS($D$3:$D$38,$A$3:$A$38,$F14,$B$3:$B$38,$G14))</f>
        <v/>
      </c>
      <c r="K14" s="223" t="str">
        <f t="array" aca="1" ref="K14" ca="1">IF(I14&lt;2,"",VAR(IF($A$3:$A$38=$F14,IF($B$3:$B$38=$G14,$D$3:$D$38,""))))</f>
        <v/>
      </c>
      <c r="U14" s="221" t="e">
        <f ca="1"/>
        <v>#NAME?</v>
      </c>
      <c r="V14" s="222" t="e">
        <f ca="1"/>
        <v>#NAME?</v>
      </c>
      <c r="W14" s="223" t="e">
        <f ca="1"/>
        <v>#NAME?</v>
      </c>
      <c r="X14" s="222" t="e">
        <f ca="1"/>
        <v>#NAME?</v>
      </c>
      <c r="Y14" s="222" t="e">
        <f ca="1"/>
        <v>#NAME?</v>
      </c>
      <c r="Z14" s="223" t="e">
        <f ca="1"/>
        <v>#NAME?</v>
      </c>
    </row>
    <row r="15" spans="1:26" x14ac:dyDescent="0.25">
      <c r="A15" s="178" t="s">
        <v>77</v>
      </c>
      <c r="B15" s="7" t="s">
        <v>304</v>
      </c>
      <c r="C15" s="7" t="s">
        <v>308</v>
      </c>
      <c r="D15" s="40">
        <v>31</v>
      </c>
      <c r="F15" s="380" t="e">
        <f ca="1">$F$4</f>
        <v>#NAME?</v>
      </c>
      <c r="G15" s="381"/>
      <c r="H15" s="382" t="e">
        <f ca="1">$H8</f>
        <v>#NAME?</v>
      </c>
      <c r="I15" s="380">
        <f t="shared" ref="I15:I20" ca="1" si="1">SUMIFS($I$27:$I$38,$F$27:$F$38,F15,$H$27:$H$38,H15)</f>
        <v>0</v>
      </c>
      <c r="J15" s="381" t="str">
        <f t="shared" ref="J15:J20" ca="1" si="2">IF(I15=0,"",AVERAGEIFS($D$3:$D$38,$A$3:$A$38,$F15,$C$3:$C$38,$H15))</f>
        <v/>
      </c>
      <c r="K15" s="382" t="str">
        <f t="array" aca="1" ref="K15" ca="1">IF(I15&lt;2,"",VAR(IF($A$3:$A$38=$F15,IF($C$3:$C$38=$H15,$D$3:$D$38,""))))</f>
        <v/>
      </c>
    </row>
    <row r="16" spans="1:26" x14ac:dyDescent="0.25">
      <c r="A16" s="178" t="s">
        <v>77</v>
      </c>
      <c r="B16" s="7" t="s">
        <v>304</v>
      </c>
      <c r="C16" s="7" t="s">
        <v>308</v>
      </c>
      <c r="D16" s="40">
        <v>29</v>
      </c>
      <c r="F16" s="178" t="e">
        <f ca="1">$F$4</f>
        <v>#NAME?</v>
      </c>
      <c r="G16" s="7"/>
      <c r="H16" s="40" t="e">
        <f ca="1">$H9</f>
        <v>#NAME?</v>
      </c>
      <c r="I16" s="178">
        <f t="shared" ca="1" si="1"/>
        <v>0</v>
      </c>
      <c r="J16" s="7" t="str">
        <f t="shared" ca="1" si="2"/>
        <v/>
      </c>
      <c r="K16" s="40" t="str">
        <f t="array" aca="1" ref="K16" ca="1">IF(I16&lt;2,"",VAR(IF($A$3:$A$38=$F16,IF($C$3:$C$38=$H16,$D$3:$D$38,""))))</f>
        <v/>
      </c>
    </row>
    <row r="17" spans="1:11" x14ac:dyDescent="0.25">
      <c r="A17" s="178" t="s">
        <v>77</v>
      </c>
      <c r="B17" s="7" t="s">
        <v>304</v>
      </c>
      <c r="C17" s="7" t="s">
        <v>308</v>
      </c>
      <c r="D17" s="40">
        <v>40</v>
      </c>
      <c r="F17" s="178" t="e">
        <f ca="1">$F$4</f>
        <v>#NAME?</v>
      </c>
      <c r="G17" s="7"/>
      <c r="H17" s="40" t="e">
        <f ca="1">$H10</f>
        <v>#NAME?</v>
      </c>
      <c r="I17" s="178">
        <f t="shared" ca="1" si="1"/>
        <v>0</v>
      </c>
      <c r="J17" s="7" t="str">
        <f t="shared" ca="1" si="2"/>
        <v/>
      </c>
      <c r="K17" s="40" t="str">
        <f t="array" aca="1" ref="K17" ca="1">IF(I17&lt;2,"",VAR(IF($A$3:$A$38=$F17,IF($C$3:$C$38=$H17,$D$3:$D$38,""))))</f>
        <v/>
      </c>
    </row>
    <row r="18" spans="1:11" x14ac:dyDescent="0.25">
      <c r="A18" s="178" t="s">
        <v>72</v>
      </c>
      <c r="B18" s="7" t="s">
        <v>303</v>
      </c>
      <c r="C18" s="7" t="s">
        <v>307</v>
      </c>
      <c r="D18" s="40">
        <v>19</v>
      </c>
      <c r="F18" s="178" t="e">
        <f ca="1">$F$5</f>
        <v>#NAME?</v>
      </c>
      <c r="G18" s="7"/>
      <c r="H18" s="40" t="e">
        <f ca="1">$H8</f>
        <v>#NAME?</v>
      </c>
      <c r="I18" s="178">
        <f t="shared" ca="1" si="1"/>
        <v>0</v>
      </c>
      <c r="J18" s="7" t="str">
        <f t="shared" ca="1" si="2"/>
        <v/>
      </c>
      <c r="K18" s="40" t="str">
        <f t="array" aca="1" ref="K18" ca="1">IF(I18&lt;2,"",VAR(IF($A$3:$A$38=$F18,IF($C$3:$C$38=$H18,$D$3:$D$38,""))))</f>
        <v/>
      </c>
    </row>
    <row r="19" spans="1:11" x14ac:dyDescent="0.25">
      <c r="A19" s="178" t="s">
        <v>72</v>
      </c>
      <c r="B19" s="7" t="s">
        <v>303</v>
      </c>
      <c r="C19" s="7" t="s">
        <v>307</v>
      </c>
      <c r="D19" s="40">
        <v>28</v>
      </c>
      <c r="F19" s="178" t="e">
        <f ca="1">$F$5</f>
        <v>#NAME?</v>
      </c>
      <c r="G19" s="7"/>
      <c r="H19" s="40" t="e">
        <f ca="1">$H9</f>
        <v>#NAME?</v>
      </c>
      <c r="I19" s="178">
        <f t="shared" ca="1" si="1"/>
        <v>0</v>
      </c>
      <c r="J19" s="7" t="str">
        <f t="shared" ca="1" si="2"/>
        <v/>
      </c>
      <c r="K19" s="40" t="str">
        <f t="array" aca="1" ref="K19" ca="1">IF(I19&lt;2,"",VAR(IF($A$3:$A$38=$F19,IF($C$3:$C$38=$H19,$D$3:$D$38,""))))</f>
        <v/>
      </c>
    </row>
    <row r="20" spans="1:11" x14ac:dyDescent="0.25">
      <c r="A20" s="178" t="s">
        <v>72</v>
      </c>
      <c r="B20" s="7" t="s">
        <v>303</v>
      </c>
      <c r="C20" s="7" t="s">
        <v>307</v>
      </c>
      <c r="D20" s="40">
        <v>31</v>
      </c>
      <c r="F20" s="221" t="e">
        <f ca="1">$F$5</f>
        <v>#NAME?</v>
      </c>
      <c r="G20" s="222"/>
      <c r="H20" s="223" t="e">
        <f ca="1">$H10</f>
        <v>#NAME?</v>
      </c>
      <c r="I20" s="221">
        <f t="shared" ca="1" si="1"/>
        <v>0</v>
      </c>
      <c r="J20" s="222" t="str">
        <f t="shared" ca="1" si="2"/>
        <v/>
      </c>
      <c r="K20" s="223" t="str">
        <f t="array" aca="1" ref="K20" ca="1">IF(I20&lt;2,"",VAR(IF($A$3:$A$38=$F20,IF($C$3:$C$38=$H20,$D$3:$D$38,""))))</f>
        <v/>
      </c>
    </row>
    <row r="21" spans="1:11" x14ac:dyDescent="0.25">
      <c r="A21" s="178" t="s">
        <v>72</v>
      </c>
      <c r="B21" s="7" t="s">
        <v>303</v>
      </c>
      <c r="C21" s="7" t="s">
        <v>308</v>
      </c>
      <c r="D21" s="40">
        <v>29</v>
      </c>
      <c r="F21" s="380"/>
      <c r="G21" s="381" t="e">
        <f ca="1">$G$6</f>
        <v>#NAME?</v>
      </c>
      <c r="H21" s="382" t="e">
        <f ca="1">$H8</f>
        <v>#NAME?</v>
      </c>
      <c r="I21" s="380">
        <f t="shared" ref="I21:I26" ca="1" si="3">SUMIFS($I$27:$I$38,$G$27:$G$38,G21,$H$27:$H$38,H21)</f>
        <v>0</v>
      </c>
      <c r="J21" s="381" t="str">
        <f t="shared" ref="J21:J26" ca="1" si="4">IF(I21=0,"",AVERAGEIFS($D$3:$D$38,$B$3:$B$38,$G21,$C$3:$C$38,$H21))</f>
        <v/>
      </c>
      <c r="K21" s="382" t="str">
        <f t="array" aca="1" ref="K21" ca="1">IF(I21&lt;2,"",VAR(IF($B$3:$B$38=$G21,IF($C$3:$C$38=$H21,$D$3:$D$38,""))))</f>
        <v/>
      </c>
    </row>
    <row r="22" spans="1:11" x14ac:dyDescent="0.25">
      <c r="A22" s="178" t="s">
        <v>72</v>
      </c>
      <c r="B22" s="7" t="s">
        <v>303</v>
      </c>
      <c r="C22" s="7" t="s">
        <v>308</v>
      </c>
      <c r="D22" s="40">
        <v>25</v>
      </c>
      <c r="F22" s="178"/>
      <c r="G22" s="7" t="e">
        <f ca="1">$G$6</f>
        <v>#NAME?</v>
      </c>
      <c r="H22" s="40" t="e">
        <f ca="1">$H9</f>
        <v>#NAME?</v>
      </c>
      <c r="I22" s="178">
        <f t="shared" ca="1" si="3"/>
        <v>0</v>
      </c>
      <c r="J22" s="7" t="str">
        <f t="shared" ca="1" si="4"/>
        <v/>
      </c>
      <c r="K22" s="40" t="str">
        <f t="array" aca="1" ref="K22" ca="1">IF(I22&lt;2,"",VAR(IF($B$3:$B$38=$G22,IF($C$3:$C$38=$H22,$D$3:$D$38,""))))</f>
        <v/>
      </c>
    </row>
    <row r="23" spans="1:11" x14ac:dyDescent="0.25">
      <c r="A23" s="178" t="s">
        <v>72</v>
      </c>
      <c r="B23" s="7" t="s">
        <v>303</v>
      </c>
      <c r="C23" s="7" t="s">
        <v>308</v>
      </c>
      <c r="D23" s="40">
        <v>17</v>
      </c>
      <c r="F23" s="178"/>
      <c r="G23" s="7" t="e">
        <f ca="1">$G$6</f>
        <v>#NAME?</v>
      </c>
      <c r="H23" s="40" t="e">
        <f ca="1">$H10</f>
        <v>#NAME?</v>
      </c>
      <c r="I23" s="178">
        <f t="shared" ca="1" si="3"/>
        <v>0</v>
      </c>
      <c r="J23" s="7" t="str">
        <f t="shared" ca="1" si="4"/>
        <v/>
      </c>
      <c r="K23" s="40" t="str">
        <f t="array" aca="1" ref="K23" ca="1">IF(I23&lt;2,"",VAR(IF($B$3:$B$38=$G23,IF($C$3:$C$38=$H23,$D$3:$D$38,""))))</f>
        <v/>
      </c>
    </row>
    <row r="24" spans="1:11" x14ac:dyDescent="0.25">
      <c r="A24" s="178" t="s">
        <v>72</v>
      </c>
      <c r="B24" s="7" t="s">
        <v>304</v>
      </c>
      <c r="C24" s="7" t="s">
        <v>307</v>
      </c>
      <c r="D24" s="40">
        <v>28</v>
      </c>
      <c r="F24" s="178"/>
      <c r="G24" s="7" t="e">
        <f ca="1">$G$7</f>
        <v>#NAME?</v>
      </c>
      <c r="H24" s="40" t="e">
        <f ca="1">$H8</f>
        <v>#NAME?</v>
      </c>
      <c r="I24" s="178">
        <f t="shared" ca="1" si="3"/>
        <v>0</v>
      </c>
      <c r="J24" s="7" t="str">
        <f t="shared" ca="1" si="4"/>
        <v/>
      </c>
      <c r="K24" s="40" t="str">
        <f t="array" aca="1" ref="K24" ca="1">IF(I24&lt;2,"",VAR(IF($B$3:$B$38=$G24,IF($C$3:$C$38=$H24,$D$3:$D$38,""))))</f>
        <v/>
      </c>
    </row>
    <row r="25" spans="1:11" x14ac:dyDescent="0.25">
      <c r="A25" s="178" t="s">
        <v>72</v>
      </c>
      <c r="B25" s="7" t="s">
        <v>304</v>
      </c>
      <c r="C25" s="7" t="s">
        <v>307</v>
      </c>
      <c r="D25" s="40">
        <v>37</v>
      </c>
      <c r="F25" s="178"/>
      <c r="G25" s="7" t="e">
        <f ca="1">$G$7</f>
        <v>#NAME?</v>
      </c>
      <c r="H25" s="40" t="e">
        <f ca="1">$H9</f>
        <v>#NAME?</v>
      </c>
      <c r="I25" s="178">
        <f t="shared" ca="1" si="3"/>
        <v>0</v>
      </c>
      <c r="J25" s="7" t="str">
        <f t="shared" ca="1" si="4"/>
        <v/>
      </c>
      <c r="K25" s="40" t="str">
        <f t="array" aca="1" ref="K25" ca="1">IF(I25&lt;2,"",VAR(IF($B$3:$B$38=$G25,IF($C$3:$C$38=$H25,$D$3:$D$38,""))))</f>
        <v/>
      </c>
    </row>
    <row r="26" spans="1:11" x14ac:dyDescent="0.25">
      <c r="A26" s="178" t="s">
        <v>72</v>
      </c>
      <c r="B26" s="7" t="s">
        <v>304</v>
      </c>
      <c r="C26" s="7" t="s">
        <v>307</v>
      </c>
      <c r="D26" s="40">
        <v>22</v>
      </c>
      <c r="F26" s="221"/>
      <c r="G26" s="222" t="e">
        <f ca="1">$G$7</f>
        <v>#NAME?</v>
      </c>
      <c r="H26" s="223" t="e">
        <f ca="1">$H10</f>
        <v>#NAME?</v>
      </c>
      <c r="I26" s="221">
        <f t="shared" ca="1" si="3"/>
        <v>0</v>
      </c>
      <c r="J26" s="222" t="str">
        <f t="shared" ca="1" si="4"/>
        <v/>
      </c>
      <c r="K26" s="223" t="str">
        <f t="array" aca="1" ref="K26" ca="1">IF(I26&lt;2,"",VAR(IF($B$3:$B$38=$G26,IF($C$3:$C$38=$H26,$D$3:$D$38,""))))</f>
        <v/>
      </c>
    </row>
    <row r="27" spans="1:11" x14ac:dyDescent="0.25">
      <c r="A27" s="178" t="s">
        <v>72</v>
      </c>
      <c r="B27" s="7" t="s">
        <v>304</v>
      </c>
      <c r="C27" s="7" t="s">
        <v>308</v>
      </c>
      <c r="D27" s="40">
        <v>35</v>
      </c>
      <c r="F27" s="380" t="e">
        <f t="shared" ref="F27:F32" ca="1" si="5">$F$4</f>
        <v>#NAME?</v>
      </c>
      <c r="G27" s="381" t="e">
        <f ca="1">G21</f>
        <v>#NAME?</v>
      </c>
      <c r="H27" s="382" t="e">
        <f ca="1">H21</f>
        <v>#NAME?</v>
      </c>
      <c r="I27" s="380">
        <f ca="1">COUNTIFS($A$3:$A$38,$F27,$B$3:$B$38,$G27,$C$3:$C$38,$H27)</f>
        <v>0</v>
      </c>
      <c r="J27" s="381" t="str">
        <f ca="1">IF(I27=0,"",AVERAGEIFS($D$3:$D$38,$A$3:$A$38,$F27,$B$3:$B$38,$G27,$C$3:$C$38,$H27))</f>
        <v/>
      </c>
      <c r="K27" s="382" t="str">
        <f t="array" aca="1" ref="K27" ca="1">IF(I27&lt;2,"",VAR(IF($A$3:$A$38=$F27,IF($B$3:$B$38=$G27,IF($C$3:$C$38=$H27,$D$3:$D$38,"")))))</f>
        <v/>
      </c>
    </row>
    <row r="28" spans="1:11" x14ac:dyDescent="0.25">
      <c r="A28" s="178" t="s">
        <v>72</v>
      </c>
      <c r="B28" s="7" t="s">
        <v>304</v>
      </c>
      <c r="C28" s="7" t="s">
        <v>308</v>
      </c>
      <c r="D28" s="40">
        <v>23</v>
      </c>
      <c r="F28" s="178" t="e">
        <f t="shared" ca="1" si="5"/>
        <v>#NAME?</v>
      </c>
      <c r="G28" s="7" t="e">
        <f t="shared" ref="G28:H38" ca="1" si="6">G22</f>
        <v>#NAME?</v>
      </c>
      <c r="H28" s="40" t="e">
        <f t="shared" ca="1" si="6"/>
        <v>#NAME?</v>
      </c>
      <c r="I28" s="178">
        <f t="shared" ref="I28:I38" ca="1" si="7">COUNTIFS($A$3:$A$38,$F28,$B$3:$B$38,$G28,$C$3:$C$38,$H28)</f>
        <v>0</v>
      </c>
      <c r="J28" s="7" t="str">
        <f t="shared" ref="J28:J38" ca="1" si="8">IF(I28=0,"",AVERAGEIFS($D$3:$D$38,$A$3:$A$38,$F28,$B$3:$B$38,$G28,$C$3:$C$38,$H28))</f>
        <v/>
      </c>
      <c r="K28" s="40" t="str">
        <f t="array" aca="1" ref="K28" ca="1">IF(I28&lt;2,"",VAR(IF($A$3:$A$38=$F28,IF($B$3:$B$38=$G28,IF($C$3:$C$38=$H28,$D$3:$D$38,"")))))</f>
        <v/>
      </c>
    </row>
    <row r="29" spans="1:11" x14ac:dyDescent="0.25">
      <c r="A29" s="178" t="s">
        <v>72</v>
      </c>
      <c r="B29" s="7" t="s">
        <v>304</v>
      </c>
      <c r="C29" s="7" t="s">
        <v>308</v>
      </c>
      <c r="D29" s="40">
        <v>24</v>
      </c>
      <c r="F29" s="178" t="e">
        <f t="shared" ca="1" si="5"/>
        <v>#NAME?</v>
      </c>
      <c r="G29" s="7" t="e">
        <f t="shared" ca="1" si="6"/>
        <v>#NAME?</v>
      </c>
      <c r="H29" s="40" t="e">
        <f t="shared" ca="1" si="6"/>
        <v>#NAME?</v>
      </c>
      <c r="I29" s="178">
        <f t="shared" ca="1" si="7"/>
        <v>0</v>
      </c>
      <c r="J29" s="7" t="str">
        <f t="shared" ca="1" si="8"/>
        <v/>
      </c>
      <c r="K29" s="40" t="str">
        <f t="array" aca="1" ref="K29" ca="1">IF(I29&lt;2,"",VAR(IF($A$3:$A$38=$F29,IF($B$3:$B$38=$G29,IF($C$3:$C$38=$H29,$D$3:$D$38,"")))))</f>
        <v/>
      </c>
    </row>
    <row r="30" spans="1:11" x14ac:dyDescent="0.25">
      <c r="A30" s="178" t="s">
        <v>77</v>
      </c>
      <c r="B30" s="7" t="s">
        <v>304</v>
      </c>
      <c r="C30" s="7" t="s">
        <v>509</v>
      </c>
      <c r="D30" s="40">
        <v>23</v>
      </c>
      <c r="F30" s="178" t="e">
        <f t="shared" ca="1" si="5"/>
        <v>#NAME?</v>
      </c>
      <c r="G30" s="7" t="e">
        <f t="shared" ca="1" si="6"/>
        <v>#NAME?</v>
      </c>
      <c r="H30" s="40" t="e">
        <f t="shared" ca="1" si="6"/>
        <v>#NAME?</v>
      </c>
      <c r="I30" s="178">
        <f t="shared" ca="1" si="7"/>
        <v>0</v>
      </c>
      <c r="J30" s="7" t="str">
        <f t="shared" ca="1" si="8"/>
        <v/>
      </c>
      <c r="K30" s="40" t="str">
        <f t="array" aca="1" ref="K30" ca="1">IF(I30&lt;2,"",VAR(IF($A$3:$A$38=$F30,IF($B$3:$B$38=$G30,IF($C$3:$C$38=$H30,$D$3:$D$38,"")))))</f>
        <v/>
      </c>
    </row>
    <row r="31" spans="1:11" x14ac:dyDescent="0.25">
      <c r="A31" s="178" t="s">
        <v>77</v>
      </c>
      <c r="B31" s="7" t="s">
        <v>304</v>
      </c>
      <c r="C31" s="7" t="s">
        <v>509</v>
      </c>
      <c r="D31" s="40">
        <v>28</v>
      </c>
      <c r="F31" s="178" t="e">
        <f t="shared" ca="1" si="5"/>
        <v>#NAME?</v>
      </c>
      <c r="G31" s="7" t="e">
        <f t="shared" ca="1" si="6"/>
        <v>#NAME?</v>
      </c>
      <c r="H31" s="40" t="e">
        <f t="shared" ca="1" si="6"/>
        <v>#NAME?</v>
      </c>
      <c r="I31" s="178">
        <f t="shared" ca="1" si="7"/>
        <v>0</v>
      </c>
      <c r="J31" s="7" t="str">
        <f t="shared" ca="1" si="8"/>
        <v/>
      </c>
      <c r="K31" s="40" t="str">
        <f t="array" aca="1" ref="K31" ca="1">IF(I31&lt;2,"",VAR(IF($A$3:$A$38=$F31,IF($B$3:$B$38=$G31,IF($C$3:$C$38=$H31,$D$3:$D$38,"")))))</f>
        <v/>
      </c>
    </row>
    <row r="32" spans="1:11" x14ac:dyDescent="0.25">
      <c r="A32" s="178" t="s">
        <v>77</v>
      </c>
      <c r="B32" s="7" t="s">
        <v>304</v>
      </c>
      <c r="C32" s="7" t="s">
        <v>509</v>
      </c>
      <c r="D32" s="40">
        <v>26</v>
      </c>
      <c r="F32" s="178" t="e">
        <f t="shared" ca="1" si="5"/>
        <v>#NAME?</v>
      </c>
      <c r="G32" s="7" t="e">
        <f t="shared" ca="1" si="6"/>
        <v>#NAME?</v>
      </c>
      <c r="H32" s="40" t="e">
        <f t="shared" ca="1" si="6"/>
        <v>#NAME?</v>
      </c>
      <c r="I32" s="178">
        <f t="shared" ca="1" si="7"/>
        <v>0</v>
      </c>
      <c r="J32" s="7" t="str">
        <f t="shared" ca="1" si="8"/>
        <v/>
      </c>
      <c r="K32" s="40" t="str">
        <f t="array" aca="1" ref="K32" ca="1">IF(I32&lt;2,"",VAR(IF($A$3:$A$38=$F32,IF($B$3:$B$38=$G32,IF($C$3:$C$38=$H32,$D$3:$D$38,"")))))</f>
        <v/>
      </c>
    </row>
    <row r="33" spans="1:11" x14ac:dyDescent="0.25">
      <c r="A33" s="178" t="s">
        <v>72</v>
      </c>
      <c r="B33" s="7" t="s">
        <v>303</v>
      </c>
      <c r="C33" s="7" t="s">
        <v>509</v>
      </c>
      <c r="D33" s="40">
        <v>18</v>
      </c>
      <c r="F33" s="178" t="e">
        <f t="shared" ref="F33:F38" ca="1" si="9">$F$5</f>
        <v>#NAME?</v>
      </c>
      <c r="G33" s="7" t="e">
        <f t="shared" ca="1" si="6"/>
        <v>#NAME?</v>
      </c>
      <c r="H33" s="40" t="e">
        <f t="shared" ca="1" si="6"/>
        <v>#NAME?</v>
      </c>
      <c r="I33" s="178">
        <f t="shared" ca="1" si="7"/>
        <v>0</v>
      </c>
      <c r="J33" s="7" t="str">
        <f t="shared" ca="1" si="8"/>
        <v/>
      </c>
      <c r="K33" s="40" t="str">
        <f t="array" aca="1" ref="K33" ca="1">IF(I33&lt;2,"",VAR(IF($A$3:$A$38=$F33,IF($B$3:$B$38=$G33,IF($C$3:$C$38=$H33,$D$3:$D$38,"")))))</f>
        <v/>
      </c>
    </row>
    <row r="34" spans="1:11" x14ac:dyDescent="0.25">
      <c r="A34" s="178" t="s">
        <v>72</v>
      </c>
      <c r="B34" s="7" t="s">
        <v>303</v>
      </c>
      <c r="C34" s="7" t="s">
        <v>509</v>
      </c>
      <c r="D34" s="40">
        <v>14</v>
      </c>
      <c r="F34" s="178" t="e">
        <f t="shared" ca="1" si="9"/>
        <v>#NAME?</v>
      </c>
      <c r="G34" s="7" t="e">
        <f t="shared" ca="1" si="6"/>
        <v>#NAME?</v>
      </c>
      <c r="H34" s="40" t="e">
        <f t="shared" ca="1" si="6"/>
        <v>#NAME?</v>
      </c>
      <c r="I34" s="178">
        <f t="shared" ca="1" si="7"/>
        <v>0</v>
      </c>
      <c r="J34" s="7" t="str">
        <f t="shared" ca="1" si="8"/>
        <v/>
      </c>
      <c r="K34" s="40" t="str">
        <f t="array" aca="1" ref="K34" ca="1">IF(I34&lt;2,"",VAR(IF($A$3:$A$38=$F34,IF($B$3:$B$38=$G34,IF($C$3:$C$38=$H34,$D$3:$D$38,"")))))</f>
        <v/>
      </c>
    </row>
    <row r="35" spans="1:11" x14ac:dyDescent="0.25">
      <c r="A35" s="178" t="s">
        <v>72</v>
      </c>
      <c r="B35" s="7" t="s">
        <v>303</v>
      </c>
      <c r="C35" s="7" t="s">
        <v>509</v>
      </c>
      <c r="D35" s="40">
        <v>25</v>
      </c>
      <c r="F35" s="178" t="e">
        <f t="shared" ca="1" si="9"/>
        <v>#NAME?</v>
      </c>
      <c r="G35" s="7" t="e">
        <f t="shared" ca="1" si="6"/>
        <v>#NAME?</v>
      </c>
      <c r="H35" s="40" t="e">
        <f t="shared" ca="1" si="6"/>
        <v>#NAME?</v>
      </c>
      <c r="I35" s="178">
        <f t="shared" ca="1" si="7"/>
        <v>0</v>
      </c>
      <c r="J35" s="7" t="str">
        <f t="shared" ca="1" si="8"/>
        <v/>
      </c>
      <c r="K35" s="40" t="str">
        <f t="array" aca="1" ref="K35" ca="1">IF(I35&lt;2,"",VAR(IF($A$3:$A$38=$F35,IF($B$3:$B$38=$G35,IF($C$3:$C$38=$H35,$D$3:$D$38,"")))))</f>
        <v/>
      </c>
    </row>
    <row r="36" spans="1:11" x14ac:dyDescent="0.25">
      <c r="A36" s="178" t="s">
        <v>72</v>
      </c>
      <c r="B36" s="7" t="s">
        <v>304</v>
      </c>
      <c r="C36" s="7" t="s">
        <v>509</v>
      </c>
      <c r="D36" s="40">
        <v>16</v>
      </c>
      <c r="F36" s="178" t="e">
        <f t="shared" ca="1" si="9"/>
        <v>#NAME?</v>
      </c>
      <c r="G36" s="7" t="e">
        <f t="shared" ca="1" si="6"/>
        <v>#NAME?</v>
      </c>
      <c r="H36" s="40" t="e">
        <f t="shared" ca="1" si="6"/>
        <v>#NAME?</v>
      </c>
      <c r="I36" s="178">
        <f t="shared" ca="1" si="7"/>
        <v>0</v>
      </c>
      <c r="J36" s="7" t="str">
        <f t="shared" ca="1" si="8"/>
        <v/>
      </c>
      <c r="K36" s="40" t="str">
        <f t="array" aca="1" ref="K36" ca="1">IF(I36&lt;2,"",VAR(IF($A$3:$A$38=$F36,IF($B$3:$B$38=$G36,IF($C$3:$C$38=$H36,$D$3:$D$38,"")))))</f>
        <v/>
      </c>
    </row>
    <row r="37" spans="1:11" x14ac:dyDescent="0.25">
      <c r="A37" s="178" t="s">
        <v>72</v>
      </c>
      <c r="B37" s="7" t="s">
        <v>304</v>
      </c>
      <c r="C37" s="7" t="s">
        <v>509</v>
      </c>
      <c r="D37" s="40">
        <v>11</v>
      </c>
      <c r="F37" s="178" t="e">
        <f t="shared" ca="1" si="9"/>
        <v>#NAME?</v>
      </c>
      <c r="G37" s="7" t="e">
        <f t="shared" ca="1" si="6"/>
        <v>#NAME?</v>
      </c>
      <c r="H37" s="40" t="e">
        <f t="shared" ca="1" si="6"/>
        <v>#NAME?</v>
      </c>
      <c r="I37" s="178">
        <f t="shared" ca="1" si="7"/>
        <v>0</v>
      </c>
      <c r="J37" s="7" t="str">
        <f t="shared" ca="1" si="8"/>
        <v/>
      </c>
      <c r="K37" s="40" t="str">
        <f t="array" aca="1" ref="K37" ca="1">IF(I37&lt;2,"",VAR(IF($A$3:$A$38=$F37,IF($B$3:$B$38=$G37,IF($C$3:$C$38=$H37,$D$3:$D$38,"")))))</f>
        <v/>
      </c>
    </row>
    <row r="38" spans="1:11" x14ac:dyDescent="0.25">
      <c r="A38" s="221" t="s">
        <v>72</v>
      </c>
      <c r="B38" s="222" t="s">
        <v>304</v>
      </c>
      <c r="C38" s="222" t="s">
        <v>509</v>
      </c>
      <c r="D38" s="223">
        <v>19</v>
      </c>
      <c r="F38" s="221" t="e">
        <f t="shared" ca="1" si="9"/>
        <v>#NAME?</v>
      </c>
      <c r="G38" s="222" t="e">
        <f t="shared" ca="1" si="6"/>
        <v>#NAME?</v>
      </c>
      <c r="H38" s="223" t="e">
        <f t="shared" ca="1" si="6"/>
        <v>#NAME?</v>
      </c>
      <c r="I38" s="221">
        <f t="shared" ca="1" si="7"/>
        <v>0</v>
      </c>
      <c r="J38" s="222" t="str">
        <f t="shared" ca="1" si="8"/>
        <v/>
      </c>
      <c r="K38" s="223" t="str">
        <f t="array" aca="1" ref="K38" ca="1">IF(I38&lt;2,"",VAR(IF($A$3:$A$38=$F38,IF($B$3:$B$38=$G38,IF($C$3:$C$38=$H38,$D$3:$D$38,"")))))</f>
        <v/>
      </c>
    </row>
    <row r="39" spans="1:11" x14ac:dyDescent="0.25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S39"/>
  <sheetViews>
    <sheetView workbookViewId="0"/>
  </sheetViews>
  <sheetFormatPr defaultRowHeight="15" x14ac:dyDescent="0.25"/>
  <cols>
    <col min="1" max="4" width="10.28515625" customWidth="1"/>
    <col min="5" max="5" width="1.42578125" customWidth="1"/>
  </cols>
  <sheetData>
    <row r="1" spans="1:19" ht="15.75" thickBot="1" x14ac:dyDescent="0.3">
      <c r="A1" s="1" t="s">
        <v>716</v>
      </c>
      <c r="F1" t="s">
        <v>24</v>
      </c>
      <c r="M1" t="s">
        <v>101</v>
      </c>
      <c r="Q1" s="394" t="s">
        <v>31</v>
      </c>
      <c r="R1" s="394">
        <v>0.05</v>
      </c>
    </row>
    <row r="2" spans="1:19" ht="15.75" thickTop="1" x14ac:dyDescent="0.25">
      <c r="M2" s="251"/>
      <c r="N2" s="251" t="s">
        <v>88</v>
      </c>
      <c r="O2" s="251" t="s">
        <v>51</v>
      </c>
      <c r="P2" s="251" t="s">
        <v>92</v>
      </c>
      <c r="Q2" s="251" t="s">
        <v>82</v>
      </c>
      <c r="R2" s="251" t="s">
        <v>56</v>
      </c>
      <c r="S2" s="251" t="s">
        <v>865</v>
      </c>
    </row>
    <row r="3" spans="1:19" x14ac:dyDescent="0.25">
      <c r="A3" s="392" t="s">
        <v>77</v>
      </c>
      <c r="B3" s="252" t="s">
        <v>303</v>
      </c>
      <c r="C3" s="252" t="s">
        <v>307</v>
      </c>
      <c r="D3" s="377">
        <v>23</v>
      </c>
      <c r="I3" s="12" t="s">
        <v>19</v>
      </c>
      <c r="J3" s="12" t="s">
        <v>7</v>
      </c>
      <c r="K3" s="12" t="s">
        <v>62</v>
      </c>
      <c r="M3" t="s">
        <v>86</v>
      </c>
      <c r="N3" t="e">
        <f ca="1">DEVSQ(J4:J5)*I4</f>
        <v>#NUM!</v>
      </c>
      <c r="O3">
        <f ca="1">COUNT(J4:J5)-1</f>
        <v>-1</v>
      </c>
      <c r="P3" t="e">
        <f ca="1">N3/O3</f>
        <v>#NUM!</v>
      </c>
      <c r="Q3" t="e">
        <f ca="1">P3/P6</f>
        <v>#NUM!</v>
      </c>
      <c r="R3" t="e">
        <f ca="1">FDIST(Q3,O3,O6)</f>
        <v>#NUM!</v>
      </c>
      <c r="S3" t="e">
        <f ca="1">N3/(N3+N6)</f>
        <v>#NUM!</v>
      </c>
    </row>
    <row r="4" spans="1:19" x14ac:dyDescent="0.25">
      <c r="A4" s="180" t="s">
        <v>77</v>
      </c>
      <c r="B4" s="7" t="s">
        <v>303</v>
      </c>
      <c r="C4" s="7" t="s">
        <v>308</v>
      </c>
      <c r="D4" s="181">
        <v>24</v>
      </c>
      <c r="F4" s="395" t="e">
        <f t="array" aca="1" ref="F4:F5" ca="1">SortUnique(A3:A14)</f>
        <v>#NAME?</v>
      </c>
      <c r="G4" s="373"/>
      <c r="H4" s="396"/>
      <c r="I4" s="395">
        <f ca="1">SUMIF($F$27:$F$38,F4,$I$27:$I$38)</f>
        <v>0</v>
      </c>
      <c r="J4" s="373" t="str">
        <f ca="1">IF(I4=0,"",AVERAGEIF($A$3:$A$14,$F4,$D$3:$D$14))</f>
        <v/>
      </c>
      <c r="K4" s="396" t="str">
        <f t="array" aca="1" ref="K4" ca="1">IF(I4&lt;2,"",VAR(IF($A$3:$A$14=$F4,$D$3:$D$14,"")))</f>
        <v/>
      </c>
      <c r="M4" t="s">
        <v>78</v>
      </c>
      <c r="N4" t="e">
        <f ca="1">DEVSQ(J6:J7)*I6</f>
        <v>#NUM!</v>
      </c>
      <c r="O4">
        <f ca="1">COUNT(J6:J7)-1</f>
        <v>-1</v>
      </c>
      <c r="P4" t="e">
        <f ca="1">N4/O4</f>
        <v>#NUM!</v>
      </c>
      <c r="Q4" t="e">
        <f ca="1">P4/P6</f>
        <v>#NUM!</v>
      </c>
      <c r="R4" t="e">
        <f ca="1">FDIST(Q4,O4,O6)</f>
        <v>#NUM!</v>
      </c>
      <c r="S4" t="e">
        <f ca="1">N4/(N4+N6)</f>
        <v>#NUM!</v>
      </c>
    </row>
    <row r="5" spans="1:19" x14ac:dyDescent="0.25">
      <c r="A5" s="180" t="s">
        <v>77</v>
      </c>
      <c r="B5" s="7" t="s">
        <v>303</v>
      </c>
      <c r="C5" s="7" t="s">
        <v>509</v>
      </c>
      <c r="D5" s="181">
        <v>42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IF(I5=0,"",AVERAGEIF($A$3:$A$14,$F5,$D$3:$D$14))</f>
        <v/>
      </c>
      <c r="K5" s="40" t="str">
        <f t="array" aca="1" ref="K5" ca="1">IF(I5&lt;2,"",VAR(IF($A$3:$A$14=$F5,$D$3:$D$14,"")))</f>
        <v/>
      </c>
      <c r="M5" t="s">
        <v>79</v>
      </c>
      <c r="N5" t="e">
        <f ca="1">DEVSQ(J8:J10)*I8</f>
        <v>#NUM!</v>
      </c>
      <c r="O5">
        <f ca="1">COUNT(J8:J10)-1</f>
        <v>-1</v>
      </c>
      <c r="P5" t="e">
        <f ca="1">N5/O5</f>
        <v>#NUM!</v>
      </c>
      <c r="Q5" t="e">
        <f ca="1">P5/P6</f>
        <v>#NUM!</v>
      </c>
      <c r="R5" t="e">
        <f ca="1">FDIST(Q5,O5,O6)</f>
        <v>#NUM!</v>
      </c>
      <c r="S5" s="540" t="e">
        <f ca="1">N5/(N5+N6)</f>
        <v>#NUM!</v>
      </c>
    </row>
    <row r="6" spans="1:19" x14ac:dyDescent="0.25">
      <c r="A6" s="180" t="s">
        <v>77</v>
      </c>
      <c r="B6" s="7" t="s">
        <v>304</v>
      </c>
      <c r="C6" s="7" t="s">
        <v>307</v>
      </c>
      <c r="D6" s="181">
        <v>16</v>
      </c>
      <c r="F6" s="178"/>
      <c r="G6" s="7" t="e">
        <f t="array" aca="1" ref="G6:G7" ca="1">SortUnique(B3:B14)</f>
        <v>#NAME?</v>
      </c>
      <c r="H6" s="40"/>
      <c r="I6" s="178">
        <f ca="1">SUMIF($G$27:$G$38,G6,$I$27:$I$38)</f>
        <v>0</v>
      </c>
      <c r="J6" s="7" t="str">
        <f ca="1">IF(I6=0,"",AVERAGEIF($B$3:$B$14,$G6,$D$3:$D$14))</f>
        <v/>
      </c>
      <c r="K6" s="40" t="str">
        <f t="array" aca="1" ref="K6" ca="1">IF(I6&lt;2,"",VAR(IF($B$3:$B$14=$G6,$D$3:$D$14,"")))</f>
        <v/>
      </c>
      <c r="M6" t="s">
        <v>249</v>
      </c>
      <c r="N6" t="e">
        <f ca="1">N7-N5-N4-N3</f>
        <v>#NUM!</v>
      </c>
      <c r="O6">
        <f ca="1">O7-O5-O4-O3</f>
        <v>2</v>
      </c>
      <c r="P6" t="e">
        <f ca="1">N6/O6</f>
        <v>#NUM!</v>
      </c>
    </row>
    <row r="7" spans="1:19" x14ac:dyDescent="0.25">
      <c r="A7" s="180" t="s">
        <v>77</v>
      </c>
      <c r="B7" s="7" t="s">
        <v>304</v>
      </c>
      <c r="C7" s="7" t="s">
        <v>308</v>
      </c>
      <c r="D7" s="181">
        <v>31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IF(I7=0,"",AVERAGEIF($B$3:$B$14,$G7,$D$3:$D$14))</f>
        <v/>
      </c>
      <c r="K7" s="40" t="str">
        <f t="array" aca="1" ref="K7" ca="1">IF(I7&lt;2,"",VAR(IF($B$3:$B$14=$G7,$D$3:$D$14,"")))</f>
        <v/>
      </c>
      <c r="M7" s="224" t="s">
        <v>1</v>
      </c>
      <c r="N7" s="224">
        <f ca="1">K39*O7</f>
        <v>-64.060606060606091</v>
      </c>
      <c r="O7" s="224">
        <f ca="1">I39-1</f>
        <v>-1</v>
      </c>
      <c r="P7" s="224">
        <f ca="1">N7/O7</f>
        <v>64.060606060606091</v>
      </c>
      <c r="Q7" s="224"/>
      <c r="R7" s="224"/>
      <c r="S7" s="224"/>
    </row>
    <row r="8" spans="1:19" x14ac:dyDescent="0.25">
      <c r="A8" s="180" t="s">
        <v>72</v>
      </c>
      <c r="B8" s="7" t="s">
        <v>303</v>
      </c>
      <c r="C8" s="7" t="s">
        <v>307</v>
      </c>
      <c r="D8" s="181">
        <v>19</v>
      </c>
      <c r="F8" s="178"/>
      <c r="G8" s="7"/>
      <c r="H8" s="40" t="e">
        <f t="array" aca="1" ref="H8:H10" ca="1">SortUnique(C3:C14)</f>
        <v>#NAME?</v>
      </c>
      <c r="I8" s="178">
        <f ca="1">SUMIF($H$27:$H$38,H8,$I$27:$I$38)</f>
        <v>0</v>
      </c>
      <c r="J8" s="7" t="str">
        <f ca="1">IF(I8=0,"",AVERAGEIF($C$3:$C$14,$H8,$D$3:$D$14))</f>
        <v/>
      </c>
      <c r="K8" s="40" t="str">
        <f t="array" aca="1" ref="K8" ca="1">IF(I8&lt;2,"",VAR(IF($C$3:$C$14=$H8,$D$3:$D$14,"")))</f>
        <v/>
      </c>
    </row>
    <row r="9" spans="1:19" ht="15.75" thickBot="1" x14ac:dyDescent="0.3">
      <c r="A9" s="180" t="s">
        <v>72</v>
      </c>
      <c r="B9" s="7" t="s">
        <v>303</v>
      </c>
      <c r="C9" s="7" t="s">
        <v>308</v>
      </c>
      <c r="D9" s="181">
        <v>29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IF(I9=0,"",AVERAGEIF($C$3:$C$14,$H9,$D$3:$D$14))</f>
        <v/>
      </c>
      <c r="K9" s="40" t="str">
        <f t="array" aca="1" ref="K9" ca="1">IF(I9&lt;2,"",VAR(IF($C$3:$C$14=$H9,$D$3:$D$14,"")))</f>
        <v/>
      </c>
      <c r="M9" t="s">
        <v>101</v>
      </c>
      <c r="Q9" s="394" t="s">
        <v>31</v>
      </c>
      <c r="R9" s="394">
        <v>0.05</v>
      </c>
    </row>
    <row r="10" spans="1:19" ht="15.75" thickTop="1" x14ac:dyDescent="0.25">
      <c r="A10" s="180" t="s">
        <v>72</v>
      </c>
      <c r="B10" s="7" t="s">
        <v>304</v>
      </c>
      <c r="C10" s="7" t="s">
        <v>307</v>
      </c>
      <c r="D10" s="181">
        <v>28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IF(I10=0,"",AVERAGEIF($C$3:$C$14,$H10,$D$3:$D$14))</f>
        <v/>
      </c>
      <c r="K10" s="223" t="str">
        <f t="array" aca="1" ref="K10" ca="1">IF(I10&lt;2,"",VAR(IF($C$3:$C$14=$H10,$D$3:$D$14,"")))</f>
        <v/>
      </c>
      <c r="M10" s="251"/>
      <c r="N10" s="251" t="s">
        <v>88</v>
      </c>
      <c r="O10" s="251" t="s">
        <v>51</v>
      </c>
      <c r="P10" s="251" t="s">
        <v>92</v>
      </c>
      <c r="Q10" s="251" t="s">
        <v>82</v>
      </c>
      <c r="R10" s="251" t="s">
        <v>56</v>
      </c>
      <c r="S10" s="251" t="s">
        <v>865</v>
      </c>
    </row>
    <row r="11" spans="1:19" x14ac:dyDescent="0.25">
      <c r="A11" s="180" t="s">
        <v>72</v>
      </c>
      <c r="B11" s="7" t="s">
        <v>304</v>
      </c>
      <c r="C11" s="7" t="s">
        <v>308</v>
      </c>
      <c r="D11" s="181">
        <v>35</v>
      </c>
      <c r="F11" s="395" t="e">
        <f ca="1">$F$4</f>
        <v>#NAME?</v>
      </c>
      <c r="G11" s="373" t="e">
        <f ca="1">$G6</f>
        <v>#NAME?</v>
      </c>
      <c r="H11" s="396"/>
      <c r="I11" s="395">
        <f ca="1">SUMIFS($I$27:$I$38,$F$27:$F$38,F11,$G$27:$G$38,G11)</f>
        <v>0</v>
      </c>
      <c r="J11" s="373" t="str">
        <f ca="1">IF(I11=0,"",AVERAGEIFS($D$3:$D$14,$A$3:$A$14,$F11,$B$3:$B$14,$G11))</f>
        <v/>
      </c>
      <c r="K11" s="396" t="str">
        <f t="array" aca="1" ref="K11" ca="1">IF(I11&lt;2,"",VAR(IF($A$3:$A$14=$F11,IF($B$3:$B$14=$G11,$D$3:$D$14,""))))</f>
        <v/>
      </c>
      <c r="M11" t="s">
        <v>86</v>
      </c>
      <c r="N11" t="e">
        <f ca="1">DEVSQ(J4:J5)*I4</f>
        <v>#NUM!</v>
      </c>
      <c r="O11">
        <f ca="1">COUNT(J4:J5)-1</f>
        <v>-1</v>
      </c>
      <c r="P11" t="e">
        <f t="shared" ref="P11:P18" ca="1" si="0">N11/O11</f>
        <v>#NUM!</v>
      </c>
      <c r="Q11" t="e">
        <f ca="1">P11/P17</f>
        <v>#NUM!</v>
      </c>
      <c r="R11" t="e">
        <f ca="1">FDIST(Q11,O11,O17)</f>
        <v>#NUM!</v>
      </c>
      <c r="S11" t="e">
        <f ca="1">N11/(N11+N18)</f>
        <v>#NUM!</v>
      </c>
    </row>
    <row r="12" spans="1:19" x14ac:dyDescent="0.25">
      <c r="A12" s="180" t="s">
        <v>77</v>
      </c>
      <c r="B12" s="7" t="s">
        <v>304</v>
      </c>
      <c r="C12" s="7" t="s">
        <v>509</v>
      </c>
      <c r="D12" s="181">
        <v>23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IF(I12=0,"",AVERAGEIFS($D$3:$D$14,$A$3:$A$14,$F12,$B$3:$B$14,$G12))</f>
        <v/>
      </c>
      <c r="K12" s="40" t="str">
        <f t="array" aca="1" ref="K12" ca="1">IF(I12&lt;2,"",VAR(IF($A$3:$A$14=$F12,IF($B$3:$B$14=$G12,$D$3:$D$14,""))))</f>
        <v/>
      </c>
      <c r="M12" t="s">
        <v>78</v>
      </c>
      <c r="N12" t="e">
        <f ca="1">DEVSQ(J6:J7)*I6</f>
        <v>#NUM!</v>
      </c>
      <c r="O12">
        <f ca="1">COUNT(J6:J7)-1</f>
        <v>-1</v>
      </c>
      <c r="P12" t="e">
        <f t="shared" ca="1" si="0"/>
        <v>#NUM!</v>
      </c>
      <c r="Q12" t="e">
        <f ca="1">P12/P17</f>
        <v>#NUM!</v>
      </c>
      <c r="R12" t="e">
        <f ca="1">FDIST(Q12,O12,O17)</f>
        <v>#NUM!</v>
      </c>
      <c r="S12" t="e">
        <f ca="1">N12/(N12+N18)</f>
        <v>#NUM!</v>
      </c>
    </row>
    <row r="13" spans="1:19" x14ac:dyDescent="0.25">
      <c r="A13" s="180" t="s">
        <v>72</v>
      </c>
      <c r="B13" s="7" t="s">
        <v>303</v>
      </c>
      <c r="C13" s="7" t="s">
        <v>509</v>
      </c>
      <c r="D13" s="181">
        <v>18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IF(I13=0,"",AVERAGEIFS($D$3:$D$14,$A$3:$A$14,$F13,$B$3:$B$14,$G13))</f>
        <v/>
      </c>
      <c r="K13" s="40" t="str">
        <f t="array" aca="1" ref="K13" ca="1">IF(I13&lt;2,"",VAR(IF($A$3:$A$14=$F13,IF($B$3:$B$14=$G13,$D$3:$D$14,""))))</f>
        <v/>
      </c>
      <c r="M13" t="s">
        <v>79</v>
      </c>
      <c r="N13" t="e">
        <f ca="1">DEVSQ(J8:J10)*I8</f>
        <v>#NUM!</v>
      </c>
      <c r="O13">
        <f ca="1">COUNT(J8:J10)-1</f>
        <v>-1</v>
      </c>
      <c r="P13" t="e">
        <f t="shared" ca="1" si="0"/>
        <v>#NUM!</v>
      </c>
      <c r="Q13" t="e">
        <f ca="1">P13/P17</f>
        <v>#NUM!</v>
      </c>
      <c r="R13" t="e">
        <f ca="1">FDIST(Q13,O13,O17)</f>
        <v>#NUM!</v>
      </c>
      <c r="S13" s="540" t="e">
        <f ca="1">N13/(N13+N18)</f>
        <v>#NUM!</v>
      </c>
    </row>
    <row r="14" spans="1:19" x14ac:dyDescent="0.25">
      <c r="A14" s="170" t="s">
        <v>72</v>
      </c>
      <c r="B14" s="393" t="s">
        <v>304</v>
      </c>
      <c r="C14" s="393" t="s">
        <v>509</v>
      </c>
      <c r="D14" s="174">
        <v>16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IF(I14=0,"",AVERAGEIFS($D$3:$D$14,$A$3:$A$14,$F14,$B$3:$B$14,$G14))</f>
        <v/>
      </c>
      <c r="K14" s="223" t="str">
        <f t="array" aca="1" ref="K14" ca="1">IF(I14&lt;2,"",VAR(IF($A$3:$A$14=$F14,IF($B$3:$B$14=$G14,$D$3:$D$14,""))))</f>
        <v/>
      </c>
      <c r="M14" t="s">
        <v>271</v>
      </c>
      <c r="N14" t="e">
        <f ca="1">DEVSQ(J11:J14)*I11-N11-N12</f>
        <v>#NUM!</v>
      </c>
      <c r="O14">
        <f ca="1">O12*O11</f>
        <v>1</v>
      </c>
      <c r="P14" t="e">
        <f t="shared" ca="1" si="0"/>
        <v>#NUM!</v>
      </c>
      <c r="Q14" t="e">
        <f ca="1">P14/P17</f>
        <v>#NUM!</v>
      </c>
      <c r="R14" t="e">
        <f ca="1">FDIST(Q14,O14,O17)</f>
        <v>#NUM!</v>
      </c>
      <c r="S14" t="e">
        <f ca="1">N14/(N14+N18)</f>
        <v>#NUM!</v>
      </c>
    </row>
    <row r="15" spans="1:19" x14ac:dyDescent="0.25">
      <c r="F15" s="395" t="e">
        <f ca="1">$F$4</f>
        <v>#NAME?</v>
      </c>
      <c r="G15" s="373"/>
      <c r="H15" s="396" t="e">
        <f ca="1">$H8</f>
        <v>#NAME?</v>
      </c>
      <c r="I15" s="395">
        <f t="shared" ref="I15:I20" ca="1" si="1">SUMIFS($I$27:$I$38,$F$27:$F$38,F15,$H$27:$H$38,H15)</f>
        <v>0</v>
      </c>
      <c r="J15" s="373" t="str">
        <f t="shared" ref="J15:J20" ca="1" si="2">IF(I15=0,"",AVERAGEIFS($D$3:$D$14,$A$3:$A$14,$F15,$C$3:$C$14,$H15))</f>
        <v/>
      </c>
      <c r="K15" s="396" t="str">
        <f t="array" aca="1" ref="K15" ca="1">IF(I15&lt;2,"",VAR(IF($A$3:$A$14=$F15,IF($C$3:$C$14=$H15,$D$3:$D$14,""))))</f>
        <v/>
      </c>
      <c r="M15" t="s">
        <v>273</v>
      </c>
      <c r="N15" t="e">
        <f ca="1">DEVSQ(J15:J20)*I15-N11-N13</f>
        <v>#NUM!</v>
      </c>
      <c r="O15">
        <f ca="1">O13*O11</f>
        <v>1</v>
      </c>
      <c r="P15" t="e">
        <f t="shared" ca="1" si="0"/>
        <v>#NUM!</v>
      </c>
      <c r="Q15" t="e">
        <f ca="1">P15/P17</f>
        <v>#NUM!</v>
      </c>
      <c r="R15" t="e">
        <f ca="1">FDIST(Q15,O15,O17)</f>
        <v>#NUM!</v>
      </c>
      <c r="S15" t="e">
        <f ca="1">N15/(N15+N18)</f>
        <v>#NUM!</v>
      </c>
    </row>
    <row r="16" spans="1:19" x14ac:dyDescent="0.25">
      <c r="F16" s="178" t="e">
        <f ca="1">$F$4</f>
        <v>#NAME?</v>
      </c>
      <c r="G16" s="7"/>
      <c r="H16" s="40" t="e">
        <f ca="1">$H9</f>
        <v>#NAME?</v>
      </c>
      <c r="I16" s="178">
        <f t="shared" ca="1" si="1"/>
        <v>0</v>
      </c>
      <c r="J16" s="7" t="str">
        <f t="shared" ca="1" si="2"/>
        <v/>
      </c>
      <c r="K16" s="40" t="str">
        <f t="array" aca="1" ref="K16" ca="1">IF(I16&lt;2,"",VAR(IF($A$3:$A$14=$F16,IF($C$3:$C$14=$H16,$D$3:$D$14,""))))</f>
        <v/>
      </c>
      <c r="M16" t="s">
        <v>275</v>
      </c>
      <c r="N16" t="e">
        <f ca="1">DEVSQ(J21:J26)*I21-N12-N13</f>
        <v>#NUM!</v>
      </c>
      <c r="O16">
        <f ca="1">O13*O12</f>
        <v>1</v>
      </c>
      <c r="P16" t="e">
        <f t="shared" ca="1" si="0"/>
        <v>#NUM!</v>
      </c>
      <c r="Q16" t="e">
        <f ca="1">P16/P17</f>
        <v>#NUM!</v>
      </c>
      <c r="R16" t="e">
        <f ca="1">FDIST(Q16,O16,O17)</f>
        <v>#NUM!</v>
      </c>
      <c r="S16" t="e">
        <f ca="1">N16/(N16+N18)</f>
        <v>#NUM!</v>
      </c>
    </row>
    <row r="17" spans="6:19" x14ac:dyDescent="0.25">
      <c r="F17" s="178" t="e">
        <f ca="1">$F$4</f>
        <v>#NAME?</v>
      </c>
      <c r="G17" s="7"/>
      <c r="H17" s="40" t="e">
        <f ca="1">$H10</f>
        <v>#NAME?</v>
      </c>
      <c r="I17" s="178">
        <f t="shared" ca="1" si="1"/>
        <v>0</v>
      </c>
      <c r="J17" s="7" t="str">
        <f t="shared" ca="1" si="2"/>
        <v/>
      </c>
      <c r="K17" s="40" t="str">
        <f t="array" aca="1" ref="K17" ca="1">IF(I17&lt;2,"",VAR(IF($A$3:$A$14=$F17,IF($C$3:$C$14=$H17,$D$3:$D$14,""))))</f>
        <v/>
      </c>
      <c r="M17" t="s">
        <v>249</v>
      </c>
      <c r="N17" t="e">
        <f ca="1">N18-N16-N15-N14-N13-N12-N11</f>
        <v>#NUM!</v>
      </c>
      <c r="O17">
        <f ca="1">O18-O16-O15-O14-O13-O12-O11</f>
        <v>-1</v>
      </c>
      <c r="P17" t="e">
        <f t="shared" ca="1" si="0"/>
        <v>#NUM!</v>
      </c>
    </row>
    <row r="18" spans="6:19" x14ac:dyDescent="0.25">
      <c r="F18" s="178" t="e">
        <f ca="1">$F$5</f>
        <v>#NAME?</v>
      </c>
      <c r="G18" s="7"/>
      <c r="H18" s="40" t="e">
        <f ca="1">$H8</f>
        <v>#NAME?</v>
      </c>
      <c r="I18" s="178">
        <f t="shared" ca="1" si="1"/>
        <v>0</v>
      </c>
      <c r="J18" s="7" t="str">
        <f t="shared" ca="1" si="2"/>
        <v/>
      </c>
      <c r="K18" s="40" t="str">
        <f t="array" aca="1" ref="K18" ca="1">IF(I18&lt;2,"",VAR(IF($A$3:$A$14=$F18,IF($C$3:$C$14=$H18,$D$3:$D$14,""))))</f>
        <v/>
      </c>
      <c r="M18" s="224" t="s">
        <v>1</v>
      </c>
      <c r="N18" s="224">
        <f ca="1">K39*O18</f>
        <v>-64.060606060606091</v>
      </c>
      <c r="O18" s="224">
        <f ca="1">I39-1</f>
        <v>-1</v>
      </c>
      <c r="P18" s="224">
        <f t="shared" ca="1" si="0"/>
        <v>64.060606060606091</v>
      </c>
      <c r="Q18" s="224"/>
      <c r="R18" s="224"/>
      <c r="S18" s="224"/>
    </row>
    <row r="19" spans="6:19" x14ac:dyDescent="0.25">
      <c r="F19" s="178" t="e">
        <f ca="1">$F$5</f>
        <v>#NAME?</v>
      </c>
      <c r="G19" s="7"/>
      <c r="H19" s="40" t="e">
        <f ca="1">$H9</f>
        <v>#NAME?</v>
      </c>
      <c r="I19" s="178">
        <f t="shared" ca="1" si="1"/>
        <v>0</v>
      </c>
      <c r="J19" s="7" t="str">
        <f t="shared" ca="1" si="2"/>
        <v/>
      </c>
      <c r="K19" s="40" t="str">
        <f t="array" aca="1" ref="K19" ca="1">IF(I19&lt;2,"",VAR(IF($A$3:$A$14=$F19,IF($C$3:$C$14=$H19,$D$3:$D$14,""))))</f>
        <v/>
      </c>
    </row>
    <row r="20" spans="6:19" x14ac:dyDescent="0.25">
      <c r="F20" s="221" t="e">
        <f ca="1">$F$5</f>
        <v>#NAME?</v>
      </c>
      <c r="G20" s="222"/>
      <c r="H20" s="223" t="e">
        <f ca="1">$H10</f>
        <v>#NAME?</v>
      </c>
      <c r="I20" s="221">
        <f t="shared" ca="1" si="1"/>
        <v>0</v>
      </c>
      <c r="J20" s="222" t="str">
        <f t="shared" ca="1" si="2"/>
        <v/>
      </c>
      <c r="K20" s="223" t="str">
        <f t="array" aca="1" ref="K20" ca="1">IF(I20&lt;2,"",VAR(IF($A$3:$A$14=$F20,IF($C$3:$C$14=$H20,$D$3:$D$14,""))))</f>
        <v/>
      </c>
    </row>
    <row r="21" spans="6:19" x14ac:dyDescent="0.25">
      <c r="F21" s="395"/>
      <c r="G21" s="373" t="e">
        <f ca="1">$G$6</f>
        <v>#NAME?</v>
      </c>
      <c r="H21" s="396" t="e">
        <f ca="1">$H8</f>
        <v>#NAME?</v>
      </c>
      <c r="I21" s="395">
        <f t="shared" ref="I21:I26" ca="1" si="3">SUMIFS($I$27:$I$38,$G$27:$G$38,G21,$H$27:$H$38,H21)</f>
        <v>0</v>
      </c>
      <c r="J21" s="373" t="str">
        <f t="shared" ref="J21:J26" ca="1" si="4">IF(I21=0,"",AVERAGEIFS($D$3:$D$14,$B$3:$B$14,$G21,$C$3:$C$14,$H21))</f>
        <v/>
      </c>
      <c r="K21" s="396" t="str">
        <f t="array" aca="1" ref="K21" ca="1">IF(I21&lt;2,"",VAR(IF($B$3:$B$14=$G21,IF($C$3:$C$14=$H21,$D$3:$D$14,""))))</f>
        <v/>
      </c>
    </row>
    <row r="22" spans="6:19" x14ac:dyDescent="0.25">
      <c r="F22" s="178"/>
      <c r="G22" s="7" t="e">
        <f ca="1">$G$6</f>
        <v>#NAME?</v>
      </c>
      <c r="H22" s="40" t="e">
        <f ca="1">$H9</f>
        <v>#NAME?</v>
      </c>
      <c r="I22" s="178">
        <f t="shared" ca="1" si="3"/>
        <v>0</v>
      </c>
      <c r="J22" s="7" t="str">
        <f t="shared" ca="1" si="4"/>
        <v/>
      </c>
      <c r="K22" s="40" t="str">
        <f t="array" aca="1" ref="K22" ca="1">IF(I22&lt;2,"",VAR(IF($B$3:$B$14=$G22,IF($C$3:$C$14=$H22,$D$3:$D$14,""))))</f>
        <v/>
      </c>
    </row>
    <row r="23" spans="6:19" x14ac:dyDescent="0.25">
      <c r="F23" s="178"/>
      <c r="G23" s="7" t="e">
        <f ca="1">$G$6</f>
        <v>#NAME?</v>
      </c>
      <c r="H23" s="40" t="e">
        <f ca="1">$H10</f>
        <v>#NAME?</v>
      </c>
      <c r="I23" s="178">
        <f t="shared" ca="1" si="3"/>
        <v>0</v>
      </c>
      <c r="J23" s="7" t="str">
        <f t="shared" ca="1" si="4"/>
        <v/>
      </c>
      <c r="K23" s="40" t="str">
        <f t="array" aca="1" ref="K23" ca="1">IF(I23&lt;2,"",VAR(IF($B$3:$B$14=$G23,IF($C$3:$C$14=$H23,$D$3:$D$14,""))))</f>
        <v/>
      </c>
    </row>
    <row r="24" spans="6:19" x14ac:dyDescent="0.25">
      <c r="F24" s="178"/>
      <c r="G24" s="7" t="e">
        <f ca="1">$G$7</f>
        <v>#NAME?</v>
      </c>
      <c r="H24" s="40" t="e">
        <f ca="1">$H8</f>
        <v>#NAME?</v>
      </c>
      <c r="I24" s="178">
        <f t="shared" ca="1" si="3"/>
        <v>0</v>
      </c>
      <c r="J24" s="7" t="str">
        <f t="shared" ca="1" si="4"/>
        <v/>
      </c>
      <c r="K24" s="40" t="str">
        <f t="array" aca="1" ref="K24" ca="1">IF(I24&lt;2,"",VAR(IF($B$3:$B$14=$G24,IF($C$3:$C$14=$H24,$D$3:$D$14,""))))</f>
        <v/>
      </c>
    </row>
    <row r="25" spans="6:19" x14ac:dyDescent="0.25">
      <c r="F25" s="178"/>
      <c r="G25" s="7" t="e">
        <f ca="1">$G$7</f>
        <v>#NAME?</v>
      </c>
      <c r="H25" s="40" t="e">
        <f ca="1">$H9</f>
        <v>#NAME?</v>
      </c>
      <c r="I25" s="178">
        <f t="shared" ca="1" si="3"/>
        <v>0</v>
      </c>
      <c r="J25" s="7" t="str">
        <f t="shared" ca="1" si="4"/>
        <v/>
      </c>
      <c r="K25" s="40" t="str">
        <f t="array" aca="1" ref="K25" ca="1">IF(I25&lt;2,"",VAR(IF($B$3:$B$14=$G25,IF($C$3:$C$14=$H25,$D$3:$D$14,""))))</f>
        <v/>
      </c>
    </row>
    <row r="26" spans="6:19" x14ac:dyDescent="0.25">
      <c r="F26" s="221"/>
      <c r="G26" s="222" t="e">
        <f ca="1">$G$7</f>
        <v>#NAME?</v>
      </c>
      <c r="H26" s="223" t="e">
        <f ca="1">$H10</f>
        <v>#NAME?</v>
      </c>
      <c r="I26" s="221">
        <f t="shared" ca="1" si="3"/>
        <v>0</v>
      </c>
      <c r="J26" s="222" t="str">
        <f t="shared" ca="1" si="4"/>
        <v/>
      </c>
      <c r="K26" s="223" t="str">
        <f t="array" aca="1" ref="K26" ca="1">IF(I26&lt;2,"",VAR(IF($B$3:$B$14=$G26,IF($C$3:$C$14=$H26,$D$3:$D$14,""))))</f>
        <v/>
      </c>
    </row>
    <row r="27" spans="6:19" x14ac:dyDescent="0.25">
      <c r="F27" s="395" t="e">
        <f t="shared" ref="F27:F32" ca="1" si="5">$F$4</f>
        <v>#NAME?</v>
      </c>
      <c r="G27" s="373" t="e">
        <f t="shared" ref="G27:H38" ca="1" si="6">G21</f>
        <v>#NAME?</v>
      </c>
      <c r="H27" s="396" t="e">
        <f t="shared" ca="1" si="6"/>
        <v>#NAME?</v>
      </c>
      <c r="I27" s="395">
        <f ca="1">COUNTIFS($A$3:$A$14,$F27,$B$3:$B$14,$G27,$C$3:$C$14,$H27)</f>
        <v>0</v>
      </c>
      <c r="J27" s="373" t="str">
        <f ca="1">IF(I27=0,"",AVERAGEIFS($D$3:$D$14,$A$3:$A$14,$F27,$B$3:$B$14,$G27,$C$3:$C$14,$H27))</f>
        <v/>
      </c>
      <c r="K27" s="396" t="str">
        <f t="array" aca="1" ref="K27" ca="1">IF(I27&lt;2,"",VAR(IF($A$3:$A$14=$F27,IF($B$3:$B$14=$G27,IF($C$3:$C$14=$H27,$D$3:$D$14,"")))))</f>
        <v/>
      </c>
    </row>
    <row r="28" spans="6:19" x14ac:dyDescent="0.25">
      <c r="F28" s="178" t="e">
        <f t="shared" ca="1" si="5"/>
        <v>#NAME?</v>
      </c>
      <c r="G28" s="7" t="e">
        <f t="shared" ca="1" si="6"/>
        <v>#NAME?</v>
      </c>
      <c r="H28" s="40" t="e">
        <f t="shared" ca="1" si="6"/>
        <v>#NAME?</v>
      </c>
      <c r="I28" s="178">
        <f t="shared" ref="I28:I38" ca="1" si="7">COUNTIFS($A$3:$A$14,$F28,$B$3:$B$14,$G28,$C$3:$C$14,$H28)</f>
        <v>0</v>
      </c>
      <c r="J28" s="7" t="str">
        <f t="shared" ref="J28:J38" ca="1" si="8">IF(I28=0,"",AVERAGEIFS($D$3:$D$14,$A$3:$A$14,$F28,$B$3:$B$14,$G28,$C$3:$C$14,$H28))</f>
        <v/>
      </c>
      <c r="K28" s="40" t="str">
        <f t="array" aca="1" ref="K28" ca="1">IF(I28&lt;2,"",VAR(IF($A$3:$A$14=$F28,IF($B$3:$B$14=$G28,IF($C$3:$C$14=$H28,$D$3:$D$14,"")))))</f>
        <v/>
      </c>
    </row>
    <row r="29" spans="6:19" x14ac:dyDescent="0.25">
      <c r="F29" s="178" t="e">
        <f t="shared" ca="1" si="5"/>
        <v>#NAME?</v>
      </c>
      <c r="G29" s="7" t="e">
        <f t="shared" ca="1" si="6"/>
        <v>#NAME?</v>
      </c>
      <c r="H29" s="40" t="e">
        <f t="shared" ca="1" si="6"/>
        <v>#NAME?</v>
      </c>
      <c r="I29" s="178">
        <f t="shared" ca="1" si="7"/>
        <v>0</v>
      </c>
      <c r="J29" s="7" t="str">
        <f t="shared" ca="1" si="8"/>
        <v/>
      </c>
      <c r="K29" s="40" t="str">
        <f t="array" aca="1" ref="K29" ca="1">IF(I29&lt;2,"",VAR(IF($A$3:$A$14=$F29,IF($B$3:$B$14=$G29,IF($C$3:$C$14=$H29,$D$3:$D$14,"")))))</f>
        <v/>
      </c>
    </row>
    <row r="30" spans="6:19" x14ac:dyDescent="0.25">
      <c r="F30" s="178" t="e">
        <f t="shared" ca="1" si="5"/>
        <v>#NAME?</v>
      </c>
      <c r="G30" s="7" t="e">
        <f t="shared" ca="1" si="6"/>
        <v>#NAME?</v>
      </c>
      <c r="H30" s="40" t="e">
        <f t="shared" ca="1" si="6"/>
        <v>#NAME?</v>
      </c>
      <c r="I30" s="178">
        <f t="shared" ca="1" si="7"/>
        <v>0</v>
      </c>
      <c r="J30" s="7" t="str">
        <f t="shared" ca="1" si="8"/>
        <v/>
      </c>
      <c r="K30" s="40" t="str">
        <f t="array" aca="1" ref="K30" ca="1">IF(I30&lt;2,"",VAR(IF($A$3:$A$14=$F30,IF($B$3:$B$14=$G30,IF($C$3:$C$14=$H30,$D$3:$D$14,"")))))</f>
        <v/>
      </c>
    </row>
    <row r="31" spans="6:19" x14ac:dyDescent="0.25">
      <c r="F31" s="178" t="e">
        <f t="shared" ca="1" si="5"/>
        <v>#NAME?</v>
      </c>
      <c r="G31" s="7" t="e">
        <f t="shared" ca="1" si="6"/>
        <v>#NAME?</v>
      </c>
      <c r="H31" s="40" t="e">
        <f t="shared" ca="1" si="6"/>
        <v>#NAME?</v>
      </c>
      <c r="I31" s="178">
        <f t="shared" ca="1" si="7"/>
        <v>0</v>
      </c>
      <c r="J31" s="7" t="str">
        <f t="shared" ca="1" si="8"/>
        <v/>
      </c>
      <c r="K31" s="40" t="str">
        <f t="array" aca="1" ref="K31" ca="1">IF(I31&lt;2,"",VAR(IF($A$3:$A$14=$F31,IF($B$3:$B$14=$G31,IF($C$3:$C$14=$H31,$D$3:$D$14,"")))))</f>
        <v/>
      </c>
    </row>
    <row r="32" spans="6:19" x14ac:dyDescent="0.25">
      <c r="F32" s="178" t="e">
        <f t="shared" ca="1" si="5"/>
        <v>#NAME?</v>
      </c>
      <c r="G32" s="7" t="e">
        <f t="shared" ca="1" si="6"/>
        <v>#NAME?</v>
      </c>
      <c r="H32" s="40" t="e">
        <f t="shared" ca="1" si="6"/>
        <v>#NAME?</v>
      </c>
      <c r="I32" s="178">
        <f t="shared" ca="1" si="7"/>
        <v>0</v>
      </c>
      <c r="J32" s="7" t="str">
        <f t="shared" ca="1" si="8"/>
        <v/>
      </c>
      <c r="K32" s="40" t="str">
        <f t="array" aca="1" ref="K32" ca="1">IF(I32&lt;2,"",VAR(IF($A$3:$A$14=$F32,IF($B$3:$B$14=$G32,IF($C$3:$C$14=$H32,$D$3:$D$14,"")))))</f>
        <v/>
      </c>
    </row>
    <row r="33" spans="6:11" x14ac:dyDescent="0.25">
      <c r="F33" s="178" t="e">
        <f t="shared" ref="F33:F38" ca="1" si="9">$F$5</f>
        <v>#NAME?</v>
      </c>
      <c r="G33" s="7" t="e">
        <f t="shared" ca="1" si="6"/>
        <v>#NAME?</v>
      </c>
      <c r="H33" s="40" t="e">
        <f t="shared" ca="1" si="6"/>
        <v>#NAME?</v>
      </c>
      <c r="I33" s="178">
        <f t="shared" ca="1" si="7"/>
        <v>0</v>
      </c>
      <c r="J33" s="7" t="str">
        <f t="shared" ca="1" si="8"/>
        <v/>
      </c>
      <c r="K33" s="40" t="str">
        <f t="array" aca="1" ref="K33" ca="1">IF(I33&lt;2,"",VAR(IF($A$3:$A$14=$F33,IF($B$3:$B$14=$G33,IF($C$3:$C$14=$H33,$D$3:$D$14,"")))))</f>
        <v/>
      </c>
    </row>
    <row r="34" spans="6:11" x14ac:dyDescent="0.25">
      <c r="F34" s="178" t="e">
        <f t="shared" ca="1" si="9"/>
        <v>#NAME?</v>
      </c>
      <c r="G34" s="7" t="e">
        <f t="shared" ca="1" si="6"/>
        <v>#NAME?</v>
      </c>
      <c r="H34" s="40" t="e">
        <f t="shared" ca="1" si="6"/>
        <v>#NAME?</v>
      </c>
      <c r="I34" s="178">
        <f t="shared" ca="1" si="7"/>
        <v>0</v>
      </c>
      <c r="J34" s="7" t="str">
        <f t="shared" ca="1" si="8"/>
        <v/>
      </c>
      <c r="K34" s="40" t="str">
        <f t="array" aca="1" ref="K34" ca="1">IF(I34&lt;2,"",VAR(IF($A$3:$A$14=$F34,IF($B$3:$B$14=$G34,IF($C$3:$C$14=$H34,$D$3:$D$14,"")))))</f>
        <v/>
      </c>
    </row>
    <row r="35" spans="6:11" x14ac:dyDescent="0.25">
      <c r="F35" s="178" t="e">
        <f t="shared" ca="1" si="9"/>
        <v>#NAME?</v>
      </c>
      <c r="G35" s="7" t="e">
        <f t="shared" ca="1" si="6"/>
        <v>#NAME?</v>
      </c>
      <c r="H35" s="40" t="e">
        <f t="shared" ca="1" si="6"/>
        <v>#NAME?</v>
      </c>
      <c r="I35" s="178">
        <f t="shared" ca="1" si="7"/>
        <v>0</v>
      </c>
      <c r="J35" s="7" t="str">
        <f t="shared" ca="1" si="8"/>
        <v/>
      </c>
      <c r="K35" s="40" t="str">
        <f t="array" aca="1" ref="K35" ca="1">IF(I35&lt;2,"",VAR(IF($A$3:$A$14=$F35,IF($B$3:$B$14=$G35,IF($C$3:$C$14=$H35,$D$3:$D$14,"")))))</f>
        <v/>
      </c>
    </row>
    <row r="36" spans="6:11" x14ac:dyDescent="0.25">
      <c r="F36" s="178" t="e">
        <f t="shared" ca="1" si="9"/>
        <v>#NAME?</v>
      </c>
      <c r="G36" s="7" t="e">
        <f t="shared" ca="1" si="6"/>
        <v>#NAME?</v>
      </c>
      <c r="H36" s="40" t="e">
        <f t="shared" ca="1" si="6"/>
        <v>#NAME?</v>
      </c>
      <c r="I36" s="178">
        <f t="shared" ca="1" si="7"/>
        <v>0</v>
      </c>
      <c r="J36" s="7" t="str">
        <f t="shared" ca="1" si="8"/>
        <v/>
      </c>
      <c r="K36" s="40" t="str">
        <f t="array" aca="1" ref="K36" ca="1">IF(I36&lt;2,"",VAR(IF($A$3:$A$14=$F36,IF($B$3:$B$14=$G36,IF($C$3:$C$14=$H36,$D$3:$D$14,"")))))</f>
        <v/>
      </c>
    </row>
    <row r="37" spans="6:11" x14ac:dyDescent="0.25">
      <c r="F37" s="178" t="e">
        <f t="shared" ca="1" si="9"/>
        <v>#NAME?</v>
      </c>
      <c r="G37" s="7" t="e">
        <f t="shared" ca="1" si="6"/>
        <v>#NAME?</v>
      </c>
      <c r="H37" s="40" t="e">
        <f t="shared" ca="1" si="6"/>
        <v>#NAME?</v>
      </c>
      <c r="I37" s="178">
        <f t="shared" ca="1" si="7"/>
        <v>0</v>
      </c>
      <c r="J37" s="7" t="str">
        <f t="shared" ca="1" si="8"/>
        <v/>
      </c>
      <c r="K37" s="40" t="str">
        <f t="array" aca="1" ref="K37" ca="1">IF(I37&lt;2,"",VAR(IF($A$3:$A$14=$F37,IF($B$3:$B$14=$G37,IF($C$3:$C$14=$H37,$D$3:$D$14,"")))))</f>
        <v/>
      </c>
    </row>
    <row r="38" spans="6:11" x14ac:dyDescent="0.25">
      <c r="F38" s="221" t="e">
        <f t="shared" ca="1" si="9"/>
        <v>#NAME?</v>
      </c>
      <c r="G38" s="222" t="e">
        <f t="shared" ca="1" si="6"/>
        <v>#NAME?</v>
      </c>
      <c r="H38" s="223" t="e">
        <f t="shared" ca="1" si="6"/>
        <v>#NAME?</v>
      </c>
      <c r="I38" s="221">
        <f t="shared" ca="1" si="7"/>
        <v>0</v>
      </c>
      <c r="J38" s="222" t="str">
        <f t="shared" ca="1" si="8"/>
        <v/>
      </c>
      <c r="K38" s="223" t="str">
        <f t="array" aca="1" ref="K38" ca="1">IF(I38&lt;2,"",VAR(IF($A$3:$A$14=$F38,IF($B$3:$B$14=$G38,IF($C$3:$C$14=$H38,$D$3:$D$14,"")))))</f>
        <v/>
      </c>
    </row>
    <row r="39" spans="6:11" x14ac:dyDescent="0.25">
      <c r="I39">
        <f ca="1">SUM(I27:I38)</f>
        <v>0</v>
      </c>
      <c r="J39">
        <f>AVERAGE(D3:D14)</f>
        <v>25.333333333333332</v>
      </c>
      <c r="K39">
        <f>VAR(D3:D14)</f>
        <v>64.060606060606091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AD47"/>
  <sheetViews>
    <sheetView workbookViewId="0"/>
  </sheetViews>
  <sheetFormatPr defaultRowHeight="15" x14ac:dyDescent="0.25"/>
  <cols>
    <col min="5" max="5" width="2.7109375" customWidth="1"/>
    <col min="9" max="9" width="6.5703125" customWidth="1"/>
    <col min="12" max="12" width="4.42578125" customWidth="1"/>
    <col min="15" max="15" width="4.85546875" customWidth="1"/>
  </cols>
  <sheetData>
    <row r="1" spans="1:30" ht="15.75" thickBot="1" x14ac:dyDescent="0.3">
      <c r="A1" s="1" t="s">
        <v>519</v>
      </c>
      <c r="F1" t="s">
        <v>24</v>
      </c>
      <c r="M1" t="s">
        <v>506</v>
      </c>
      <c r="U1" t="s">
        <v>178</v>
      </c>
    </row>
    <row r="2" spans="1:30" ht="15.75" thickTop="1" x14ac:dyDescent="0.25">
      <c r="U2" s="251" t="s">
        <v>726</v>
      </c>
      <c r="V2" s="251" t="s">
        <v>727</v>
      </c>
      <c r="W2" s="251" t="s">
        <v>728</v>
      </c>
      <c r="X2" s="251" t="s">
        <v>37</v>
      </c>
      <c r="Y2" s="251" t="s">
        <v>4</v>
      </c>
      <c r="Z2" s="251" t="s">
        <v>87</v>
      </c>
    </row>
    <row r="3" spans="1:30" ht="15.75" thickBot="1" x14ac:dyDescent="0.3">
      <c r="A3" s="380" t="s">
        <v>77</v>
      </c>
      <c r="B3" s="381" t="s">
        <v>303</v>
      </c>
      <c r="C3" s="381" t="s">
        <v>307</v>
      </c>
      <c r="D3" s="382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00" t="s">
        <v>31</v>
      </c>
      <c r="R3" s="400">
        <v>0.05</v>
      </c>
      <c r="U3" s="385" t="e">
        <f t="shared" ref="U3:U8" ca="1" si="0">IF(F15="","",F15)</f>
        <v>#NAME?</v>
      </c>
      <c r="V3" s="385" t="str">
        <f t="shared" ref="V3:W8" si="1">IF(G15="","",G15)</f>
        <v/>
      </c>
      <c r="W3" s="385" t="e">
        <f t="shared" ca="1" si="1"/>
        <v>#NAME?</v>
      </c>
      <c r="X3" s="386">
        <v>1</v>
      </c>
      <c r="Y3" s="385" t="str">
        <f t="shared" ref="Y3:Y8" ca="1" si="2">J15</f>
        <v/>
      </c>
      <c r="Z3" s="385">
        <f t="shared" ref="Z3:Z8" ca="1" si="3">I15</f>
        <v>0</v>
      </c>
    </row>
    <row r="4" spans="1:30" ht="15.75" thickTop="1" x14ac:dyDescent="0.25">
      <c r="A4" s="178" t="s">
        <v>77</v>
      </c>
      <c r="B4" s="7" t="s">
        <v>303</v>
      </c>
      <c r="C4" s="7" t="s">
        <v>307</v>
      </c>
      <c r="D4" s="40">
        <v>18</v>
      </c>
      <c r="F4" s="380" t="e">
        <f t="array" aca="1" ref="F4:F5" ca="1">SortUnique(A3:A38)</f>
        <v>#NAME?</v>
      </c>
      <c r="G4" s="381"/>
      <c r="H4" s="382"/>
      <c r="I4" s="380">
        <f ca="1">SUMIF($F$27:$F$38,F4,$I$27:$I$38)</f>
        <v>0</v>
      </c>
      <c r="J4" s="381" t="str">
        <f ca="1">IF(I4=0,"",AVERAGEIF($A$3:$A$38,$F4,$D$3:$D$38))</f>
        <v/>
      </c>
      <c r="K4" s="382" t="str">
        <f t="array" aca="1" ref="K4" ca="1">IF(I4&lt;2,"",VAR(IF($A$3:$A$38=$F4,$D$3:$D$38,"")))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865</v>
      </c>
      <c r="U4" s="7" t="e">
        <f t="shared" ca="1" si="0"/>
        <v>#NAME?</v>
      </c>
      <c r="V4" s="7" t="str">
        <f t="shared" si="1"/>
        <v/>
      </c>
      <c r="W4" s="7" t="e">
        <f t="shared" ca="1" si="1"/>
        <v>#NAME?</v>
      </c>
      <c r="X4" s="307">
        <v>-0.5</v>
      </c>
      <c r="Y4" s="7" t="str">
        <f t="shared" ca="1" si="2"/>
        <v/>
      </c>
      <c r="Z4" s="7">
        <f t="shared" ca="1" si="3"/>
        <v>0</v>
      </c>
    </row>
    <row r="5" spans="1:30" x14ac:dyDescent="0.25">
      <c r="A5" s="178" t="s">
        <v>77</v>
      </c>
      <c r="B5" s="7" t="s">
        <v>303</v>
      </c>
      <c r="C5" s="7" t="s">
        <v>307</v>
      </c>
      <c r="D5" s="40">
        <v>26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IF(I5=0,"",AVERAGEIF($A$3:$A$38,$F5,$D$3:$D$38))</f>
        <v/>
      </c>
      <c r="K5" s="40" t="str">
        <f t="array" aca="1" ref="K5" ca="1">IF(I5&lt;2,"",VAR(IF($A$3:$A$38=$F5,$D$3:$D$38,"")))</f>
        <v/>
      </c>
      <c r="M5" t="s">
        <v>86</v>
      </c>
      <c r="N5" t="e">
        <f ca="1">DEVSQ(J4:J5)*I4</f>
        <v>#NUM!</v>
      </c>
      <c r="O5">
        <f ca="1">COUNT(J4:J5)-1</f>
        <v>-1</v>
      </c>
      <c r="P5" t="e">
        <f t="shared" ref="P5:P13" ca="1" si="4">N5/O5</f>
        <v>#NUM!</v>
      </c>
      <c r="Q5" t="e">
        <f ca="1">P5/P12</f>
        <v>#NUM!</v>
      </c>
      <c r="R5" t="e">
        <f ca="1">FDIST(Q5,O5,O12)</f>
        <v>#NUM!</v>
      </c>
      <c r="S5" t="e">
        <f ca="1">N5/(N5+N12)</f>
        <v>#NUM!</v>
      </c>
      <c r="U5" s="7" t="e">
        <f t="shared" ca="1" si="0"/>
        <v>#NAME?</v>
      </c>
      <c r="V5" s="7" t="str">
        <f t="shared" si="1"/>
        <v/>
      </c>
      <c r="W5" s="7" t="e">
        <f t="shared" ca="1" si="1"/>
        <v>#NAME?</v>
      </c>
      <c r="X5" s="307">
        <v>-0.5</v>
      </c>
      <c r="Y5" s="7" t="str">
        <f t="shared" ca="1" si="2"/>
        <v/>
      </c>
      <c r="Z5" s="7">
        <f t="shared" ca="1" si="3"/>
        <v>0</v>
      </c>
    </row>
    <row r="6" spans="1:30" x14ac:dyDescent="0.25">
      <c r="A6" s="178" t="s">
        <v>77</v>
      </c>
      <c r="B6" s="7" t="s">
        <v>303</v>
      </c>
      <c r="C6" s="7" t="s">
        <v>308</v>
      </c>
      <c r="D6" s="40">
        <v>24</v>
      </c>
      <c r="F6" s="178"/>
      <c r="G6" s="7" t="e">
        <f t="array" aca="1" ref="G6:G7" ca="1">SortUnique(B3:B38)</f>
        <v>#NAME?</v>
      </c>
      <c r="H6" s="40"/>
      <c r="I6" s="178">
        <f ca="1">SUMIF($G$27:$G$38,G6,$I$27:$I$38)</f>
        <v>0</v>
      </c>
      <c r="J6" s="7" t="str">
        <f ca="1">IF(I6=0,"",AVERAGEIF($B$3:$B$38,$G6,$D$3:$D$38))</f>
        <v/>
      </c>
      <c r="K6" s="40" t="str">
        <f t="array" aca="1" ref="K6" ca="1">IF(I6&lt;2,"",VAR(IF($B$3:$B$38=$G6,$D$3:$D$38,"")))</f>
        <v/>
      </c>
      <c r="M6" t="s">
        <v>78</v>
      </c>
      <c r="N6" t="e">
        <f ca="1">DEVSQ(J6:J7)*I6</f>
        <v>#NUM!</v>
      </c>
      <c r="O6">
        <f ca="1">COUNT(J6:J7)-1</f>
        <v>-1</v>
      </c>
      <c r="P6" t="e">
        <f t="shared" ca="1" si="4"/>
        <v>#NUM!</v>
      </c>
      <c r="Q6" t="e">
        <f ca="1">P6/P12</f>
        <v>#NUM!</v>
      </c>
      <c r="R6" t="e">
        <f ca="1">FDIST(Q6,O6,O12)</f>
        <v>#NUM!</v>
      </c>
      <c r="S6" t="e">
        <f ca="1">N6/(N6+N12)</f>
        <v>#NUM!</v>
      </c>
      <c r="U6" s="7" t="e">
        <f t="shared" ca="1" si="0"/>
        <v>#NAME?</v>
      </c>
      <c r="V6" s="7" t="str">
        <f t="shared" si="1"/>
        <v/>
      </c>
      <c r="W6" s="7" t="e">
        <f t="shared" ca="1" si="1"/>
        <v>#NAME?</v>
      </c>
      <c r="X6" s="307"/>
      <c r="Y6" s="7" t="str">
        <f t="shared" ca="1" si="2"/>
        <v/>
      </c>
      <c r="Z6" s="7">
        <f t="shared" ca="1" si="3"/>
        <v>0</v>
      </c>
    </row>
    <row r="7" spans="1:30" x14ac:dyDescent="0.25">
      <c r="A7" s="178" t="s">
        <v>77</v>
      </c>
      <c r="B7" s="7" t="s">
        <v>303</v>
      </c>
      <c r="C7" s="7" t="s">
        <v>308</v>
      </c>
      <c r="D7" s="40">
        <v>25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IF(I7=0,"",AVERAGEIF($B$3:$B$38,$G7,$D$3:$D$38))</f>
        <v/>
      </c>
      <c r="K7" s="40" t="str">
        <f t="array" aca="1" ref="K7" ca="1">IF(I7&lt;2,"",VAR(IF($B$3:$B$38=$G7,$D$3:$D$38,"")))</f>
        <v/>
      </c>
      <c r="M7" t="s">
        <v>79</v>
      </c>
      <c r="N7" t="e">
        <f ca="1">DEVSQ(J8:J10)*I8</f>
        <v>#NUM!</v>
      </c>
      <c r="O7">
        <f ca="1">COUNT(J8:J10)-1</f>
        <v>-1</v>
      </c>
      <c r="P7" t="e">
        <f t="shared" ca="1" si="4"/>
        <v>#NUM!</v>
      </c>
      <c r="Q7" t="e">
        <f ca="1">P7/P12</f>
        <v>#NUM!</v>
      </c>
      <c r="R7" t="e">
        <f ca="1">FDIST(Q7,O7,O12)</f>
        <v>#NUM!</v>
      </c>
      <c r="S7" s="540" t="e">
        <f ca="1">N7/(N7+N12)</f>
        <v>#NUM!</v>
      </c>
      <c r="U7" s="7" t="e">
        <f t="shared" ca="1" si="0"/>
        <v>#NAME?</v>
      </c>
      <c r="V7" s="7" t="str">
        <f t="shared" si="1"/>
        <v/>
      </c>
      <c r="W7" s="7" t="e">
        <f t="shared" ca="1" si="1"/>
        <v>#NAME?</v>
      </c>
      <c r="X7" s="307"/>
      <c r="Y7" s="7" t="str">
        <f t="shared" ca="1" si="2"/>
        <v/>
      </c>
      <c r="Z7" s="7">
        <f t="shared" ca="1" si="3"/>
        <v>0</v>
      </c>
    </row>
    <row r="8" spans="1:30" x14ac:dyDescent="0.25">
      <c r="A8" s="178" t="s">
        <v>77</v>
      </c>
      <c r="B8" s="7" t="s">
        <v>303</v>
      </c>
      <c r="C8" s="7" t="s">
        <v>308</v>
      </c>
      <c r="D8" s="40">
        <v>14</v>
      </c>
      <c r="F8" s="178"/>
      <c r="G8" s="7"/>
      <c r="H8" s="40" t="e">
        <f t="array" aca="1" ref="H8:H10" ca="1">SortUnique(C3:C38)</f>
        <v>#NAME?</v>
      </c>
      <c r="I8" s="178">
        <f ca="1">SUMIF($H$27:$H$38,H8,$I$27:$I$38)</f>
        <v>0</v>
      </c>
      <c r="J8" s="7" t="str">
        <f ca="1">IF(I8=0,"",AVERAGEIF($C$3:$C$38,$H8,$D$3:$D$38))</f>
        <v/>
      </c>
      <c r="K8" s="40" t="str">
        <f t="array" aca="1" ref="K8" ca="1">IF(I8&lt;2,"",VAR(IF($C$3:$C$38=$H8,$D$3:$D$38,"")))</f>
        <v/>
      </c>
      <c r="M8" t="s">
        <v>271</v>
      </c>
      <c r="N8" t="e">
        <f ca="1">DEVSQ(J11:J14)*I11-N5-N6</f>
        <v>#NUM!</v>
      </c>
      <c r="O8">
        <f ca="1">O6*O5</f>
        <v>1</v>
      </c>
      <c r="P8" t="e">
        <f t="shared" ca="1" si="4"/>
        <v>#NUM!</v>
      </c>
      <c r="Q8" t="e">
        <f ca="1">P8/P12</f>
        <v>#NUM!</v>
      </c>
      <c r="R8" t="e">
        <f ca="1">FDIST(Q8,O8,O12)</f>
        <v>#NUM!</v>
      </c>
      <c r="S8" t="e">
        <f ca="1">N8/(N8+N12)</f>
        <v>#NUM!</v>
      </c>
      <c r="U8" s="224" t="e">
        <f t="shared" ca="1" si="0"/>
        <v>#NAME?</v>
      </c>
      <c r="V8" s="224" t="str">
        <f t="shared" si="1"/>
        <v/>
      </c>
      <c r="W8" s="224" t="e">
        <f t="shared" ca="1" si="1"/>
        <v>#NAME?</v>
      </c>
      <c r="X8" s="308"/>
      <c r="Y8" s="224" t="str">
        <f t="shared" ca="1" si="2"/>
        <v/>
      </c>
      <c r="Z8" s="224">
        <f t="shared" ca="1" si="3"/>
        <v>0</v>
      </c>
    </row>
    <row r="9" spans="1:30" x14ac:dyDescent="0.25">
      <c r="A9" s="178" t="s">
        <v>77</v>
      </c>
      <c r="B9" s="7" t="s">
        <v>303</v>
      </c>
      <c r="C9" s="7" t="s">
        <v>509</v>
      </c>
      <c r="D9" s="40">
        <v>42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IF(I9=0,"",AVERAGEIF($C$3:$C$38,$H9,$D$3:$D$38))</f>
        <v/>
      </c>
      <c r="K9" s="40" t="str">
        <f t="array" aca="1" ref="K9" ca="1">IF(I9&lt;2,"",VAR(IF($C$3:$C$38=$H9,$D$3:$D$38,"")))</f>
        <v/>
      </c>
      <c r="M9" t="s">
        <v>273</v>
      </c>
      <c r="N9" t="e">
        <f ca="1">DEVSQ(J15:J20)*I15-N5-N7</f>
        <v>#NUM!</v>
      </c>
      <c r="O9">
        <f ca="1">O7*O5</f>
        <v>1</v>
      </c>
      <c r="P9" t="e">
        <f t="shared" ca="1" si="4"/>
        <v>#NUM!</v>
      </c>
      <c r="Q9" t="e">
        <f ca="1">P9/P12</f>
        <v>#NUM!</v>
      </c>
      <c r="R9" t="e">
        <f ca="1">FDIST(Q9,O9,O12)</f>
        <v>#NUM!</v>
      </c>
      <c r="S9" t="e">
        <f ca="1">N9/(N9+N12)</f>
        <v>#NUM!</v>
      </c>
      <c r="X9">
        <f>SUM(X3:X8)</f>
        <v>0</v>
      </c>
      <c r="Y9">
        <f ca="1">SUMPRODUCT(X3:X8,Y3:Y8)</f>
        <v>0</v>
      </c>
      <c r="Z9" t="e">
        <f ca="1">1/SUMPRODUCT(X3:X8^2,1/Z3:Z8)</f>
        <v>#DIV/0!</v>
      </c>
    </row>
    <row r="10" spans="1:30" ht="15.75" thickBot="1" x14ac:dyDescent="0.3">
      <c r="A10" s="178" t="s">
        <v>77</v>
      </c>
      <c r="B10" s="7" t="s">
        <v>303</v>
      </c>
      <c r="C10" s="7" t="s">
        <v>509</v>
      </c>
      <c r="D10" s="40">
        <v>40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IF(I10=0,"",AVERAGEIF($C$3:$C$38,$H10,$D$3:$D$38))</f>
        <v/>
      </c>
      <c r="K10" s="223" t="str">
        <f t="array" aca="1" ref="K10" ca="1">IF(I10&lt;2,"",VAR(IF($C$3:$C$38=$H10,$D$3:$D$38,"")))</f>
        <v/>
      </c>
      <c r="M10" t="s">
        <v>275</v>
      </c>
      <c r="N10" t="e">
        <f ca="1">DEVSQ(J21:J26)*I21-N6-N7</f>
        <v>#NUM!</v>
      </c>
      <c r="O10">
        <f ca="1">O7*O6</f>
        <v>1</v>
      </c>
      <c r="P10" t="e">
        <f t="shared" ca="1" si="4"/>
        <v>#NUM!</v>
      </c>
      <c r="Q10" t="e">
        <f ca="1">P10/P12</f>
        <v>#NUM!</v>
      </c>
      <c r="R10" t="e">
        <f ca="1">FDIST(Q10,O10,O12)</f>
        <v>#NUM!</v>
      </c>
      <c r="S10" t="e">
        <f ca="1">N10/(N10+N12)</f>
        <v>#NUM!</v>
      </c>
      <c r="U10" t="s">
        <v>55</v>
      </c>
      <c r="AB10" t="s">
        <v>31</v>
      </c>
      <c r="AC10">
        <v>0.05</v>
      </c>
    </row>
    <row r="11" spans="1:30" ht="15.75" thickTop="1" x14ac:dyDescent="0.25">
      <c r="A11" s="178" t="s">
        <v>77</v>
      </c>
      <c r="B11" s="7" t="s">
        <v>303</v>
      </c>
      <c r="C11" s="7" t="s">
        <v>509</v>
      </c>
      <c r="D11" s="40">
        <v>36</v>
      </c>
      <c r="F11" s="380" t="e">
        <f ca="1">$F$4</f>
        <v>#NAME?</v>
      </c>
      <c r="G11" s="381" t="e">
        <f ca="1">$G6</f>
        <v>#NAME?</v>
      </c>
      <c r="H11" s="382"/>
      <c r="I11" s="380">
        <f ca="1">SUMIFS($I$27:$I$38,$F$27:$F$38,F11,$G$27:$G$38,G11)</f>
        <v>0</v>
      </c>
      <c r="J11" s="381" t="str">
        <f ca="1">IF(I11=0,"",AVERAGEIFS($D$3:$D$38,$A$3:$A$38,$F11,$B$3:$B$38,$G11))</f>
        <v/>
      </c>
      <c r="K11" s="382" t="str">
        <f t="array" aca="1" ref="K11" ca="1">IF(I11&lt;2,"",VAR(IF($A$3:$A$38=$F11,IF($B$3:$B$38=$G11,$D$3:$D$38,""))))</f>
        <v/>
      </c>
      <c r="M11" t="s">
        <v>277</v>
      </c>
      <c r="N11" t="e">
        <f ca="1">DEVSQ(J27:J38)*I27-N10-N9-N8-N7-N6-N5</f>
        <v>#NUM!</v>
      </c>
      <c r="O11">
        <f ca="1">O7*O6*O5</f>
        <v>-1</v>
      </c>
      <c r="P11" t="e">
        <f t="shared" ca="1" si="4"/>
        <v>#NUM!</v>
      </c>
      <c r="Q11" t="e">
        <f ca="1">P11/P12</f>
        <v>#NUM!</v>
      </c>
      <c r="R11" t="e">
        <f ca="1">FDIST(Q11,O11,O12)</f>
        <v>#NUM!</v>
      </c>
      <c r="S11" t="e">
        <f ca="1">N11/(N11+N12)</f>
        <v>#NUM!</v>
      </c>
      <c r="U11" s="251" t="s">
        <v>370</v>
      </c>
      <c r="V11" s="251" t="s">
        <v>67</v>
      </c>
      <c r="W11" s="251" t="s">
        <v>51</v>
      </c>
      <c r="X11" s="251" t="s">
        <v>56</v>
      </c>
      <c r="Y11" s="251" t="s">
        <v>57</v>
      </c>
      <c r="Z11" s="251" t="s">
        <v>26</v>
      </c>
      <c r="AA11" s="251" t="s">
        <v>27</v>
      </c>
      <c r="AB11" s="251" t="s">
        <v>188</v>
      </c>
      <c r="AC11" s="251" t="s">
        <v>54</v>
      </c>
      <c r="AD11" s="251" t="s">
        <v>371</v>
      </c>
    </row>
    <row r="12" spans="1:30" x14ac:dyDescent="0.25">
      <c r="A12" s="178" t="s">
        <v>77</v>
      </c>
      <c r="B12" s="7" t="s">
        <v>304</v>
      </c>
      <c r="C12" s="7" t="s">
        <v>307</v>
      </c>
      <c r="D12" s="40">
        <v>16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IF(I12=0,"",AVERAGEIFS($D$3:$D$38,$A$3:$A$38,$F12,$B$3:$B$38,$G12))</f>
        <v/>
      </c>
      <c r="K12" s="40" t="str">
        <f t="array" aca="1" ref="K12" ca="1">IF(I12&lt;2,"",VAR(IF($A$3:$A$38=$F12,IF($B$3:$B$38=$G12,$D$3:$D$38,""))))</f>
        <v/>
      </c>
      <c r="M12" t="s">
        <v>249</v>
      </c>
      <c r="N12" t="e">
        <f ca="1">N13-N11-N10-N9-N8-N7-N6-N5</f>
        <v>#NUM!</v>
      </c>
      <c r="O12">
        <f ca="1">I39-(O5+1)*(O6+1)*(O7+1)</f>
        <v>0</v>
      </c>
      <c r="P12" t="e">
        <f t="shared" ca="1" si="4"/>
        <v>#NUM!</v>
      </c>
      <c r="U12" s="368" t="e">
        <f ca="1">SQRT(P12/Z9)</f>
        <v>#NUM!</v>
      </c>
      <c r="V12" s="368" t="e">
        <f ca="1">Y9/U12</f>
        <v>#NUM!</v>
      </c>
      <c r="W12" s="368">
        <f ca="1">O12</f>
        <v>0</v>
      </c>
      <c r="X12" s="368" t="e">
        <f ca="1">TDIST(ABS(V12),W12,2)</f>
        <v>#NUM!</v>
      </c>
      <c r="Y12" s="368" t="e">
        <f ca="1">TINV(AC10,W12)</f>
        <v>#NUM!</v>
      </c>
      <c r="Z12" s="368" t="e">
        <f ca="1">Y9-U12*Y12</f>
        <v>#NUM!</v>
      </c>
      <c r="AA12" s="368" t="e">
        <f ca="1">Y9+U12*Y12</f>
        <v>#NUM!</v>
      </c>
      <c r="AB12" s="399" t="e">
        <f ca="1">IF(X12&lt;AC10,"yes","no")</f>
        <v>#NUM!</v>
      </c>
      <c r="AC12" s="368" t="e">
        <f ca="1">ABS(Y9)/(U12*SQRT(Z9))</f>
        <v>#NUM!</v>
      </c>
      <c r="AD12" s="368" t="e">
        <f ca="1">SQRT(V12^2/(V12^2+W12))</f>
        <v>#NUM!</v>
      </c>
    </row>
    <row r="13" spans="1:30" x14ac:dyDescent="0.25">
      <c r="A13" s="178" t="s">
        <v>77</v>
      </c>
      <c r="B13" s="7" t="s">
        <v>304</v>
      </c>
      <c r="C13" s="7" t="s">
        <v>307</v>
      </c>
      <c r="D13" s="40">
        <v>31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IF(I13=0,"",AVERAGEIFS($D$3:$D$38,$A$3:$A$38,$F13,$B$3:$B$38,$G13))</f>
        <v/>
      </c>
      <c r="K13" s="40" t="str">
        <f t="array" aca="1" ref="K13" ca="1">IF(I13&lt;2,"",VAR(IF($A$3:$A$38=$F13,IF($B$3:$B$38=$G13,$D$3:$D$38,""))))</f>
        <v/>
      </c>
      <c r="M13" s="224" t="s">
        <v>1</v>
      </c>
      <c r="N13" s="224">
        <f ca="1">K39*O13</f>
        <v>-62.606349206349215</v>
      </c>
      <c r="O13" s="224">
        <f ca="1">I39-1</f>
        <v>-1</v>
      </c>
      <c r="P13" s="224">
        <f t="shared" ca="1" si="4"/>
        <v>62.606349206349215</v>
      </c>
      <c r="Q13" s="224"/>
      <c r="R13" s="224"/>
      <c r="S13" s="224"/>
    </row>
    <row r="14" spans="1:30" ht="15.75" thickBot="1" x14ac:dyDescent="0.3">
      <c r="A14" s="178" t="s">
        <v>77</v>
      </c>
      <c r="B14" s="7" t="s">
        <v>304</v>
      </c>
      <c r="C14" s="7" t="s">
        <v>307</v>
      </c>
      <c r="D14" s="40">
        <v>17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IF(I14=0,"",AVERAGEIFS($D$3:$D$38,$A$3:$A$38,$F14,$B$3:$B$38,$G14))</f>
        <v/>
      </c>
      <c r="K14" s="223" t="str">
        <f t="array" aca="1" ref="K14" ca="1">IF(I14&lt;2,"",VAR(IF($A$3:$A$38=$F14,IF($B$3:$B$38=$G14,$D$3:$D$38,""))))</f>
        <v/>
      </c>
      <c r="U14" t="s">
        <v>729</v>
      </c>
    </row>
    <row r="15" spans="1:30" ht="15.75" thickTop="1" x14ac:dyDescent="0.25">
      <c r="A15" s="178" t="s">
        <v>77</v>
      </c>
      <c r="B15" s="7" t="s">
        <v>304</v>
      </c>
      <c r="C15" s="7" t="s">
        <v>308</v>
      </c>
      <c r="D15" s="40">
        <v>31</v>
      </c>
      <c r="F15" s="380" t="e">
        <f ca="1">$F$4</f>
        <v>#NAME?</v>
      </c>
      <c r="G15" s="381"/>
      <c r="H15" s="382" t="e">
        <f ca="1">$H8</f>
        <v>#NAME?</v>
      </c>
      <c r="I15" s="380">
        <f t="shared" ref="I15:I20" ca="1" si="5">SUMIFS($I$27:$I$38,$F$27:$F$38,F15,$H$27:$H$38,H15)</f>
        <v>0</v>
      </c>
      <c r="J15" s="381" t="str">
        <f t="shared" ref="J15:J20" ca="1" si="6">IF(I15=0,"",AVERAGEIFS($D$3:$D$38,$A$3:$A$38,$F15,$C$3:$C$38,$H15))</f>
        <v/>
      </c>
      <c r="K15" s="382" t="str">
        <f t="array" aca="1" ref="K15" ca="1">IF(I15&lt;2,"",VAR(IF($A$3:$A$38=$F15,IF($C$3:$C$38=$H15,$D$3:$D$38,""))))</f>
        <v/>
      </c>
      <c r="U15" s="251" t="s">
        <v>726</v>
      </c>
      <c r="V15" s="251" t="s">
        <v>727</v>
      </c>
      <c r="W15" s="251" t="s">
        <v>728</v>
      </c>
      <c r="X15" s="251" t="s">
        <v>37</v>
      </c>
      <c r="Y15" s="251" t="s">
        <v>4</v>
      </c>
      <c r="Z15" s="251" t="s">
        <v>87</v>
      </c>
      <c r="AA15" s="251" t="s">
        <v>730</v>
      </c>
    </row>
    <row r="16" spans="1:30" x14ac:dyDescent="0.25">
      <c r="A16" s="178" t="s">
        <v>77</v>
      </c>
      <c r="B16" s="7" t="s">
        <v>304</v>
      </c>
      <c r="C16" s="7" t="s">
        <v>308</v>
      </c>
      <c r="D16" s="40">
        <v>29</v>
      </c>
      <c r="F16" s="178" t="e">
        <f ca="1">$F$4</f>
        <v>#NAME?</v>
      </c>
      <c r="G16" s="7"/>
      <c r="H16" s="40" t="e">
        <f ca="1">$H9</f>
        <v>#NAME?</v>
      </c>
      <c r="I16" s="178">
        <f t="shared" ca="1" si="5"/>
        <v>0</v>
      </c>
      <c r="J16" s="7" t="str">
        <f t="shared" ca="1" si="6"/>
        <v/>
      </c>
      <c r="K16" s="40" t="str">
        <f t="array" aca="1" ref="K16" ca="1">IF(I16&lt;2,"",VAR(IF($A$3:$A$38=$F16,IF($C$3:$C$38=$H16,$D$3:$D$38,""))))</f>
        <v/>
      </c>
      <c r="U16" s="385" t="e">
        <f t="shared" ref="U16:U21" ca="1" si="7">IF(F15="","",F15)</f>
        <v>#NAME?</v>
      </c>
      <c r="V16" s="385" t="str">
        <f t="shared" ref="V16:W21" si="8">IF(G15="","",G15)</f>
        <v/>
      </c>
      <c r="W16" s="385" t="e">
        <f t="shared" ca="1" si="8"/>
        <v>#NAME?</v>
      </c>
      <c r="X16" s="386"/>
      <c r="Y16" s="385" t="str">
        <f t="shared" ref="Y16:Y21" ca="1" si="9">J15</f>
        <v/>
      </c>
      <c r="Z16" s="385">
        <f t="shared" ref="Z16:Z21" ca="1" si="10">I15</f>
        <v>0</v>
      </c>
      <c r="AA16" s="385"/>
    </row>
    <row r="17" spans="1:30" x14ac:dyDescent="0.25">
      <c r="A17" s="178" t="s">
        <v>77</v>
      </c>
      <c r="B17" s="7" t="s">
        <v>304</v>
      </c>
      <c r="C17" s="7" t="s">
        <v>308</v>
      </c>
      <c r="D17" s="40">
        <v>40</v>
      </c>
      <c r="F17" s="178" t="e">
        <f ca="1">$F$4</f>
        <v>#NAME?</v>
      </c>
      <c r="G17" s="7"/>
      <c r="H17" s="40" t="e">
        <f ca="1">$H10</f>
        <v>#NAME?</v>
      </c>
      <c r="I17" s="178">
        <f t="shared" ca="1" si="5"/>
        <v>0</v>
      </c>
      <c r="J17" s="7" t="str">
        <f t="shared" ca="1" si="6"/>
        <v/>
      </c>
      <c r="K17" s="40" t="str">
        <f t="array" aca="1" ref="K17" ca="1">IF(I17&lt;2,"",VAR(IF($A$3:$A$38=$F17,IF($C$3:$C$38=$H17,$D$3:$D$38,""))))</f>
        <v/>
      </c>
      <c r="U17" s="7" t="e">
        <f t="shared" ca="1" si="7"/>
        <v>#NAME?</v>
      </c>
      <c r="V17" s="7" t="str">
        <f t="shared" si="8"/>
        <v/>
      </c>
      <c r="W17" s="7" t="e">
        <f t="shared" ca="1" si="8"/>
        <v>#NAME?</v>
      </c>
      <c r="X17" s="307"/>
      <c r="Y17" s="7" t="str">
        <f t="shared" ca="1" si="9"/>
        <v/>
      </c>
      <c r="Z17" s="7">
        <f t="shared" ca="1" si="10"/>
        <v>0</v>
      </c>
      <c r="AA17" s="7"/>
    </row>
    <row r="18" spans="1:30" x14ac:dyDescent="0.25">
      <c r="A18" s="178" t="s">
        <v>72</v>
      </c>
      <c r="B18" s="7" t="s">
        <v>303</v>
      </c>
      <c r="C18" s="7" t="s">
        <v>307</v>
      </c>
      <c r="D18" s="40">
        <v>19</v>
      </c>
      <c r="F18" s="178" t="e">
        <f ca="1">$F$5</f>
        <v>#NAME?</v>
      </c>
      <c r="G18" s="7"/>
      <c r="H18" s="40" t="e">
        <f ca="1">$H8</f>
        <v>#NAME?</v>
      </c>
      <c r="I18" s="178">
        <f t="shared" ca="1" si="5"/>
        <v>0</v>
      </c>
      <c r="J18" s="7" t="str">
        <f t="shared" ca="1" si="6"/>
        <v/>
      </c>
      <c r="K18" s="40" t="str">
        <f t="array" aca="1" ref="K18" ca="1">IF(I18&lt;2,"",VAR(IF($A$3:$A$38=$F18,IF($C$3:$C$38=$H18,$D$3:$D$38,""))))</f>
        <v/>
      </c>
      <c r="U18" s="7" t="e">
        <f t="shared" ca="1" si="7"/>
        <v>#NAME?</v>
      </c>
      <c r="V18" s="7" t="str">
        <f t="shared" si="8"/>
        <v/>
      </c>
      <c r="W18" s="7" t="e">
        <f t="shared" ca="1" si="8"/>
        <v>#NAME?</v>
      </c>
      <c r="X18" s="307"/>
      <c r="Y18" s="7" t="str">
        <f t="shared" ca="1" si="9"/>
        <v/>
      </c>
      <c r="Z18" s="7">
        <f t="shared" ca="1" si="10"/>
        <v>0</v>
      </c>
      <c r="AA18" s="7"/>
    </row>
    <row r="19" spans="1:30" x14ac:dyDescent="0.25">
      <c r="A19" s="178" t="s">
        <v>72</v>
      </c>
      <c r="B19" s="7" t="s">
        <v>303</v>
      </c>
      <c r="C19" s="7" t="s">
        <v>307</v>
      </c>
      <c r="D19" s="40">
        <v>28</v>
      </c>
      <c r="F19" s="178" t="e">
        <f ca="1">$F$5</f>
        <v>#NAME?</v>
      </c>
      <c r="G19" s="7"/>
      <c r="H19" s="40" t="e">
        <f ca="1">$H9</f>
        <v>#NAME?</v>
      </c>
      <c r="I19" s="178">
        <f t="shared" ca="1" si="5"/>
        <v>0</v>
      </c>
      <c r="J19" s="7" t="str">
        <f t="shared" ca="1" si="6"/>
        <v/>
      </c>
      <c r="K19" s="40" t="str">
        <f t="array" aca="1" ref="K19" ca="1">IF(I19&lt;2,"",VAR(IF($A$3:$A$38=$F19,IF($C$3:$C$38=$H19,$D$3:$D$38,""))))</f>
        <v/>
      </c>
      <c r="U19" s="7" t="e">
        <f t="shared" ca="1" si="7"/>
        <v>#NAME?</v>
      </c>
      <c r="V19" s="7" t="str">
        <f t="shared" si="8"/>
        <v/>
      </c>
      <c r="W19" s="7" t="e">
        <f t="shared" ca="1" si="8"/>
        <v>#NAME?</v>
      </c>
      <c r="X19" s="307"/>
      <c r="Y19" s="7" t="str">
        <f t="shared" ca="1" si="9"/>
        <v/>
      </c>
      <c r="Z19" s="7">
        <f t="shared" ca="1" si="10"/>
        <v>0</v>
      </c>
      <c r="AA19" s="7"/>
    </row>
    <row r="20" spans="1:30" x14ac:dyDescent="0.25">
      <c r="A20" s="178" t="s">
        <v>72</v>
      </c>
      <c r="B20" s="7" t="s">
        <v>303</v>
      </c>
      <c r="C20" s="7" t="s">
        <v>307</v>
      </c>
      <c r="D20" s="40">
        <v>31</v>
      </c>
      <c r="F20" s="221" t="e">
        <f ca="1">$F$5</f>
        <v>#NAME?</v>
      </c>
      <c r="G20" s="222"/>
      <c r="H20" s="223" t="e">
        <f ca="1">$H10</f>
        <v>#NAME?</v>
      </c>
      <c r="I20" s="221">
        <f t="shared" ca="1" si="5"/>
        <v>0</v>
      </c>
      <c r="J20" s="222" t="str">
        <f t="shared" ca="1" si="6"/>
        <v/>
      </c>
      <c r="K20" s="223" t="str">
        <f t="array" aca="1" ref="K20" ca="1">IF(I20&lt;2,"",VAR(IF($A$3:$A$38=$F20,IF($C$3:$C$38=$H20,$D$3:$D$38,""))))</f>
        <v/>
      </c>
      <c r="U20" s="7" t="e">
        <f t="shared" ca="1" si="7"/>
        <v>#NAME?</v>
      </c>
      <c r="V20" s="7" t="str">
        <f t="shared" si="8"/>
        <v/>
      </c>
      <c r="W20" s="7" t="e">
        <f t="shared" ca="1" si="8"/>
        <v>#NAME?</v>
      </c>
      <c r="X20" s="307">
        <v>-1</v>
      </c>
      <c r="Y20" s="7" t="str">
        <f t="shared" ca="1" si="9"/>
        <v/>
      </c>
      <c r="Z20" s="7">
        <f t="shared" ca="1" si="10"/>
        <v>0</v>
      </c>
      <c r="AA20" s="7"/>
    </row>
    <row r="21" spans="1:30" x14ac:dyDescent="0.25">
      <c r="A21" s="178" t="s">
        <v>72</v>
      </c>
      <c r="B21" s="7" t="s">
        <v>303</v>
      </c>
      <c r="C21" s="7" t="s">
        <v>308</v>
      </c>
      <c r="D21" s="40">
        <v>29</v>
      </c>
      <c r="F21" s="380"/>
      <c r="G21" s="381" t="e">
        <f ca="1">$G$6</f>
        <v>#NAME?</v>
      </c>
      <c r="H21" s="382" t="e">
        <f ca="1">$H8</f>
        <v>#NAME?</v>
      </c>
      <c r="I21" s="380">
        <f t="shared" ref="I21:I26" ca="1" si="11">SUMIFS($I$27:$I$38,$G$27:$G$38,G21,$H$27:$H$38,H21)</f>
        <v>0</v>
      </c>
      <c r="J21" s="381" t="str">
        <f t="shared" ref="J21:J26" ca="1" si="12">IF(I21=0,"",AVERAGEIFS($D$3:$D$38,$B$3:$B$38,$G21,$C$3:$C$38,$H21))</f>
        <v/>
      </c>
      <c r="K21" s="382" t="str">
        <f t="array" aca="1" ref="K21" ca="1">IF(I21&lt;2,"",VAR(IF($B$3:$B$38=$G21,IF($C$3:$C$38=$H21,$D$3:$D$38,""))))</f>
        <v/>
      </c>
      <c r="U21" s="224" t="e">
        <f t="shared" ca="1" si="7"/>
        <v>#NAME?</v>
      </c>
      <c r="V21" s="224" t="str">
        <f t="shared" si="8"/>
        <v/>
      </c>
      <c r="W21" s="224" t="e">
        <f t="shared" ca="1" si="8"/>
        <v>#NAME?</v>
      </c>
      <c r="X21" s="308">
        <v>1</v>
      </c>
      <c r="Y21" s="224" t="str">
        <f t="shared" ca="1" si="9"/>
        <v/>
      </c>
      <c r="Z21" s="224">
        <f t="shared" ca="1" si="10"/>
        <v>0</v>
      </c>
      <c r="AA21" s="224"/>
    </row>
    <row r="22" spans="1:30" x14ac:dyDescent="0.25">
      <c r="A22" s="178" t="s">
        <v>72</v>
      </c>
      <c r="B22" s="7" t="s">
        <v>303</v>
      </c>
      <c r="C22" s="7" t="s">
        <v>308</v>
      </c>
      <c r="D22" s="40">
        <v>25</v>
      </c>
      <c r="F22" s="178"/>
      <c r="G22" s="7" t="e">
        <f ca="1">$G$6</f>
        <v>#NAME?</v>
      </c>
      <c r="H22" s="40" t="e">
        <f ca="1">$H9</f>
        <v>#NAME?</v>
      </c>
      <c r="I22" s="178">
        <f t="shared" ca="1" si="11"/>
        <v>0</v>
      </c>
      <c r="J22" s="7" t="str">
        <f t="shared" ca="1" si="12"/>
        <v/>
      </c>
      <c r="K22" s="40" t="str">
        <f t="array" aca="1" ref="K22" ca="1">IF(I22&lt;2,"",VAR(IF($B$3:$B$38=$G22,IF($C$3:$C$38=$H22,$D$3:$D$38,""))))</f>
        <v/>
      </c>
      <c r="X22">
        <f>SUM(X16:X21)</f>
        <v>0</v>
      </c>
      <c r="Y22">
        <f ca="1">SUMPRODUCT(X16:X21,Y16:Y21)</f>
        <v>0</v>
      </c>
      <c r="Z22">
        <f ca="1">SUMPRODUCT(ABS(X16:X21),Z16:Z21)/SUMPRODUCT(ABS(X16:X21))</f>
        <v>0</v>
      </c>
      <c r="AA22" t="e">
        <f ca="1">ADJK(COUNTAU(U16:U21),COUNTAU(V16:V21),COUNTAU(W16:W21))</f>
        <v>#NAME?</v>
      </c>
    </row>
    <row r="23" spans="1:30" ht="15.75" thickBot="1" x14ac:dyDescent="0.3">
      <c r="A23" s="178" t="s">
        <v>72</v>
      </c>
      <c r="B23" s="7" t="s">
        <v>303</v>
      </c>
      <c r="C23" s="7" t="s">
        <v>308</v>
      </c>
      <c r="D23" s="40">
        <v>17</v>
      </c>
      <c r="F23" s="178"/>
      <c r="G23" s="7" t="e">
        <f ca="1">$G$6</f>
        <v>#NAME?</v>
      </c>
      <c r="H23" s="40" t="e">
        <f ca="1">$H10</f>
        <v>#NAME?</v>
      </c>
      <c r="I23" s="178">
        <f t="shared" ca="1" si="11"/>
        <v>0</v>
      </c>
      <c r="J23" s="7" t="str">
        <f t="shared" ca="1" si="12"/>
        <v/>
      </c>
      <c r="K23" s="40" t="str">
        <f t="array" aca="1" ref="K23" ca="1">IF(I23&lt;2,"",VAR(IF($B$3:$B$38=$G23,IF($C$3:$C$38=$H23,$D$3:$D$38,""))))</f>
        <v/>
      </c>
      <c r="U23" t="s">
        <v>478</v>
      </c>
      <c r="AB23" t="s">
        <v>31</v>
      </c>
      <c r="AC23">
        <v>0.05</v>
      </c>
    </row>
    <row r="24" spans="1:30" ht="15.75" thickTop="1" x14ac:dyDescent="0.25">
      <c r="A24" s="178" t="s">
        <v>72</v>
      </c>
      <c r="B24" s="7" t="s">
        <v>304</v>
      </c>
      <c r="C24" s="7" t="s">
        <v>307</v>
      </c>
      <c r="D24" s="40">
        <v>28</v>
      </c>
      <c r="F24" s="178"/>
      <c r="G24" s="7" t="e">
        <f ca="1">$G$7</f>
        <v>#NAME?</v>
      </c>
      <c r="H24" s="40" t="e">
        <f ca="1">$H8</f>
        <v>#NAME?</v>
      </c>
      <c r="I24" s="178">
        <f t="shared" ca="1" si="11"/>
        <v>0</v>
      </c>
      <c r="J24" s="7" t="str">
        <f t="shared" ca="1" si="12"/>
        <v/>
      </c>
      <c r="K24" s="40" t="str">
        <f t="array" aca="1" ref="K24" ca="1">IF(I24&lt;2,"",VAR(IF($B$3:$B$38=$G24,IF($C$3:$C$38=$H24,$D$3:$D$38,""))))</f>
        <v/>
      </c>
      <c r="U24" s="251" t="s">
        <v>370</v>
      </c>
      <c r="V24" s="251" t="s">
        <v>477</v>
      </c>
      <c r="W24" s="251" t="s">
        <v>51</v>
      </c>
      <c r="X24" s="251" t="s">
        <v>195</v>
      </c>
      <c r="Y24" s="251" t="s">
        <v>73</v>
      </c>
      <c r="Z24" s="251" t="s">
        <v>26</v>
      </c>
      <c r="AA24" s="251" t="s">
        <v>27</v>
      </c>
      <c r="AB24" s="251" t="s">
        <v>56</v>
      </c>
      <c r="AC24" s="251" t="s">
        <v>54</v>
      </c>
      <c r="AD24" s="251" t="s">
        <v>371</v>
      </c>
    </row>
    <row r="25" spans="1:30" x14ac:dyDescent="0.25">
      <c r="A25" s="178" t="s">
        <v>72</v>
      </c>
      <c r="B25" s="7" t="s">
        <v>304</v>
      </c>
      <c r="C25" s="7" t="s">
        <v>307</v>
      </c>
      <c r="D25" s="40">
        <v>37</v>
      </c>
      <c r="F25" s="178"/>
      <c r="G25" s="7" t="e">
        <f ca="1">$G$7</f>
        <v>#NAME?</v>
      </c>
      <c r="H25" s="40" t="e">
        <f ca="1">$H9</f>
        <v>#NAME?</v>
      </c>
      <c r="I25" s="178">
        <f t="shared" ca="1" si="11"/>
        <v>0</v>
      </c>
      <c r="J25" s="7" t="str">
        <f t="shared" ca="1" si="12"/>
        <v/>
      </c>
      <c r="K25" s="40" t="str">
        <f t="array" aca="1" ref="K25" ca="1">IF(I25&lt;2,"",VAR(IF($B$3:$B$38=$G25,IF($C$3:$C$38=$H25,$D$3:$D$38,""))))</f>
        <v/>
      </c>
      <c r="U25" s="368" t="e">
        <f ca="1">SQRT(P12/Z22)</f>
        <v>#NUM!</v>
      </c>
      <c r="V25" s="368" t="e">
        <f ca="1">Y22/U25</f>
        <v>#NUM!</v>
      </c>
      <c r="W25" s="368">
        <f ca="1">O12</f>
        <v>0</v>
      </c>
      <c r="X25" s="368" t="e">
        <f ca="1">QCRIT(AA22,W25,AC23,2)</f>
        <v>#NAME?</v>
      </c>
      <c r="Y25" s="368" t="e">
        <f ca="1">U25*X25</f>
        <v>#NUM!</v>
      </c>
      <c r="Z25" s="368" t="e">
        <f ca="1">Y22-U25*X25</f>
        <v>#NUM!</v>
      </c>
      <c r="AA25" s="368" t="e">
        <f ca="1">Y22+U25*X25</f>
        <v>#NUM!</v>
      </c>
      <c r="AB25" s="368" t="e">
        <f ca="1">QDIST(ABS(V25),AA22,W25)</f>
        <v>#NAME?</v>
      </c>
      <c r="AC25" s="368" t="e">
        <f ca="1">ABS(Y22)/(U25*SQRT(Z22))</f>
        <v>#NUM!</v>
      </c>
      <c r="AD25" s="368" t="e">
        <f ca="1">SQRT(V25^2/(V25^2+W25))</f>
        <v>#NUM!</v>
      </c>
    </row>
    <row r="26" spans="1:30" x14ac:dyDescent="0.25">
      <c r="A26" s="178" t="s">
        <v>72</v>
      </c>
      <c r="B26" s="7" t="s">
        <v>304</v>
      </c>
      <c r="C26" s="7" t="s">
        <v>307</v>
      </c>
      <c r="D26" s="40">
        <v>22</v>
      </c>
      <c r="F26" s="221"/>
      <c r="G26" s="222" t="e">
        <f ca="1">$G$7</f>
        <v>#NAME?</v>
      </c>
      <c r="H26" s="223" t="e">
        <f ca="1">$H10</f>
        <v>#NAME?</v>
      </c>
      <c r="I26" s="221">
        <f t="shared" ca="1" si="11"/>
        <v>0</v>
      </c>
      <c r="J26" s="222" t="str">
        <f t="shared" ca="1" si="12"/>
        <v/>
      </c>
      <c r="K26" s="223" t="str">
        <f t="array" aca="1" ref="K26" ca="1">IF(I26&lt;2,"",VAR(IF($B$3:$B$38=$G26,IF($C$3:$C$38=$H26,$D$3:$D$38,""))))</f>
        <v/>
      </c>
    </row>
    <row r="27" spans="1:30" x14ac:dyDescent="0.25">
      <c r="A27" s="178" t="s">
        <v>72</v>
      </c>
      <c r="B27" s="7" t="s">
        <v>304</v>
      </c>
      <c r="C27" s="7" t="s">
        <v>308</v>
      </c>
      <c r="D27" s="40">
        <v>35</v>
      </c>
      <c r="F27" s="380" t="e">
        <f t="shared" ref="F27:F32" ca="1" si="13">$F$4</f>
        <v>#NAME?</v>
      </c>
      <c r="G27" s="381" t="e">
        <f ca="1">G21</f>
        <v>#NAME?</v>
      </c>
      <c r="H27" s="382" t="e">
        <f ca="1">H21</f>
        <v>#NAME?</v>
      </c>
      <c r="I27" s="380">
        <f ca="1">COUNTIFS($A$3:$A$38,$F27,$B$3:$B$38,$G27,$C$3:$C$38,$H27)</f>
        <v>0</v>
      </c>
      <c r="J27" s="381" t="str">
        <f ca="1">IF(I27=0,"",AVERAGEIFS($D$3:$D$38,$A$3:$A$38,$F27,$B$3:$B$38,$G27,$C$3:$C$38,$H27))</f>
        <v/>
      </c>
      <c r="K27" s="382" t="str">
        <f t="array" aca="1" ref="K27" ca="1">IF(I27&lt;2,"",VAR(IF($A$3:$A$38=$F27,IF($B$3:$B$38=$G27,IF($C$3:$C$38=$H27,$D$3:$D$38,"")))))</f>
        <v/>
      </c>
    </row>
    <row r="28" spans="1:30" x14ac:dyDescent="0.25">
      <c r="A28" s="178" t="s">
        <v>72</v>
      </c>
      <c r="B28" s="7" t="s">
        <v>304</v>
      </c>
      <c r="C28" s="7" t="s">
        <v>308</v>
      </c>
      <c r="D28" s="40">
        <v>23</v>
      </c>
      <c r="F28" s="178" t="e">
        <f t="shared" ca="1" si="13"/>
        <v>#NAME?</v>
      </c>
      <c r="G28" s="7" t="e">
        <f t="shared" ref="G28:H38" ca="1" si="14">G22</f>
        <v>#NAME?</v>
      </c>
      <c r="H28" s="40" t="e">
        <f t="shared" ca="1" si="14"/>
        <v>#NAME?</v>
      </c>
      <c r="I28" s="178">
        <f t="shared" ref="I28:I38" ca="1" si="15">COUNTIFS($A$3:$A$38,$F28,$B$3:$B$38,$G28,$C$3:$C$38,$H28)</f>
        <v>0</v>
      </c>
      <c r="J28" s="7" t="str">
        <f t="shared" ref="J28:J38" ca="1" si="16">IF(I28=0,"",AVERAGEIFS($D$3:$D$38,$A$3:$A$38,$F28,$B$3:$B$38,$G28,$C$3:$C$38,$H28))</f>
        <v/>
      </c>
      <c r="K28" s="40" t="str">
        <f t="array" aca="1" ref="K28" ca="1">IF(I28&lt;2,"",VAR(IF($A$3:$A$38=$F28,IF($B$3:$B$38=$G28,IF($C$3:$C$38=$H28,$D$3:$D$38,"")))))</f>
        <v/>
      </c>
    </row>
    <row r="29" spans="1:30" x14ac:dyDescent="0.25">
      <c r="A29" s="178" t="s">
        <v>72</v>
      </c>
      <c r="B29" s="7" t="s">
        <v>304</v>
      </c>
      <c r="C29" s="7" t="s">
        <v>308</v>
      </c>
      <c r="D29" s="40">
        <v>24</v>
      </c>
      <c r="F29" s="178" t="e">
        <f t="shared" ca="1" si="13"/>
        <v>#NAME?</v>
      </c>
      <c r="G29" s="7" t="e">
        <f t="shared" ca="1" si="14"/>
        <v>#NAME?</v>
      </c>
      <c r="H29" s="40" t="e">
        <f t="shared" ca="1" si="14"/>
        <v>#NAME?</v>
      </c>
      <c r="I29" s="178">
        <f t="shared" ca="1" si="15"/>
        <v>0</v>
      </c>
      <c r="J29" s="7" t="str">
        <f t="shared" ca="1" si="16"/>
        <v/>
      </c>
      <c r="K29" s="40" t="str">
        <f t="array" aca="1" ref="K29" ca="1">IF(I29&lt;2,"",VAR(IF($A$3:$A$38=$F29,IF($B$3:$B$38=$G29,IF($C$3:$C$38=$H29,$D$3:$D$38,"")))))</f>
        <v/>
      </c>
    </row>
    <row r="30" spans="1:30" x14ac:dyDescent="0.25">
      <c r="A30" s="178" t="s">
        <v>77</v>
      </c>
      <c r="B30" s="7" t="s">
        <v>304</v>
      </c>
      <c r="C30" s="7" t="s">
        <v>509</v>
      </c>
      <c r="D30" s="40">
        <v>23</v>
      </c>
      <c r="F30" s="178" t="e">
        <f t="shared" ca="1" si="13"/>
        <v>#NAME?</v>
      </c>
      <c r="G30" s="7" t="e">
        <f t="shared" ca="1" si="14"/>
        <v>#NAME?</v>
      </c>
      <c r="H30" s="40" t="e">
        <f t="shared" ca="1" si="14"/>
        <v>#NAME?</v>
      </c>
      <c r="I30" s="178">
        <f t="shared" ca="1" si="15"/>
        <v>0</v>
      </c>
      <c r="J30" s="7" t="str">
        <f t="shared" ca="1" si="16"/>
        <v/>
      </c>
      <c r="K30" s="40" t="str">
        <f t="array" aca="1" ref="K30" ca="1">IF(I30&lt;2,"",VAR(IF($A$3:$A$38=$F30,IF($B$3:$B$38=$G30,IF($C$3:$C$38=$H30,$D$3:$D$38,"")))))</f>
        <v/>
      </c>
    </row>
    <row r="31" spans="1:30" x14ac:dyDescent="0.25">
      <c r="A31" s="178" t="s">
        <v>77</v>
      </c>
      <c r="B31" s="7" t="s">
        <v>304</v>
      </c>
      <c r="C31" s="7" t="s">
        <v>509</v>
      </c>
      <c r="D31" s="40">
        <v>28</v>
      </c>
      <c r="F31" s="178" t="e">
        <f t="shared" ca="1" si="13"/>
        <v>#NAME?</v>
      </c>
      <c r="G31" s="7" t="e">
        <f t="shared" ca="1" si="14"/>
        <v>#NAME?</v>
      </c>
      <c r="H31" s="40" t="e">
        <f t="shared" ca="1" si="14"/>
        <v>#NAME?</v>
      </c>
      <c r="I31" s="178">
        <f t="shared" ca="1" si="15"/>
        <v>0</v>
      </c>
      <c r="J31" s="7" t="str">
        <f t="shared" ca="1" si="16"/>
        <v/>
      </c>
      <c r="K31" s="40" t="str">
        <f t="array" aca="1" ref="K31" ca="1">IF(I31&lt;2,"",VAR(IF($A$3:$A$38=$F31,IF($B$3:$B$38=$G31,IF($C$3:$C$38=$H31,$D$3:$D$38,"")))))</f>
        <v/>
      </c>
    </row>
    <row r="32" spans="1:30" x14ac:dyDescent="0.25">
      <c r="A32" s="178" t="s">
        <v>77</v>
      </c>
      <c r="B32" s="7" t="s">
        <v>304</v>
      </c>
      <c r="C32" s="7" t="s">
        <v>509</v>
      </c>
      <c r="D32" s="40">
        <v>26</v>
      </c>
      <c r="F32" s="178" t="e">
        <f t="shared" ca="1" si="13"/>
        <v>#NAME?</v>
      </c>
      <c r="G32" s="7" t="e">
        <f t="shared" ca="1" si="14"/>
        <v>#NAME?</v>
      </c>
      <c r="H32" s="40" t="e">
        <f t="shared" ca="1" si="14"/>
        <v>#NAME?</v>
      </c>
      <c r="I32" s="178">
        <f t="shared" ca="1" si="15"/>
        <v>0</v>
      </c>
      <c r="J32" s="7" t="str">
        <f t="shared" ca="1" si="16"/>
        <v/>
      </c>
      <c r="K32" s="40" t="str">
        <f t="array" aca="1" ref="K32" ca="1">IF(I32&lt;2,"",VAR(IF($A$3:$A$38=$F32,IF($B$3:$B$38=$G32,IF($C$3:$C$38=$H32,$D$3:$D$38,"")))))</f>
        <v/>
      </c>
    </row>
    <row r="33" spans="1:15" x14ac:dyDescent="0.25">
      <c r="A33" s="178" t="s">
        <v>72</v>
      </c>
      <c r="B33" s="7" t="s">
        <v>303</v>
      </c>
      <c r="C33" s="7" t="s">
        <v>509</v>
      </c>
      <c r="D33" s="40">
        <v>18</v>
      </c>
      <c r="F33" s="178" t="e">
        <f t="shared" ref="F33:F38" ca="1" si="17">$F$5</f>
        <v>#NAME?</v>
      </c>
      <c r="G33" s="7" t="e">
        <f t="shared" ca="1" si="14"/>
        <v>#NAME?</v>
      </c>
      <c r="H33" s="40" t="e">
        <f t="shared" ca="1" si="14"/>
        <v>#NAME?</v>
      </c>
      <c r="I33" s="178">
        <f t="shared" ca="1" si="15"/>
        <v>0</v>
      </c>
      <c r="J33" s="7" t="str">
        <f t="shared" ca="1" si="16"/>
        <v/>
      </c>
      <c r="K33" s="40" t="str">
        <f t="array" aca="1" ref="K33" ca="1">IF(I33&lt;2,"",VAR(IF($A$3:$A$38=$F33,IF($B$3:$B$38=$G33,IF($C$3:$C$38=$H33,$D$3:$D$38,"")))))</f>
        <v/>
      </c>
    </row>
    <row r="34" spans="1:15" x14ac:dyDescent="0.25">
      <c r="A34" s="178" t="s">
        <v>72</v>
      </c>
      <c r="B34" s="7" t="s">
        <v>303</v>
      </c>
      <c r="C34" s="7" t="s">
        <v>509</v>
      </c>
      <c r="D34" s="40">
        <v>14</v>
      </c>
      <c r="F34" s="178" t="e">
        <f t="shared" ca="1" si="17"/>
        <v>#NAME?</v>
      </c>
      <c r="G34" s="7" t="e">
        <f t="shared" ca="1" si="14"/>
        <v>#NAME?</v>
      </c>
      <c r="H34" s="40" t="e">
        <f t="shared" ca="1" si="14"/>
        <v>#NAME?</v>
      </c>
      <c r="I34" s="178">
        <f t="shared" ca="1" si="15"/>
        <v>0</v>
      </c>
      <c r="J34" s="7" t="str">
        <f t="shared" ca="1" si="16"/>
        <v/>
      </c>
      <c r="K34" s="40" t="str">
        <f t="array" aca="1" ref="K34" ca="1">IF(I34&lt;2,"",VAR(IF($A$3:$A$38=$F34,IF($B$3:$B$38=$G34,IF($C$3:$C$38=$H34,$D$3:$D$38,"")))))</f>
        <v/>
      </c>
    </row>
    <row r="35" spans="1:15" x14ac:dyDescent="0.25">
      <c r="A35" s="178" t="s">
        <v>72</v>
      </c>
      <c r="B35" s="7" t="s">
        <v>303</v>
      </c>
      <c r="C35" s="7" t="s">
        <v>509</v>
      </c>
      <c r="D35" s="40">
        <v>25</v>
      </c>
      <c r="F35" s="178" t="e">
        <f t="shared" ca="1" si="17"/>
        <v>#NAME?</v>
      </c>
      <c r="G35" s="7" t="e">
        <f t="shared" ca="1" si="14"/>
        <v>#NAME?</v>
      </c>
      <c r="H35" s="40" t="e">
        <f t="shared" ca="1" si="14"/>
        <v>#NAME?</v>
      </c>
      <c r="I35" s="178">
        <f t="shared" ca="1" si="15"/>
        <v>0</v>
      </c>
      <c r="J35" s="7" t="str">
        <f t="shared" ca="1" si="16"/>
        <v/>
      </c>
      <c r="K35" s="40" t="str">
        <f t="array" aca="1" ref="K35" ca="1">IF(I35&lt;2,"",VAR(IF($A$3:$A$38=$F35,IF($B$3:$B$38=$G35,IF($C$3:$C$38=$H35,$D$3:$D$38,"")))))</f>
        <v/>
      </c>
    </row>
    <row r="36" spans="1:15" x14ac:dyDescent="0.25">
      <c r="A36" s="178" t="s">
        <v>72</v>
      </c>
      <c r="B36" s="7" t="s">
        <v>304</v>
      </c>
      <c r="C36" s="7" t="s">
        <v>509</v>
      </c>
      <c r="D36" s="40">
        <v>16</v>
      </c>
      <c r="F36" s="178" t="e">
        <f t="shared" ca="1" si="17"/>
        <v>#NAME?</v>
      </c>
      <c r="G36" s="7" t="e">
        <f t="shared" ca="1" si="14"/>
        <v>#NAME?</v>
      </c>
      <c r="H36" s="40" t="e">
        <f t="shared" ca="1" si="14"/>
        <v>#NAME?</v>
      </c>
      <c r="I36" s="178">
        <f t="shared" ca="1" si="15"/>
        <v>0</v>
      </c>
      <c r="J36" s="7" t="str">
        <f t="shared" ca="1" si="16"/>
        <v/>
      </c>
      <c r="K36" s="40" t="str">
        <f t="array" aca="1" ref="K36" ca="1">IF(I36&lt;2,"",VAR(IF($A$3:$A$38=$F36,IF($B$3:$B$38=$G36,IF($C$3:$C$38=$H36,$D$3:$D$38,"")))))</f>
        <v/>
      </c>
    </row>
    <row r="37" spans="1:15" x14ac:dyDescent="0.25">
      <c r="A37" s="178" t="s">
        <v>72</v>
      </c>
      <c r="B37" s="7" t="s">
        <v>304</v>
      </c>
      <c r="C37" s="7" t="s">
        <v>509</v>
      </c>
      <c r="D37" s="40">
        <v>11</v>
      </c>
      <c r="F37" s="178" t="e">
        <f t="shared" ca="1" si="17"/>
        <v>#NAME?</v>
      </c>
      <c r="G37" s="7" t="e">
        <f t="shared" ca="1" si="14"/>
        <v>#NAME?</v>
      </c>
      <c r="H37" s="40" t="e">
        <f t="shared" ca="1" si="14"/>
        <v>#NAME?</v>
      </c>
      <c r="I37" s="178">
        <f t="shared" ca="1" si="15"/>
        <v>0</v>
      </c>
      <c r="J37" s="7" t="str">
        <f t="shared" ca="1" si="16"/>
        <v/>
      </c>
      <c r="K37" s="40" t="str">
        <f t="array" aca="1" ref="K37" ca="1">IF(I37&lt;2,"",VAR(IF($A$3:$A$38=$F37,IF($B$3:$B$38=$G37,IF($C$3:$C$38=$H37,$D$3:$D$38,"")))))</f>
        <v/>
      </c>
    </row>
    <row r="38" spans="1:15" x14ac:dyDescent="0.25">
      <c r="A38" s="221" t="s">
        <v>72</v>
      </c>
      <c r="B38" s="222" t="s">
        <v>304</v>
      </c>
      <c r="C38" s="222" t="s">
        <v>509</v>
      </c>
      <c r="D38" s="223">
        <v>19</v>
      </c>
      <c r="F38" s="221" t="e">
        <f t="shared" ca="1" si="17"/>
        <v>#NAME?</v>
      </c>
      <c r="G38" s="222" t="e">
        <f t="shared" ca="1" si="14"/>
        <v>#NAME?</v>
      </c>
      <c r="H38" s="223" t="e">
        <f t="shared" ca="1" si="14"/>
        <v>#NAME?</v>
      </c>
      <c r="I38" s="221">
        <f t="shared" ca="1" si="15"/>
        <v>0</v>
      </c>
      <c r="J38" s="222" t="str">
        <f t="shared" ca="1" si="16"/>
        <v/>
      </c>
      <c r="K38" s="223" t="str">
        <f t="array" aca="1" ref="K38" ca="1">IF(I38&lt;2,"",VAR(IF($A$3:$A$38=$F38,IF($B$3:$B$38=$G38,IF($C$3:$C$38=$H38,$D$3:$D$38,"")))))</f>
        <v/>
      </c>
    </row>
    <row r="39" spans="1:15" x14ac:dyDescent="0.25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  <row r="47" spans="1:15" x14ac:dyDescent="0.25">
      <c r="O47" t="e">
        <f ca="1">ADJK(1,3,1)</f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W27"/>
  <sheetViews>
    <sheetView workbookViewId="0"/>
  </sheetViews>
  <sheetFormatPr defaultRowHeight="15" x14ac:dyDescent="0.25"/>
  <cols>
    <col min="5" max="5" width="8.42578125" customWidth="1"/>
    <col min="9" max="9" width="5.5703125" customWidth="1"/>
    <col min="10" max="10" width="14.5703125" customWidth="1"/>
    <col min="16" max="16" width="6.7109375" customWidth="1"/>
    <col min="18" max="18" width="15.140625" customWidth="1"/>
  </cols>
  <sheetData>
    <row r="1" spans="1:23" x14ac:dyDescent="0.25">
      <c r="A1" s="1" t="s">
        <v>673</v>
      </c>
    </row>
    <row r="3" spans="1:23" x14ac:dyDescent="0.25">
      <c r="A3" s="548" t="s">
        <v>675</v>
      </c>
      <c r="B3" s="548" t="s">
        <v>676</v>
      </c>
      <c r="C3" s="548" t="s">
        <v>677</v>
      </c>
      <c r="E3" t="s">
        <v>24</v>
      </c>
      <c r="J3" t="s">
        <v>890</v>
      </c>
      <c r="R3" t="s">
        <v>891</v>
      </c>
    </row>
    <row r="4" spans="1:23" x14ac:dyDescent="0.25">
      <c r="A4" s="549">
        <v>1</v>
      </c>
      <c r="B4" s="550">
        <v>1</v>
      </c>
      <c r="C4" s="551">
        <v>-11.966950000000001</v>
      </c>
    </row>
    <row r="5" spans="1:23" ht="15.75" thickBot="1" x14ac:dyDescent="0.3">
      <c r="A5" s="549">
        <v>1</v>
      </c>
      <c r="B5" s="550">
        <f>B4</f>
        <v>1</v>
      </c>
      <c r="C5" s="551">
        <v>-17.438790000000001</v>
      </c>
      <c r="E5" t="s">
        <v>489</v>
      </c>
      <c r="F5" t="str">
        <f ca="1">IF(COUNTIF(F7:G10,F7)=COUNT(F7:G10),"balanced","unbalanced")</f>
        <v>balanced</v>
      </c>
      <c r="J5" t="s">
        <v>101</v>
      </c>
      <c r="N5" s="548" t="s">
        <v>31</v>
      </c>
      <c r="O5" s="548">
        <v>0.05</v>
      </c>
      <c r="R5" t="s">
        <v>101</v>
      </c>
      <c r="V5" s="548" t="s">
        <v>31</v>
      </c>
      <c r="W5" s="548">
        <v>0.05</v>
      </c>
    </row>
    <row r="6" spans="1:23" ht="15.75" thickTop="1" x14ac:dyDescent="0.25">
      <c r="A6" s="549">
        <v>2</v>
      </c>
      <c r="B6" s="550">
        <v>1</v>
      </c>
      <c r="C6" s="551">
        <v>-14.5146</v>
      </c>
      <c r="F6" t="e">
        <f t="array" aca="1" ref="F6:G6" ca="1">TRANSPOSE(SortUnique(B4:B19))</f>
        <v>#NAME?</v>
      </c>
      <c r="G6" t="e">
        <f ca="1"/>
        <v>#NAME?</v>
      </c>
      <c r="J6" s="251"/>
      <c r="K6" s="251" t="s">
        <v>88</v>
      </c>
      <c r="L6" s="251" t="s">
        <v>51</v>
      </c>
      <c r="M6" s="251" t="s">
        <v>92</v>
      </c>
      <c r="N6" s="251" t="s">
        <v>82</v>
      </c>
      <c r="O6" s="251" t="s">
        <v>56</v>
      </c>
      <c r="P6" s="251" t="s">
        <v>188</v>
      </c>
      <c r="R6" s="251"/>
      <c r="S6" s="251" t="s">
        <v>88</v>
      </c>
      <c r="T6" s="251" t="s">
        <v>51</v>
      </c>
      <c r="U6" s="251" t="s">
        <v>92</v>
      </c>
      <c r="V6" s="251" t="s">
        <v>82</v>
      </c>
      <c r="W6" s="251" t="s">
        <v>56</v>
      </c>
    </row>
    <row r="7" spans="1:23" x14ac:dyDescent="0.25">
      <c r="A7" s="549">
        <v>2</v>
      </c>
      <c r="B7" s="550">
        <f>B6</f>
        <v>1</v>
      </c>
      <c r="C7" s="551">
        <v>13.1431</v>
      </c>
      <c r="E7" t="e">
        <f t="array" aca="1" ref="E7:E10" ca="1">SortUnique(A4:A19)</f>
        <v>#NAME?</v>
      </c>
      <c r="F7" s="481">
        <f t="array" ref="F7" ca="1">COUNTIFS($A$4:$A$19,$E7,$B$4:$B$19,F$6)</f>
        <v>0</v>
      </c>
      <c r="G7" s="483">
        <f t="array" ref="G7" ca="1">COUNTIFS($A$4:$A$19,$E7,$B$4:$B$19,G$6)</f>
        <v>0</v>
      </c>
      <c r="H7">
        <f t="array" ref="H7" ca="1">SUM(F7:G7)</f>
        <v>0</v>
      </c>
      <c r="J7" t="s">
        <v>675</v>
      </c>
      <c r="K7" t="e">
        <f ca="1">DEVSQ(H15:H18)*H7</f>
        <v>#DIV/0!</v>
      </c>
      <c r="L7">
        <f ca="1">COUNT(H15:H18)-1</f>
        <v>-1</v>
      </c>
      <c r="M7" t="e">
        <f ca="1">K7/L7</f>
        <v>#DIV/0!</v>
      </c>
      <c r="N7" t="e">
        <f ca="1">M7/M9</f>
        <v>#DIV/0!</v>
      </c>
      <c r="O7" t="e">
        <f ca="1">_xlfn.F.DIST.RT(N7,L7,L9)</f>
        <v>#DIV/0!</v>
      </c>
      <c r="R7" t="s">
        <v>675</v>
      </c>
      <c r="S7" t="e">
        <f ca="1">K7</f>
        <v>#DIV/0!</v>
      </c>
      <c r="T7">
        <f ca="1">L7</f>
        <v>-1</v>
      </c>
      <c r="U7" t="e">
        <f ca="1">S7/T7</f>
        <v>#DIV/0!</v>
      </c>
      <c r="V7" t="e">
        <f ca="1">U7/U10</f>
        <v>#DIV/0!</v>
      </c>
      <c r="W7" t="e">
        <f ca="1">_xlfn.F.DIST.RT(V7,T7,T10)</f>
        <v>#DIV/0!</v>
      </c>
    </row>
    <row r="8" spans="1:23" x14ac:dyDescent="0.25">
      <c r="A8" s="552">
        <v>3</v>
      </c>
      <c r="B8" s="553">
        <v>1</v>
      </c>
      <c r="C8" s="554">
        <v>-1.3947499999999999</v>
      </c>
      <c r="E8" t="e">
        <f ca="1"/>
        <v>#NAME?</v>
      </c>
      <c r="F8" s="178">
        <f t="array" ref="F8" ca="1">COUNTIFS($A$4:$A$19,$E8,$B$4:$B$19,F$6)</f>
        <v>0</v>
      </c>
      <c r="G8" s="40">
        <f t="array" ref="G8" ca="1">COUNTIFS($A$4:$A$19,$E8,$B$4:$B$19,G$6)</f>
        <v>0</v>
      </c>
      <c r="H8">
        <f t="array" ref="H8" ca="1">SUM(F8:G8)</f>
        <v>0</v>
      </c>
      <c r="J8" t="s">
        <v>678</v>
      </c>
      <c r="K8" t="e">
        <f ca="1">DEVSQ(F19:G19)*F11</f>
        <v>#DIV/0!</v>
      </c>
      <c r="L8">
        <f ca="1">COUNT(F19:G19)-1</f>
        <v>-1</v>
      </c>
      <c r="M8" t="e">
        <f ca="1">K8/L8</f>
        <v>#DIV/0!</v>
      </c>
      <c r="N8" t="e">
        <f ca="1">M8/M9</f>
        <v>#DIV/0!</v>
      </c>
      <c r="O8" t="e">
        <f ca="1">_xlfn.F.DIST.RT(N8,L8,L9)</f>
        <v>#DIV/0!</v>
      </c>
      <c r="R8" t="s">
        <v>678</v>
      </c>
      <c r="S8" t="e">
        <f ca="1">K8</f>
        <v>#DIV/0!</v>
      </c>
      <c r="T8">
        <f ca="1">L8</f>
        <v>-1</v>
      </c>
      <c r="U8" t="e">
        <f ca="1">S8/T8</f>
        <v>#DIV/0!</v>
      </c>
      <c r="V8" t="e">
        <f ca="1">U8/U10</f>
        <v>#DIV/0!</v>
      </c>
      <c r="W8" t="e">
        <f ca="1">_xlfn.F.DIST.RT(V8,T8,T10)</f>
        <v>#DIV/0!</v>
      </c>
    </row>
    <row r="9" spans="1:23" x14ac:dyDescent="0.25">
      <c r="A9" s="552">
        <v>3</v>
      </c>
      <c r="B9" s="553">
        <f>B8</f>
        <v>1</v>
      </c>
      <c r="C9" s="554">
        <v>-2.9521000000000002</v>
      </c>
      <c r="E9" t="e">
        <f ca="1"/>
        <v>#NAME?</v>
      </c>
      <c r="F9" s="178">
        <f t="array" ref="F9" ca="1">COUNTIFS($A$4:$A$19,$E9,$B$4:$B$19,F$6)</f>
        <v>0</v>
      </c>
      <c r="G9" s="40">
        <f t="array" ref="G9" ca="1">COUNTIFS($A$4:$A$19,$E9,$B$4:$B$19,G$6)</f>
        <v>0</v>
      </c>
      <c r="H9">
        <f t="array" ref="H9" ca="1">SUM(F9:G9)</f>
        <v>0</v>
      </c>
      <c r="J9" t="s">
        <v>679</v>
      </c>
      <c r="K9" t="e">
        <f ca="1">K11-K7-K8-K10</f>
        <v>#DIV/0!</v>
      </c>
      <c r="L9">
        <f ca="1">L8*L7</f>
        <v>1</v>
      </c>
      <c r="M9" t="e">
        <f ca="1">K9/L9</f>
        <v>#DIV/0!</v>
      </c>
      <c r="N9" t="e">
        <f ca="1">M9/M10</f>
        <v>#DIV/0!</v>
      </c>
      <c r="O9" t="e">
        <f ca="1">_xlfn.F.DIST.RT(N9,L9,L10)</f>
        <v>#DIV/0!</v>
      </c>
      <c r="P9" s="548" t="e">
        <f ca="1">IF(O9&lt;O5,"yes","no")</f>
        <v>#DIV/0!</v>
      </c>
      <c r="R9" t="s">
        <v>679</v>
      </c>
      <c r="S9">
        <v>0</v>
      </c>
      <c r="T9">
        <v>0</v>
      </c>
    </row>
    <row r="10" spans="1:23" x14ac:dyDescent="0.25">
      <c r="A10" s="552">
        <v>4</v>
      </c>
      <c r="B10" s="553">
        <v>1</v>
      </c>
      <c r="C10" s="554">
        <v>15.25089</v>
      </c>
      <c r="E10" t="e">
        <f ca="1"/>
        <v>#NAME?</v>
      </c>
      <c r="F10" s="513">
        <f t="array" ref="F10" ca="1">COUNTIFS($A$4:$A$19,$E10,$B$4:$B$19,F$6)</f>
        <v>0</v>
      </c>
      <c r="G10" s="462">
        <f t="array" ref="G10" ca="1">COUNTIFS($A$4:$A$19,$E10,$B$4:$B$19,G$6)</f>
        <v>0</v>
      </c>
      <c r="H10">
        <f t="array" ref="H10" ca="1">SUM(F10:G10)</f>
        <v>0</v>
      </c>
      <c r="J10" t="s">
        <v>680</v>
      </c>
      <c r="K10" t="e">
        <f ca="1">SUM(F23:G26)*(F7-1)</f>
        <v>#NAME?</v>
      </c>
      <c r="L10">
        <f ca="1">L11-L7-L8-L9</f>
        <v>0</v>
      </c>
      <c r="M10" t="e">
        <f ca="1">K10/L10</f>
        <v>#NAME?</v>
      </c>
      <c r="R10" t="s">
        <v>680</v>
      </c>
      <c r="S10" t="e">
        <f ca="1">K9+K10</f>
        <v>#DIV/0!</v>
      </c>
      <c r="T10">
        <f ca="1">L9+L10</f>
        <v>1</v>
      </c>
      <c r="U10" t="e">
        <f ca="1">S10/T10</f>
        <v>#DIV/0!</v>
      </c>
    </row>
    <row r="11" spans="1:23" x14ac:dyDescent="0.25">
      <c r="A11" s="552">
        <v>4</v>
      </c>
      <c r="B11" s="553">
        <f>B10</f>
        <v>1</v>
      </c>
      <c r="C11" s="554">
        <v>3.3227500000000001</v>
      </c>
      <c r="F11">
        <f t="array" ref="F11" ca="1">SUM(F7:F10)</f>
        <v>0</v>
      </c>
      <c r="G11">
        <f t="array" ref="G11" ca="1">SUM(G7:G10)</f>
        <v>0</v>
      </c>
      <c r="H11">
        <f t="array" ref="H11" ca="1">SUM(H7:H10)</f>
        <v>0</v>
      </c>
      <c r="J11" s="516" t="s">
        <v>1</v>
      </c>
      <c r="K11" s="516">
        <f ca="1">M11*L11</f>
        <v>-132.08665885387958</v>
      </c>
      <c r="L11" s="516">
        <f ca="1">H11-1</f>
        <v>-1</v>
      </c>
      <c r="M11" s="516">
        <f>H27</f>
        <v>132.08665885387958</v>
      </c>
      <c r="N11" s="516"/>
      <c r="O11" s="516"/>
      <c r="P11" s="516"/>
      <c r="R11" s="516" t="s">
        <v>1</v>
      </c>
      <c r="S11" s="516">
        <f ca="1">U11*T11</f>
        <v>-132.08665885387958</v>
      </c>
      <c r="T11" s="516">
        <f ca="1">L11</f>
        <v>-1</v>
      </c>
      <c r="U11" s="516">
        <f>M11</f>
        <v>132.08665885387958</v>
      </c>
      <c r="V11" s="516"/>
      <c r="W11" s="516"/>
    </row>
    <row r="12" spans="1:23" x14ac:dyDescent="0.25">
      <c r="A12" s="552">
        <v>1</v>
      </c>
      <c r="B12" s="553">
        <v>2</v>
      </c>
      <c r="C12" s="554">
        <v>2.1259600000000001</v>
      </c>
    </row>
    <row r="13" spans="1:23" ht="15.75" thickBot="1" x14ac:dyDescent="0.3">
      <c r="A13" s="552">
        <v>1</v>
      </c>
      <c r="B13" s="553">
        <v>2</v>
      </c>
      <c r="C13" s="554">
        <v>2.4329700000000001</v>
      </c>
      <c r="E13" t="s">
        <v>259</v>
      </c>
      <c r="J13" t="s">
        <v>681</v>
      </c>
      <c r="R13" t="s">
        <v>681</v>
      </c>
    </row>
    <row r="14" spans="1:23" ht="15.75" thickTop="1" x14ac:dyDescent="0.25">
      <c r="A14" s="552">
        <v>2</v>
      </c>
      <c r="B14" s="553">
        <v>2</v>
      </c>
      <c r="C14" s="554">
        <v>-1.0581700000000001</v>
      </c>
      <c r="F14" t="e">
        <f t="array" aca="1" ref="F14:G14" ca="1">TRANSPOSE(SortUnique(B4:B19))</f>
        <v>#NAME?</v>
      </c>
      <c r="G14" t="e">
        <f ca="1"/>
        <v>#NAME?</v>
      </c>
      <c r="J14" s="251"/>
      <c r="K14" s="251" t="s">
        <v>368</v>
      </c>
      <c r="L14" s="251" t="s">
        <v>367</v>
      </c>
      <c r="M14" s="251" t="s">
        <v>49</v>
      </c>
      <c r="N14" s="251" t="s">
        <v>367</v>
      </c>
      <c r="R14" s="251"/>
      <c r="S14" s="251" t="s">
        <v>368</v>
      </c>
      <c r="T14" s="251" t="s">
        <v>367</v>
      </c>
      <c r="U14" s="251" t="s">
        <v>49</v>
      </c>
      <c r="V14" s="251" t="s">
        <v>367</v>
      </c>
    </row>
    <row r="15" spans="1:23" x14ac:dyDescent="0.25">
      <c r="A15" s="552">
        <v>2</v>
      </c>
      <c r="B15" s="553">
        <v>2</v>
      </c>
      <c r="C15" s="554">
        <v>-3.86374</v>
      </c>
      <c r="E15" t="e">
        <f t="array" aca="1" ref="E15:E18" ca="1">SortUnique(A4:A19)</f>
        <v>#NAME?</v>
      </c>
      <c r="F15" s="481" t="e">
        <f t="array" ref="F15" ca="1">AVERAGEIFS($C$4:$C$19,$A$4:$A$19,$E15,$B$4:$B$19,F$14)</f>
        <v>#DIV/0!</v>
      </c>
      <c r="G15" s="483" t="e">
        <f t="array" ref="G15" ca="1">AVERAGEIFS($C$4:$C$19,$A$4:$A$19,$E15,$B$4:$B$19,G$14)</f>
        <v>#DIV/0!</v>
      </c>
      <c r="H15" t="e">
        <f t="array" ref="H15" ca="1">AVERAGE(F15:G15)</f>
        <v>#DIV/0!</v>
      </c>
      <c r="J15" t="s">
        <v>682</v>
      </c>
      <c r="K15" t="e">
        <f ca="1">K16+K17</f>
        <v>#NAME?</v>
      </c>
      <c r="L15" s="374" t="e">
        <f ca="1">K15/K$21</f>
        <v>#NAME?</v>
      </c>
      <c r="M15" t="e">
        <f ca="1">SQRT(K15)</f>
        <v>#NAME?</v>
      </c>
      <c r="N15" s="374" t="e">
        <f ca="1">M15/M$21</f>
        <v>#NAME?</v>
      </c>
      <c r="R15" t="s">
        <v>682</v>
      </c>
      <c r="S15" t="e">
        <f ca="1">S16+S17</f>
        <v>#DIV/0!</v>
      </c>
      <c r="T15" s="374" t="e">
        <f ca="1">S15/S$21</f>
        <v>#DIV/0!</v>
      </c>
      <c r="U15" t="e">
        <f ca="1">SQRT(S15)</f>
        <v>#DIV/0!</v>
      </c>
      <c r="V15" s="374" t="e">
        <f ca="1">U15/U$21</f>
        <v>#DIV/0!</v>
      </c>
    </row>
    <row r="16" spans="1:23" x14ac:dyDescent="0.25">
      <c r="A16" s="552">
        <v>3</v>
      </c>
      <c r="B16" s="553">
        <v>2</v>
      </c>
      <c r="C16" s="554">
        <v>-5.7011500000000002</v>
      </c>
      <c r="E16" t="e">
        <f ca="1"/>
        <v>#NAME?</v>
      </c>
      <c r="F16" s="178" t="e">
        <f t="array" ref="F16" ca="1">AVERAGEIFS($C$4:$C$19,$A$4:$A$19,$E16,$B$4:$B$19,F$14)</f>
        <v>#DIV/0!</v>
      </c>
      <c r="G16" s="40" t="e">
        <f t="array" ref="G16" ca="1">AVERAGEIFS($C$4:$C$19,$A$4:$A$19,$E16,$B$4:$B$19,G$14)</f>
        <v>#DIV/0!</v>
      </c>
      <c r="H16" t="e">
        <f t="array" ref="H16" ca="1">AVERAGE(F16:G16)</f>
        <v>#DIV/0!</v>
      </c>
      <c r="J16" t="s">
        <v>683</v>
      </c>
      <c r="K16" t="e">
        <f ca="1">M10</f>
        <v>#NAME?</v>
      </c>
      <c r="L16" s="374" t="e">
        <f t="shared" ref="L16:L21" ca="1" si="0">K16/K$21</f>
        <v>#NAME?</v>
      </c>
      <c r="M16" t="e">
        <f t="shared" ref="M16:M21" ca="1" si="1">SQRT(K16)</f>
        <v>#NAME?</v>
      </c>
      <c r="N16" s="374" t="e">
        <f t="shared" ref="N16:N21" ca="1" si="2">M16/M$21</f>
        <v>#NAME?</v>
      </c>
      <c r="R16" t="s">
        <v>683</v>
      </c>
      <c r="S16" t="e">
        <f ca="1">U10</f>
        <v>#DIV/0!</v>
      </c>
      <c r="T16" s="374" t="e">
        <f t="shared" ref="T16:T21" ca="1" si="3">S16/S$21</f>
        <v>#DIV/0!</v>
      </c>
      <c r="U16" t="e">
        <f t="shared" ref="U16:U21" ca="1" si="4">SQRT(S16)</f>
        <v>#DIV/0!</v>
      </c>
      <c r="V16" s="374" t="e">
        <f t="shared" ref="V16:V21" ca="1" si="5">U16/U$21</f>
        <v>#DIV/0!</v>
      </c>
    </row>
    <row r="17" spans="1:22" x14ac:dyDescent="0.25">
      <c r="A17" s="552">
        <v>3</v>
      </c>
      <c r="B17" s="553">
        <v>2</v>
      </c>
      <c r="C17" s="554">
        <v>-8.7137499999999992</v>
      </c>
      <c r="E17" t="e">
        <f ca="1"/>
        <v>#NAME?</v>
      </c>
      <c r="F17" s="178" t="e">
        <f t="array" ref="F17" ca="1">AVERAGEIFS($C$4:$C$19,$A$4:$A$19,$E17,$B$4:$B$19,F$14)</f>
        <v>#DIV/0!</v>
      </c>
      <c r="G17" s="40" t="e">
        <f t="array" ref="G17" ca="1">AVERAGEIFS($C$4:$C$19,$A$4:$A$19,$E17,$B$4:$B$19,G$14)</f>
        <v>#DIV/0!</v>
      </c>
      <c r="H17" t="e">
        <f t="array" ref="H17" ca="1">AVERAGE(F17:G17)</f>
        <v>#DIV/0!</v>
      </c>
      <c r="J17" t="s">
        <v>684</v>
      </c>
      <c r="K17" t="e">
        <f ca="1">K18+K19</f>
        <v>#DIV/0!</v>
      </c>
      <c r="L17" s="374" t="e">
        <f t="shared" ca="1" si="0"/>
        <v>#DIV/0!</v>
      </c>
      <c r="M17" t="e">
        <f t="shared" ca="1" si="1"/>
        <v>#DIV/0!</v>
      </c>
      <c r="N17" s="374" t="e">
        <f t="shared" ca="1" si="2"/>
        <v>#DIV/0!</v>
      </c>
      <c r="R17" t="s">
        <v>684</v>
      </c>
      <c r="S17" t="e">
        <f ca="1">S18+S19</f>
        <v>#DIV/0!</v>
      </c>
      <c r="T17" s="374" t="e">
        <f t="shared" ca="1" si="3"/>
        <v>#DIV/0!</v>
      </c>
      <c r="U17" t="e">
        <f t="shared" ca="1" si="4"/>
        <v>#DIV/0!</v>
      </c>
      <c r="V17" s="374" t="e">
        <f t="shared" ca="1" si="5"/>
        <v>#DIV/0!</v>
      </c>
    </row>
    <row r="18" spans="1:22" x14ac:dyDescent="0.25">
      <c r="A18" s="552">
        <v>4</v>
      </c>
      <c r="B18" s="553">
        <v>2</v>
      </c>
      <c r="C18" s="554">
        <v>11.72134</v>
      </c>
      <c r="E18" t="e">
        <f ca="1"/>
        <v>#NAME?</v>
      </c>
      <c r="F18" s="513" t="e">
        <f t="array" ref="F18" ca="1">AVERAGEIFS($C$4:$C$19,$A$4:$A$19,$E18,$B$4:$B$19,F$14)</f>
        <v>#DIV/0!</v>
      </c>
      <c r="G18" s="462" t="e">
        <f t="array" ref="G18" ca="1">AVERAGEIFS($C$4:$C$19,$A$4:$A$19,$E18,$B$4:$B$19,G$14)</f>
        <v>#DIV/0!</v>
      </c>
      <c r="H18" t="e">
        <f t="array" ref="H18" ca="1">AVERAGE(F18:G18)</f>
        <v>#DIV/0!</v>
      </c>
      <c r="J18" t="s">
        <v>685</v>
      </c>
      <c r="K18" t="e">
        <f ca="1">MAX((M8-M9)/(G7*(L7+1)),0)</f>
        <v>#DIV/0!</v>
      </c>
      <c r="L18" s="374" t="e">
        <f t="shared" ca="1" si="0"/>
        <v>#DIV/0!</v>
      </c>
      <c r="M18" t="e">
        <f t="shared" ca="1" si="1"/>
        <v>#DIV/0!</v>
      </c>
      <c r="N18" s="374" t="e">
        <f t="shared" ca="1" si="2"/>
        <v>#DIV/0!</v>
      </c>
      <c r="R18" t="s">
        <v>685</v>
      </c>
      <c r="S18" t="e">
        <f ca="1">MAX((U8-U9)/(G7*(T7+1)),0)</f>
        <v>#DIV/0!</v>
      </c>
      <c r="T18" s="374" t="e">
        <f t="shared" ca="1" si="3"/>
        <v>#DIV/0!</v>
      </c>
      <c r="U18" t="e">
        <f t="shared" ca="1" si="4"/>
        <v>#DIV/0!</v>
      </c>
      <c r="V18" s="374" t="e">
        <f t="shared" ca="1" si="5"/>
        <v>#DIV/0!</v>
      </c>
    </row>
    <row r="19" spans="1:22" x14ac:dyDescent="0.25">
      <c r="A19" s="552">
        <v>4</v>
      </c>
      <c r="B19" s="553">
        <v>2</v>
      </c>
      <c r="C19" s="554">
        <v>25.015879999999999</v>
      </c>
      <c r="F19" t="e">
        <f t="array" ref="F19" ca="1">AVERAGE(F15:F18)</f>
        <v>#DIV/0!</v>
      </c>
      <c r="G19" t="e">
        <f t="array" ref="G19" ca="1">AVERAGE(G15:G18)</f>
        <v>#DIV/0!</v>
      </c>
      <c r="H19" t="e">
        <f t="array" ref="H19" ca="1">AVERAGE(H15:H18)</f>
        <v>#DIV/0!</v>
      </c>
      <c r="J19" t="s">
        <v>686</v>
      </c>
      <c r="K19" t="e">
        <f ca="1">MAX((M9-M10)/G7,0)</f>
        <v>#DIV/0!</v>
      </c>
      <c r="L19" s="374" t="e">
        <f t="shared" ca="1" si="0"/>
        <v>#DIV/0!</v>
      </c>
      <c r="M19" t="e">
        <f t="shared" ca="1" si="1"/>
        <v>#DIV/0!</v>
      </c>
      <c r="N19" s="374" t="e">
        <f t="shared" ca="1" si="2"/>
        <v>#DIV/0!</v>
      </c>
      <c r="R19" t="s">
        <v>686</v>
      </c>
      <c r="S19" t="e">
        <f ca="1">MAX((U9-U10)/G7,0)</f>
        <v>#DIV/0!</v>
      </c>
      <c r="T19" s="374" t="e">
        <f t="shared" ca="1" si="3"/>
        <v>#DIV/0!</v>
      </c>
      <c r="U19" t="e">
        <f t="shared" ca="1" si="4"/>
        <v>#DIV/0!</v>
      </c>
      <c r="V19" s="374" t="e">
        <f t="shared" ca="1" si="5"/>
        <v>#DIV/0!</v>
      </c>
    </row>
    <row r="20" spans="1:22" x14ac:dyDescent="0.25">
      <c r="J20" t="s">
        <v>687</v>
      </c>
      <c r="K20" t="e">
        <f ca="1">MAX((M7-M9)/(G7*(L8+1)),0)</f>
        <v>#DIV/0!</v>
      </c>
      <c r="L20" s="374" t="e">
        <f t="shared" ca="1" si="0"/>
        <v>#DIV/0!</v>
      </c>
      <c r="M20" t="e">
        <f t="shared" ca="1" si="1"/>
        <v>#DIV/0!</v>
      </c>
      <c r="N20" s="374" t="e">
        <f t="shared" ca="1" si="2"/>
        <v>#DIV/0!</v>
      </c>
      <c r="R20" t="s">
        <v>687</v>
      </c>
      <c r="S20" t="e">
        <f ca="1">MAX((U7-U9)/(G7*(T8+1)),0)</f>
        <v>#DIV/0!</v>
      </c>
      <c r="T20" s="374" t="e">
        <f t="shared" ca="1" si="3"/>
        <v>#DIV/0!</v>
      </c>
      <c r="U20" t="e">
        <f t="shared" ca="1" si="4"/>
        <v>#DIV/0!</v>
      </c>
      <c r="V20" s="374" t="e">
        <f t="shared" ca="1" si="5"/>
        <v>#DIV/0!</v>
      </c>
    </row>
    <row r="21" spans="1:22" x14ac:dyDescent="0.25">
      <c r="E21" t="s">
        <v>490</v>
      </c>
      <c r="J21" s="516" t="s">
        <v>688</v>
      </c>
      <c r="K21" s="516" t="e">
        <f ca="1">K15+K20</f>
        <v>#NAME?</v>
      </c>
      <c r="L21" s="555" t="e">
        <f t="shared" ca="1" si="0"/>
        <v>#NAME?</v>
      </c>
      <c r="M21" s="516" t="e">
        <f t="shared" ca="1" si="1"/>
        <v>#NAME?</v>
      </c>
      <c r="N21" s="555" t="e">
        <f t="shared" ca="1" si="2"/>
        <v>#NAME?</v>
      </c>
      <c r="R21" s="516" t="s">
        <v>688</v>
      </c>
      <c r="S21" s="516" t="e">
        <f ca="1">S15+S20</f>
        <v>#DIV/0!</v>
      </c>
      <c r="T21" s="555" t="e">
        <f t="shared" ca="1" si="3"/>
        <v>#DIV/0!</v>
      </c>
      <c r="U21" s="516" t="e">
        <f t="shared" ca="1" si="4"/>
        <v>#DIV/0!</v>
      </c>
      <c r="V21" s="555" t="e">
        <f t="shared" ca="1" si="5"/>
        <v>#DIV/0!</v>
      </c>
    </row>
    <row r="22" spans="1:22" x14ac:dyDescent="0.25">
      <c r="F22" t="e">
        <f t="array" aca="1" ref="F22:G22" ca="1">TRANSPOSE(SortUnique(B4:B19))</f>
        <v>#NAME?</v>
      </c>
      <c r="G22" t="e">
        <f ca="1"/>
        <v>#NAME?</v>
      </c>
    </row>
    <row r="23" spans="1:22" x14ac:dyDescent="0.25">
      <c r="E23" t="e">
        <f t="array" aca="1" ref="E23:E26" ca="1">SortUnique(A4:A19)</f>
        <v>#NAME?</v>
      </c>
      <c r="F23" s="481" t="e">
        <f t="array" aca="1" ref="F23" ca="1">_xlfn.VAR.S(IF(($A$4:$A$19=$E23)*($B$4:$B$19=F$22),$C$4:$C$19))</f>
        <v>#NAME?</v>
      </c>
      <c r="G23" s="483" t="e">
        <f t="array" aca="1" ref="G23" ca="1">_xlfn.VAR.S(IF(($A$4:$A$19=$E23)*($B$4:$B$19=G$22),$C$4:$C$19))</f>
        <v>#NAME?</v>
      </c>
      <c r="H23" t="e">
        <f t="array" aca="1" ref="H23" ca="1">_xlfn.VAR.S(IF($A$4:$A$19=$E23,$C$4:$C$19))</f>
        <v>#NAME?</v>
      </c>
      <c r="J23" t="s">
        <v>689</v>
      </c>
      <c r="K23" s="556" t="e">
        <f ca="1">MAX(1,TRUNC((M20/M15)*SQRT(2)))</f>
        <v>#DIV/0!</v>
      </c>
      <c r="R23" t="s">
        <v>689</v>
      </c>
      <c r="S23" s="556" t="e">
        <f ca="1">MAX(1,TRUNC((U20/U15)*SQRT(2)))</f>
        <v>#DIV/0!</v>
      </c>
    </row>
    <row r="24" spans="1:22" x14ac:dyDescent="0.25">
      <c r="E24" t="e">
        <f ca="1"/>
        <v>#NAME?</v>
      </c>
      <c r="F24" s="178" t="e">
        <f t="array" aca="1" ref="F24" ca="1">_xlfn.VAR.S(IF(($A$4:$A$19=$E24)*($B$4:$B$19=F$22),$C$4:$C$19))</f>
        <v>#NAME?</v>
      </c>
      <c r="G24" s="40" t="e">
        <f t="array" aca="1" ref="G24" ca="1">_xlfn.VAR.S(IF(($A$4:$A$19=$E24)*($B$4:$B$19=G$22),$C$4:$C$19))</f>
        <v>#NAME?</v>
      </c>
      <c r="H24" t="e">
        <f t="array" aca="1" ref="H24" ca="1">_xlfn.VAR.S(IF($A$4:$A$19=$E24,$C$4:$C$19))</f>
        <v>#NAME?</v>
      </c>
    </row>
    <row r="25" spans="1:22" x14ac:dyDescent="0.25">
      <c r="E25" t="e">
        <f ca="1"/>
        <v>#NAME?</v>
      </c>
      <c r="F25" s="178" t="e">
        <f t="array" aca="1" ref="F25" ca="1">_xlfn.VAR.S(IF(($A$4:$A$19=$E25)*($B$4:$B$19=F$22),$C$4:$C$19))</f>
        <v>#NAME?</v>
      </c>
      <c r="G25" s="40" t="e">
        <f t="array" aca="1" ref="G25" ca="1">_xlfn.VAR.S(IF(($A$4:$A$19=$E25)*($B$4:$B$19=G$22),$C$4:$C$19))</f>
        <v>#NAME?</v>
      </c>
      <c r="H25" t="e">
        <f t="array" aca="1" ref="H25" ca="1">_xlfn.VAR.S(IF($A$4:$A$19=$E25,$C$4:$C$19))</f>
        <v>#NAME?</v>
      </c>
    </row>
    <row r="26" spans="1:22" x14ac:dyDescent="0.25">
      <c r="E26" t="e">
        <f ca="1"/>
        <v>#NAME?</v>
      </c>
      <c r="F26" s="513" t="e">
        <f t="array" aca="1" ref="F26" ca="1">_xlfn.VAR.S(IF(($A$4:$A$19=$E26)*($B$4:$B$19=F$22),$C$4:$C$19))</f>
        <v>#NAME?</v>
      </c>
      <c r="G26" s="462" t="e">
        <f t="array" aca="1" ref="G26" ca="1">_xlfn.VAR.S(IF(($A$4:$A$19=$E26)*($B$4:$B$19=G$22),$C$4:$C$19))</f>
        <v>#NAME?</v>
      </c>
      <c r="H26" t="e">
        <f t="array" aca="1" ref="H26" ca="1">_xlfn.VAR.S(IF($A$4:$A$19=$E26,$C$4:$C$19))</f>
        <v>#NAME?</v>
      </c>
    </row>
    <row r="27" spans="1:22" x14ac:dyDescent="0.25">
      <c r="F27" t="e">
        <f t="array" aca="1" ref="F27" ca="1">_xlfn.VAR.S(IF($B$4:$B$19=F$22,$C$4:$C$19))</f>
        <v>#NAME?</v>
      </c>
      <c r="G27" t="e">
        <f t="array" aca="1" ref="G27" ca="1">_xlfn.VAR.S(IF($B$4:$B$19=G$22,$C$4:$C$19))</f>
        <v>#NAME?</v>
      </c>
      <c r="H27">
        <f>_xlfn.VAR.S(C4:C19)</f>
        <v>132.08665885387958</v>
      </c>
    </row>
  </sheetData>
  <pageMargins left="0.7" right="0.7" top="0.75" bottom="0.75" header="0.3" footer="0.3"/>
  <pageSetup paperSize="9" orientation="portrait" verticalDpi="0" r:id="rId1"/>
  <ignoredErrors>
    <ignoredError sqref="M15:M21 K16 U15:U21 S16" formula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Z28"/>
  <sheetViews>
    <sheetView workbookViewId="0">
      <selection activeCell="Q26" sqref="Q26"/>
    </sheetView>
  </sheetViews>
  <sheetFormatPr defaultRowHeight="15" x14ac:dyDescent="0.25"/>
  <cols>
    <col min="1" max="1" width="2.42578125" customWidth="1"/>
    <col min="2" max="2" width="6" customWidth="1"/>
    <col min="13" max="13" width="15.140625" customWidth="1"/>
    <col min="19" max="19" width="7" customWidth="1"/>
    <col min="21" max="21" width="15.140625" customWidth="1"/>
  </cols>
  <sheetData>
    <row r="1" spans="2:26" x14ac:dyDescent="0.25">
      <c r="B1" s="1" t="s">
        <v>673</v>
      </c>
      <c r="G1" t="s">
        <v>24</v>
      </c>
      <c r="M1" t="s">
        <v>890</v>
      </c>
      <c r="U1" t="s">
        <v>891</v>
      </c>
    </row>
    <row r="3" spans="2:26" ht="15.75" thickBot="1" x14ac:dyDescent="0.3">
      <c r="B3" s="557" t="s">
        <v>405</v>
      </c>
      <c r="C3" s="558" t="s">
        <v>695</v>
      </c>
      <c r="D3" s="559" t="s">
        <v>696</v>
      </c>
      <c r="E3" s="560" t="s">
        <v>697</v>
      </c>
      <c r="G3" t="s">
        <v>489</v>
      </c>
      <c r="H3" t="str">
        <f>IF(COUNTIF(H5:J9,H5)=COUNT(H5:J9),"balanced","unbalanced")</f>
        <v>balanced</v>
      </c>
      <c r="M3" t="s">
        <v>101</v>
      </c>
      <c r="Q3" s="548" t="s">
        <v>31</v>
      </c>
      <c r="R3" s="548">
        <v>0.05</v>
      </c>
      <c r="U3" t="s">
        <v>101</v>
      </c>
      <c r="Y3" s="548" t="s">
        <v>31</v>
      </c>
      <c r="Z3" s="548">
        <v>0.05</v>
      </c>
    </row>
    <row r="4" spans="2:26" ht="15.75" thickTop="1" x14ac:dyDescent="0.25">
      <c r="B4" s="561" t="s">
        <v>690</v>
      </c>
      <c r="C4" s="562">
        <v>11.966950000000001</v>
      </c>
      <c r="D4" s="563">
        <v>12.125959999999999</v>
      </c>
      <c r="E4" s="206">
        <v>15.673450000000001</v>
      </c>
      <c r="H4" s="548" t="str">
        <f>C3</f>
        <v>Op1</v>
      </c>
      <c r="I4" s="548" t="str">
        <f t="shared" ref="I4:J4" si="0">D3</f>
        <v>Op2</v>
      </c>
      <c r="J4" s="548" t="str">
        <f t="shared" si="0"/>
        <v>Op3</v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188</v>
      </c>
      <c r="U4" s="251"/>
      <c r="V4" s="251" t="s">
        <v>88</v>
      </c>
      <c r="W4" s="251" t="s">
        <v>51</v>
      </c>
      <c r="X4" s="251" t="s">
        <v>92</v>
      </c>
      <c r="Y4" s="251" t="s">
        <v>82</v>
      </c>
      <c r="Z4" s="251" t="s">
        <v>56</v>
      </c>
    </row>
    <row r="5" spans="2:26" x14ac:dyDescent="0.25">
      <c r="B5" s="179"/>
      <c r="C5" s="40">
        <v>12.098100000000001</v>
      </c>
      <c r="D5" s="206">
        <v>12.8452</v>
      </c>
      <c r="E5" s="206">
        <v>12.78345</v>
      </c>
      <c r="G5" t="str">
        <f>B4</f>
        <v>P1</v>
      </c>
      <c r="H5" s="564">
        <f>COUNT(C4:C7)</f>
        <v>4</v>
      </c>
      <c r="I5" s="482">
        <f t="shared" ref="I5:J5" si="1">COUNT(D4:D7)</f>
        <v>4</v>
      </c>
      <c r="J5" s="562">
        <f t="shared" si="1"/>
        <v>4</v>
      </c>
      <c r="K5">
        <f>COUNT(C4:E7)</f>
        <v>12</v>
      </c>
      <c r="M5" t="s">
        <v>675</v>
      </c>
      <c r="N5">
        <f>DEVSQ(K14:K18)*K5</f>
        <v>4402.857442354717</v>
      </c>
      <c r="O5">
        <f>COUNT(K14:K18)-1</f>
        <v>4</v>
      </c>
      <c r="P5">
        <f>N5/O5</f>
        <v>1100.7143605886793</v>
      </c>
      <c r="Q5">
        <f>P5/P7</f>
        <v>46.942643297420666</v>
      </c>
      <c r="R5">
        <f>_xlfn.F.DIST.RT(Q5,O5,O7)</f>
        <v>1.3486690279886766E-5</v>
      </c>
      <c r="U5" t="s">
        <v>675</v>
      </c>
      <c r="V5">
        <f>N5</f>
        <v>4402.857442354717</v>
      </c>
      <c r="W5">
        <f>O5</f>
        <v>4</v>
      </c>
      <c r="X5">
        <f>V5/W5</f>
        <v>1100.7143605886793</v>
      </c>
      <c r="Y5">
        <f>X5/X8</f>
        <v>181.30858512709801</v>
      </c>
      <c r="Z5">
        <f>_xlfn.F.DIST.RT(Y5,W5,W8)</f>
        <v>3.0813316152357001E-30</v>
      </c>
    </row>
    <row r="6" spans="2:26" x14ac:dyDescent="0.25">
      <c r="B6" s="179"/>
      <c r="C6" s="40">
        <v>15.90911</v>
      </c>
      <c r="D6" s="206">
        <v>11.97681</v>
      </c>
      <c r="E6" s="206">
        <v>9.6744299999999992</v>
      </c>
      <c r="G6" t="str">
        <f>B8</f>
        <v>P2</v>
      </c>
      <c r="H6" s="178">
        <f>COUNT(C8:C11)</f>
        <v>4</v>
      </c>
      <c r="I6">
        <f t="shared" ref="I6:J6" si="2">COUNT(D8:D11)</f>
        <v>4</v>
      </c>
      <c r="J6" s="40">
        <f t="shared" si="2"/>
        <v>4</v>
      </c>
      <c r="K6">
        <f>COUNT(C8:E11)</f>
        <v>12</v>
      </c>
      <c r="M6" t="s">
        <v>678</v>
      </c>
      <c r="N6">
        <f>DEVSQ(H19:J19)*H10</f>
        <v>0.66341450235999011</v>
      </c>
      <c r="O6">
        <f>COUNT(H19:J19)-1</f>
        <v>2</v>
      </c>
      <c r="P6">
        <f>N6/O6</f>
        <v>0.33170725117999506</v>
      </c>
      <c r="Q6">
        <f>P6/P7</f>
        <v>1.4146463177770024E-2</v>
      </c>
      <c r="R6">
        <f>_xlfn.F.DIST.RT(Q6,O6,O7)</f>
        <v>0.98597773408449096</v>
      </c>
      <c r="U6" t="s">
        <v>678</v>
      </c>
      <c r="V6">
        <f>N6</f>
        <v>0.66341450235999011</v>
      </c>
      <c r="W6">
        <f>O6</f>
        <v>2</v>
      </c>
      <c r="X6">
        <f>V6/W6</f>
        <v>0.33170725117999506</v>
      </c>
      <c r="Y6">
        <f>X6/X8</f>
        <v>5.4638491638901915E-2</v>
      </c>
      <c r="Z6">
        <f>_xlfn.F.DIST.RT(Y6,W6,W8)</f>
        <v>0.94688063295419922</v>
      </c>
    </row>
    <row r="7" spans="2:26" x14ac:dyDescent="0.25">
      <c r="B7" s="376" t="s">
        <v>405</v>
      </c>
      <c r="C7" s="462">
        <v>17.438790000000001</v>
      </c>
      <c r="D7" s="565">
        <v>12.432969999999999</v>
      </c>
      <c r="E7" s="565">
        <v>14.10087</v>
      </c>
      <c r="G7" t="str">
        <f>B12</f>
        <v>P3</v>
      </c>
      <c r="H7" s="178">
        <f>COUNT(C12:C15)</f>
        <v>4</v>
      </c>
      <c r="I7">
        <f t="shared" ref="I7:J7" si="3">COUNT(D12:D15)</f>
        <v>4</v>
      </c>
      <c r="J7" s="40">
        <f t="shared" si="3"/>
        <v>4</v>
      </c>
      <c r="K7">
        <f>COUNT(C12:E15)</f>
        <v>12</v>
      </c>
      <c r="M7" t="s">
        <v>679</v>
      </c>
      <c r="N7">
        <f>N9-N5-N6-N8</f>
        <v>187.58455566547266</v>
      </c>
      <c r="O7">
        <f>O6*O5</f>
        <v>8</v>
      </c>
      <c r="P7">
        <f>N7/O7</f>
        <v>23.448069458184083</v>
      </c>
      <c r="Q7">
        <f>P7/P8</f>
        <v>7.8640519069518406</v>
      </c>
      <c r="R7">
        <f>_xlfn.F.DIST.RT(Q7,O7,O8)</f>
        <v>1.5097930272922274E-6</v>
      </c>
      <c r="S7" s="548" t="str">
        <f>IF(R7&lt;R3,"yes","no")</f>
        <v>yes</v>
      </c>
      <c r="U7" t="s">
        <v>679</v>
      </c>
      <c r="V7">
        <v>0</v>
      </c>
      <c r="W7">
        <v>0</v>
      </c>
    </row>
    <row r="8" spans="2:26" x14ac:dyDescent="0.25">
      <c r="B8" s="179" t="s">
        <v>691</v>
      </c>
      <c r="C8" s="40">
        <v>6.1451799999999999</v>
      </c>
      <c r="D8" s="206">
        <v>7.3478899999999996</v>
      </c>
      <c r="E8" s="206">
        <v>5.5459199999999997</v>
      </c>
      <c r="G8" t="str">
        <f>B16</f>
        <v>P4</v>
      </c>
      <c r="H8" s="178">
        <f>COUNT(C16:C19)</f>
        <v>4</v>
      </c>
      <c r="I8">
        <f t="shared" ref="I8:J8" si="4">COUNT(D16:D19)</f>
        <v>4</v>
      </c>
      <c r="J8" s="40">
        <f t="shared" si="4"/>
        <v>4</v>
      </c>
      <c r="K8">
        <f>COUNT(C16:E19)</f>
        <v>12</v>
      </c>
      <c r="M8" t="s">
        <v>680</v>
      </c>
      <c r="N8">
        <f>SUM(H23:J27)*(H5-1)</f>
        <v>134.17550368475023</v>
      </c>
      <c r="O8">
        <f>O9-O5-O6-O7</f>
        <v>45</v>
      </c>
      <c r="P8">
        <f>N8/O8</f>
        <v>2.981677859661116</v>
      </c>
      <c r="U8" t="s">
        <v>680</v>
      </c>
      <c r="V8">
        <f>N7+N8</f>
        <v>321.76005935022289</v>
      </c>
      <c r="W8">
        <f>O7+O8</f>
        <v>53</v>
      </c>
      <c r="X8">
        <f>V8/W8</f>
        <v>6.0709445160419415</v>
      </c>
    </row>
    <row r="9" spans="2:26" x14ac:dyDescent="0.25">
      <c r="B9" s="179"/>
      <c r="C9" s="40">
        <v>6.0017800000000001</v>
      </c>
      <c r="D9" s="206">
        <v>8.4523899999999994</v>
      </c>
      <c r="E9" s="206">
        <v>6.5434400000000004</v>
      </c>
      <c r="G9" t="str">
        <f>B20</f>
        <v>P5</v>
      </c>
      <c r="H9" s="513">
        <f>COUNT(C20:C23)</f>
        <v>4</v>
      </c>
      <c r="I9" s="461">
        <f t="shared" ref="I9:J9" si="5">COUNT(D20:D23)</f>
        <v>4</v>
      </c>
      <c r="J9" s="462">
        <f t="shared" si="5"/>
        <v>4</v>
      </c>
      <c r="K9">
        <f>COUNT(C20:E23)</f>
        <v>12</v>
      </c>
      <c r="M9" s="516" t="s">
        <v>1</v>
      </c>
      <c r="N9" s="516">
        <f>P9*O9</f>
        <v>4725.2809162072999</v>
      </c>
      <c r="O9" s="516">
        <f>K10-1</f>
        <v>59</v>
      </c>
      <c r="P9" s="516">
        <f>K28</f>
        <v>80.089507054361022</v>
      </c>
      <c r="Q9" s="516"/>
      <c r="R9" s="516"/>
      <c r="S9" s="516"/>
      <c r="U9" s="516" t="s">
        <v>1</v>
      </c>
      <c r="V9" s="516">
        <f>X9*W9</f>
        <v>4725.2809162072999</v>
      </c>
      <c r="W9" s="516">
        <f>O9</f>
        <v>59</v>
      </c>
      <c r="X9" s="516">
        <f>P9</f>
        <v>80.089507054361022</v>
      </c>
      <c r="Y9" s="516"/>
      <c r="Z9" s="516"/>
    </row>
    <row r="10" spans="2:26" x14ac:dyDescent="0.25">
      <c r="B10" s="179"/>
      <c r="C10" s="40">
        <v>5.9818100000000003</v>
      </c>
      <c r="D10" s="206">
        <v>5.1009599999999997</v>
      </c>
      <c r="E10" s="206">
        <v>4.3461699999999999</v>
      </c>
      <c r="H10">
        <f>COUNT(C4:C23)</f>
        <v>20</v>
      </c>
      <c r="I10">
        <f t="shared" ref="I10:J10" si="6">COUNT(D4:D23)</f>
        <v>20</v>
      </c>
      <c r="J10">
        <f t="shared" si="6"/>
        <v>20</v>
      </c>
      <c r="K10">
        <f>COUNT(C4:E23)</f>
        <v>60</v>
      </c>
    </row>
    <row r="11" spans="2:26" ht="15.75" thickBot="1" x14ac:dyDescent="0.3">
      <c r="B11" s="179"/>
      <c r="C11" s="40">
        <v>6.9156000000000004</v>
      </c>
      <c r="D11" s="206">
        <v>6.5585000000000004</v>
      </c>
      <c r="E11" s="206">
        <v>5.4466799999999997</v>
      </c>
      <c r="M11" t="s">
        <v>681</v>
      </c>
      <c r="U11" t="s">
        <v>681</v>
      </c>
    </row>
    <row r="12" spans="2:26" ht="15.75" thickTop="1" x14ac:dyDescent="0.25">
      <c r="B12" s="561" t="s">
        <v>692</v>
      </c>
      <c r="C12" s="562">
        <v>-14.5146</v>
      </c>
      <c r="D12" s="563">
        <v>-11.25817</v>
      </c>
      <c r="E12" s="563">
        <v>-9.5523799999999994</v>
      </c>
      <c r="G12" t="s">
        <v>259</v>
      </c>
      <c r="M12" s="251"/>
      <c r="N12" s="251" t="s">
        <v>368</v>
      </c>
      <c r="O12" s="251" t="s">
        <v>367</v>
      </c>
      <c r="P12" s="251" t="s">
        <v>49</v>
      </c>
      <c r="Q12" s="251" t="s">
        <v>367</v>
      </c>
      <c r="U12" s="251"/>
      <c r="V12" s="251" t="s">
        <v>368</v>
      </c>
      <c r="W12" s="251" t="s">
        <v>367</v>
      </c>
      <c r="X12" s="251" t="s">
        <v>49</v>
      </c>
      <c r="Y12" s="251" t="s">
        <v>367</v>
      </c>
    </row>
    <row r="13" spans="2:26" x14ac:dyDescent="0.25">
      <c r="B13" s="179"/>
      <c r="C13" s="40">
        <v>-11.67891</v>
      </c>
      <c r="D13" s="206">
        <v>-10.65401</v>
      </c>
      <c r="E13" s="206">
        <v>-10.14465</v>
      </c>
      <c r="H13" s="548" t="str">
        <f>C3</f>
        <v>Op1</v>
      </c>
      <c r="I13" s="548" t="str">
        <f t="shared" ref="I13:J13" si="7">D3</f>
        <v>Op2</v>
      </c>
      <c r="J13" s="548" t="str">
        <f t="shared" si="7"/>
        <v>Op3</v>
      </c>
      <c r="M13" t="s">
        <v>682</v>
      </c>
      <c r="N13">
        <f>N14+N15</f>
        <v>8.0982757592918588</v>
      </c>
      <c r="O13" s="374">
        <f>N13/N$19</f>
        <v>8.2744836450047821E-2</v>
      </c>
      <c r="P13">
        <f>SQRT(N13)</f>
        <v>2.8457469598142171</v>
      </c>
      <c r="Q13" s="374">
        <f>P13/P$19</f>
        <v>0.28765402213431296</v>
      </c>
      <c r="U13" t="s">
        <v>682</v>
      </c>
      <c r="V13">
        <f>V14+V15</f>
        <v>6.0875298786009413</v>
      </c>
      <c r="W13" s="374">
        <f>V13/V$19</f>
        <v>6.2235946738319843E-2</v>
      </c>
      <c r="X13">
        <f>SQRT(V13)</f>
        <v>2.467292013240618</v>
      </c>
      <c r="Y13" s="374">
        <f>X13/X$19</f>
        <v>0.24947133450222264</v>
      </c>
    </row>
    <row r="14" spans="2:26" x14ac:dyDescent="0.25">
      <c r="B14" s="179"/>
      <c r="C14" s="40">
        <v>-11.789110000000001</v>
      </c>
      <c r="D14" s="206">
        <v>-9.6342099999999995</v>
      </c>
      <c r="E14" s="206">
        <v>-7.3360399999999997</v>
      </c>
      <c r="G14" t="str">
        <f>B4</f>
        <v>P1</v>
      </c>
      <c r="H14" s="564">
        <f>AVERAGE(C4:C7)</f>
        <v>14.353237499999999</v>
      </c>
      <c r="I14" s="482">
        <f t="shared" ref="I14:J14" si="8">AVERAGE(D4:D7)</f>
        <v>12.345234999999999</v>
      </c>
      <c r="J14" s="562">
        <f t="shared" si="8"/>
        <v>13.05805</v>
      </c>
      <c r="K14">
        <f>AVERAGE(C4:E7)</f>
        <v>13.252174166666668</v>
      </c>
      <c r="M14" t="s">
        <v>683</v>
      </c>
      <c r="N14">
        <f>P8</f>
        <v>2.981677859661116</v>
      </c>
      <c r="O14" s="374">
        <f t="shared" ref="O14:O19" si="9">N14/N$19</f>
        <v>3.0465552690189149E-2</v>
      </c>
      <c r="P14">
        <f t="shared" ref="P14:P19" si="10">SQRT(N14)</f>
        <v>1.7267535607784672</v>
      </c>
      <c r="Q14" s="374">
        <f t="shared" ref="Q14:Q19" si="11">P14/P$19</f>
        <v>0.17454384174238041</v>
      </c>
      <c r="U14" t="s">
        <v>683</v>
      </c>
      <c r="V14">
        <f>X8</f>
        <v>6.0709445160419415</v>
      </c>
      <c r="W14" s="374">
        <f t="shared" ref="W14:W19" si="12">V14/V$19</f>
        <v>6.2066386052550382E-2</v>
      </c>
      <c r="X14">
        <f t="shared" ref="X14:X19" si="13">SQRT(V14)</f>
        <v>2.4639286751125611</v>
      </c>
      <c r="Y14" s="374">
        <f t="shared" ref="Y14:Y19" si="14">X14/X$19</f>
        <v>0.24913126269609437</v>
      </c>
    </row>
    <row r="15" spans="2:26" x14ac:dyDescent="0.25">
      <c r="B15" s="376" t="s">
        <v>405</v>
      </c>
      <c r="C15" s="462">
        <v>-13.1431</v>
      </c>
      <c r="D15" s="565">
        <v>-8.9637399999999996</v>
      </c>
      <c r="E15" s="565">
        <v>-11.113479999999999</v>
      </c>
      <c r="G15" t="str">
        <f>B8</f>
        <v>P2</v>
      </c>
      <c r="H15" s="178">
        <f>AVERAGE(C8:C11)</f>
        <v>6.2610925000000002</v>
      </c>
      <c r="I15">
        <f t="shared" ref="I15:J15" si="15">AVERAGE(D8:D11)</f>
        <v>6.8649349999999991</v>
      </c>
      <c r="J15" s="40">
        <f t="shared" si="15"/>
        <v>5.4705525000000002</v>
      </c>
      <c r="K15">
        <f>AVERAGE(C8:E11)</f>
        <v>6.1988599999999998</v>
      </c>
      <c r="M15" t="s">
        <v>684</v>
      </c>
      <c r="N15">
        <f>N16+N17</f>
        <v>5.116597899630742</v>
      </c>
      <c r="O15" s="374">
        <f t="shared" si="9"/>
        <v>5.2279283759858658E-2</v>
      </c>
      <c r="P15">
        <f t="shared" si="10"/>
        <v>2.2619898097981657</v>
      </c>
      <c r="Q15" s="374">
        <f t="shared" si="11"/>
        <v>0.22864663513784464</v>
      </c>
      <c r="U15" t="s">
        <v>684</v>
      </c>
      <c r="V15">
        <f>V16+V17</f>
        <v>1.6585362558999752E-2</v>
      </c>
      <c r="W15" s="374">
        <f t="shared" si="12"/>
        <v>1.6956068576945662E-4</v>
      </c>
      <c r="X15">
        <f t="shared" si="13"/>
        <v>0.12878417045196103</v>
      </c>
      <c r="Y15" s="374">
        <f t="shared" si="14"/>
        <v>1.3021546980656969E-2</v>
      </c>
    </row>
    <row r="16" spans="2:26" x14ac:dyDescent="0.25">
      <c r="B16" s="561" t="s">
        <v>693</v>
      </c>
      <c r="C16" s="562">
        <v>-1.3947499999999999</v>
      </c>
      <c r="D16" s="563">
        <v>-5.8911499999999997</v>
      </c>
      <c r="E16" s="563">
        <v>-6.7290099999999997</v>
      </c>
      <c r="G16" t="str">
        <f>B12</f>
        <v>P3</v>
      </c>
      <c r="H16" s="178">
        <f>AVERAGE(C12:C15)</f>
        <v>-12.78143</v>
      </c>
      <c r="I16">
        <f t="shared" ref="I16:J16" si="16">AVERAGE(D12:D15)</f>
        <v>-10.127532499999999</v>
      </c>
      <c r="J16" s="40">
        <f t="shared" si="16"/>
        <v>-9.5366374999999994</v>
      </c>
      <c r="K16">
        <f>AVERAGE(C12:E15)</f>
        <v>-10.815200000000003</v>
      </c>
      <c r="M16" t="s">
        <v>685</v>
      </c>
      <c r="N16">
        <f>MAX((P6-P7)/(J5*(O5+1)),0)</f>
        <v>0</v>
      </c>
      <c r="O16" s="374">
        <f t="shared" si="9"/>
        <v>0</v>
      </c>
      <c r="P16">
        <f t="shared" si="10"/>
        <v>0</v>
      </c>
      <c r="Q16" s="374">
        <f t="shared" si="11"/>
        <v>0</v>
      </c>
      <c r="U16" t="s">
        <v>685</v>
      </c>
      <c r="V16">
        <f>MAX((X6-X7)/(J5*(W5+1)),0)</f>
        <v>1.6585362558999752E-2</v>
      </c>
      <c r="W16" s="374">
        <f t="shared" si="12"/>
        <v>1.6956068576945662E-4</v>
      </c>
      <c r="X16">
        <f t="shared" si="13"/>
        <v>0.12878417045196103</v>
      </c>
      <c r="Y16" s="374">
        <f t="shared" si="14"/>
        <v>1.3021546980656969E-2</v>
      </c>
    </row>
    <row r="17" spans="2:25" x14ac:dyDescent="0.25">
      <c r="B17" s="179"/>
      <c r="C17" s="40">
        <v>-0.97565999999999997</v>
      </c>
      <c r="D17" s="206">
        <v>-4.7845000000000004</v>
      </c>
      <c r="E17" s="206">
        <v>-8.85778</v>
      </c>
      <c r="G17" t="str">
        <f>B16</f>
        <v>P4</v>
      </c>
      <c r="H17" s="178">
        <f>AVERAGE(C16:C19)</f>
        <v>-0.88754999999999995</v>
      </c>
      <c r="I17">
        <f t="shared" ref="I17:J17" si="17">AVERAGE(D16:D19)</f>
        <v>-4.0086550000000001</v>
      </c>
      <c r="J17" s="40">
        <f t="shared" si="17"/>
        <v>-8.0560849999999995</v>
      </c>
      <c r="K17">
        <f>AVERAGE(C16:E19)</f>
        <v>-4.317429999999999</v>
      </c>
      <c r="M17" t="s">
        <v>686</v>
      </c>
      <c r="N17">
        <f>MAX((P7-P8)/J5,0)</f>
        <v>5.116597899630742</v>
      </c>
      <c r="O17" s="374">
        <f t="shared" si="9"/>
        <v>5.2279283759858658E-2</v>
      </c>
      <c r="P17">
        <f t="shared" si="10"/>
        <v>2.2619898097981657</v>
      </c>
      <c r="Q17" s="374">
        <f t="shared" si="11"/>
        <v>0.22864663513784464</v>
      </c>
      <c r="U17" t="s">
        <v>686</v>
      </c>
      <c r="V17">
        <f>MAX((X7-X8)/J5,0)</f>
        <v>0</v>
      </c>
      <c r="W17" s="374">
        <f t="shared" si="12"/>
        <v>0</v>
      </c>
      <c r="X17">
        <f t="shared" si="13"/>
        <v>0</v>
      </c>
      <c r="Y17" s="374">
        <f t="shared" si="14"/>
        <v>0</v>
      </c>
    </row>
    <row r="18" spans="2:25" x14ac:dyDescent="0.25">
      <c r="B18" s="179"/>
      <c r="C18" s="40">
        <v>1.7723100000000001</v>
      </c>
      <c r="D18" s="206">
        <v>-1.6452199999999999</v>
      </c>
      <c r="E18" s="206">
        <v>-7.6448799999999997</v>
      </c>
      <c r="G18" t="str">
        <f>B20</f>
        <v>P5</v>
      </c>
      <c r="H18" s="513">
        <f>AVERAGE(C20:C23)</f>
        <v>4.0570750000000002</v>
      </c>
      <c r="I18" s="461">
        <f t="shared" ref="I18:J18" si="18">AVERAGE(D20:D23)</f>
        <v>5.9302774999999999</v>
      </c>
      <c r="J18" s="462">
        <f t="shared" si="18"/>
        <v>8.9521599999999992</v>
      </c>
      <c r="K18">
        <f>AVERAGE(C20:E23)</f>
        <v>6.3131708333333316</v>
      </c>
      <c r="M18" t="s">
        <v>687</v>
      </c>
      <c r="N18">
        <f>MAX((P5-P7)/(J5*(O6+1)),0)</f>
        <v>89.77219092754126</v>
      </c>
      <c r="O18" s="374">
        <f t="shared" si="9"/>
        <v>0.91725516354995229</v>
      </c>
      <c r="P18">
        <f t="shared" si="10"/>
        <v>9.474818780723</v>
      </c>
      <c r="Q18" s="374">
        <f t="shared" si="11"/>
        <v>0.95773439091950352</v>
      </c>
      <c r="U18" t="s">
        <v>687</v>
      </c>
      <c r="V18">
        <f>MAX((X5-X7)/(J5*(W6+1)),0)</f>
        <v>91.726196715723276</v>
      </c>
      <c r="W18" s="374">
        <f t="shared" si="12"/>
        <v>0.93776405326168011</v>
      </c>
      <c r="X18">
        <f t="shared" si="13"/>
        <v>9.5773794284095946</v>
      </c>
      <c r="Y18" s="374">
        <f t="shared" si="14"/>
        <v>0.96838218346977056</v>
      </c>
    </row>
    <row r="19" spans="2:25" x14ac:dyDescent="0.25">
      <c r="B19" s="376" t="s">
        <v>405</v>
      </c>
      <c r="C19" s="462">
        <v>-2.9521000000000002</v>
      </c>
      <c r="D19" s="565">
        <v>-3.7137500000000001</v>
      </c>
      <c r="E19" s="565">
        <v>-8.9926700000000004</v>
      </c>
      <c r="H19">
        <f>AVERAGE(C4:C23)</f>
        <v>2.2004849999999987</v>
      </c>
      <c r="I19">
        <f t="shared" ref="I19:J19" si="19">AVERAGE(D4:D23)</f>
        <v>2.2008519999999994</v>
      </c>
      <c r="J19">
        <f t="shared" si="19"/>
        <v>1.9776080000000007</v>
      </c>
      <c r="K19">
        <f>AVERAGE(C4:E23)</f>
        <v>2.126315</v>
      </c>
      <c r="M19" s="516" t="s">
        <v>688</v>
      </c>
      <c r="N19" s="516">
        <f>N13+N18</f>
        <v>97.870466686833112</v>
      </c>
      <c r="O19" s="555">
        <f t="shared" si="9"/>
        <v>1</v>
      </c>
      <c r="P19" s="516">
        <f t="shared" si="10"/>
        <v>9.8929503529954665</v>
      </c>
      <c r="Q19" s="555">
        <f t="shared" si="11"/>
        <v>1</v>
      </c>
      <c r="U19" s="516" t="s">
        <v>688</v>
      </c>
      <c r="V19" s="516">
        <f>V13+V18</f>
        <v>97.813726594324223</v>
      </c>
      <c r="W19" s="555">
        <f t="shared" si="12"/>
        <v>1</v>
      </c>
      <c r="X19" s="516">
        <f t="shared" si="13"/>
        <v>9.8900822339515564</v>
      </c>
      <c r="Y19" s="555">
        <f t="shared" si="14"/>
        <v>1</v>
      </c>
    </row>
    <row r="20" spans="2:25" x14ac:dyDescent="0.25">
      <c r="B20" s="561" t="s">
        <v>694</v>
      </c>
      <c r="C20" s="562">
        <v>5.2508900000000001</v>
      </c>
      <c r="D20" s="563">
        <v>6.7213399999999996</v>
      </c>
      <c r="E20" s="563">
        <v>12.00177</v>
      </c>
    </row>
    <row r="21" spans="2:25" x14ac:dyDescent="0.25">
      <c r="B21" s="179"/>
      <c r="C21" s="40">
        <v>4.7655200000000004</v>
      </c>
      <c r="D21" s="206">
        <v>7.3498099999999997</v>
      </c>
      <c r="E21" s="206">
        <v>8.7343299999999999</v>
      </c>
      <c r="G21" t="s">
        <v>490</v>
      </c>
      <c r="M21" t="s">
        <v>689</v>
      </c>
      <c r="N21" s="556">
        <f>MAX(1,TRUNC((P18/P13)*SQRT(2)))</f>
        <v>4</v>
      </c>
      <c r="U21" t="s">
        <v>689</v>
      </c>
      <c r="V21" s="556">
        <f>MAX(1,TRUNC((X18/X13)*SQRT(2)))</f>
        <v>5</v>
      </c>
    </row>
    <row r="22" spans="2:25" x14ac:dyDescent="0.25">
      <c r="B22" s="179"/>
      <c r="C22" s="40">
        <v>2.8891399999999998</v>
      </c>
      <c r="D22" s="206">
        <v>4.63408</v>
      </c>
      <c r="E22" s="206">
        <v>4.43865</v>
      </c>
      <c r="H22" s="548" t="str">
        <f>C3</f>
        <v>Op1</v>
      </c>
      <c r="I22" s="548" t="str">
        <f t="shared" ref="I22:J22" si="20">D3</f>
        <v>Op2</v>
      </c>
      <c r="J22" s="548" t="str">
        <f t="shared" si="20"/>
        <v>Op3</v>
      </c>
    </row>
    <row r="23" spans="2:25" x14ac:dyDescent="0.25">
      <c r="B23" s="175" t="s">
        <v>405</v>
      </c>
      <c r="C23" s="462">
        <v>3.3227500000000001</v>
      </c>
      <c r="D23" s="565">
        <v>5.0158800000000001</v>
      </c>
      <c r="E23" s="565">
        <v>10.633889999999999</v>
      </c>
      <c r="G23" t="str">
        <f>B4</f>
        <v>P1</v>
      </c>
      <c r="H23" s="564">
        <f>VAR(C4:C7)</f>
        <v>7.5737955476917023</v>
      </c>
      <c r="I23" s="482">
        <f t="shared" ref="I23:J23" si="21">VAR(D4:D7)</f>
        <v>0.1471603125666667</v>
      </c>
      <c r="J23" s="562">
        <f t="shared" si="21"/>
        <v>6.4840267255999988</v>
      </c>
      <c r="K23">
        <f>VAR(C4:E7)</f>
        <v>4.6277455445537763</v>
      </c>
    </row>
    <row r="24" spans="2:25" x14ac:dyDescent="0.25">
      <c r="G24" t="str">
        <f>B8</f>
        <v>P2</v>
      </c>
      <c r="H24" s="178">
        <f>VAR(C8:C11)</f>
        <v>0.19568582089166678</v>
      </c>
      <c r="I24">
        <f t="shared" ref="I24:J24" si="22">VAR(D8:D11)</f>
        <v>1.9862563729666836</v>
      </c>
      <c r="J24" s="40">
        <f t="shared" si="22"/>
        <v>0.80719125009166248</v>
      </c>
      <c r="K24">
        <f>VAR(C8:E11)</f>
        <v>1.1708402498909125</v>
      </c>
    </row>
    <row r="25" spans="2:25" x14ac:dyDescent="0.25">
      <c r="G25" t="str">
        <f>B12</f>
        <v>P3</v>
      </c>
      <c r="H25" s="178">
        <f>VAR(C12:C15)</f>
        <v>1.7783109235333325</v>
      </c>
      <c r="I25">
        <f t="shared" ref="I25:J25" si="23">VAR(D12:D15)</f>
        <v>1.051099928825</v>
      </c>
      <c r="J25" s="40">
        <f t="shared" si="23"/>
        <v>2.5663295510916746</v>
      </c>
      <c r="K25">
        <f>VAR(C12:E15)</f>
        <v>3.6438088627090481</v>
      </c>
    </row>
    <row r="26" spans="2:25" x14ac:dyDescent="0.25">
      <c r="G26" t="str">
        <f>B16</f>
        <v>P4</v>
      </c>
      <c r="H26" s="178">
        <f>VAR(C16:C19)</f>
        <v>3.8674123780666672</v>
      </c>
      <c r="I26">
        <f t="shared" ref="I26:J26" si="24">VAR(D16:D19)</f>
        <v>3.2728389491000009</v>
      </c>
      <c r="J26" s="40">
        <f t="shared" si="24"/>
        <v>1.1500413143000212</v>
      </c>
      <c r="K26">
        <f>VAR(C16:E19)</f>
        <v>11.656247092781824</v>
      </c>
    </row>
    <row r="27" spans="2:25" x14ac:dyDescent="0.25">
      <c r="G27" t="str">
        <f>B20</f>
        <v>P5</v>
      </c>
      <c r="H27" s="513">
        <f>VAR(C20:C23)</f>
        <v>1.2767979806999961</v>
      </c>
      <c r="I27" s="461">
        <f t="shared" ref="I27:J27" si="25">VAR(D20:D23)</f>
        <v>1.7190343814916673</v>
      </c>
      <c r="J27" s="462">
        <f t="shared" si="25"/>
        <v>10.849186458</v>
      </c>
      <c r="K27">
        <f>VAR(C20:E23)</f>
        <v>8.2125831457538077</v>
      </c>
    </row>
    <row r="28" spans="2:25" x14ac:dyDescent="0.25">
      <c r="H28">
        <f>VAR(C4:C23)</f>
        <v>86.871072050531609</v>
      </c>
      <c r="I28">
        <f t="shared" ref="I28:J28" si="26">VAR(D4:D23)</f>
        <v>70.578973739627358</v>
      </c>
      <c r="J28">
        <f t="shared" si="26"/>
        <v>91.214033246943146</v>
      </c>
      <c r="K28">
        <f>VAR(C4:E23)</f>
        <v>80.089507054361022</v>
      </c>
    </row>
  </sheetData>
  <pageMargins left="0.7" right="0.7" top="0.75" bottom="0.75" header="0.3" footer="0.3"/>
  <ignoredErrors>
    <ignoredError sqref="P13:P19 N14" formula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C23"/>
  <sheetViews>
    <sheetView zoomScaleNormal="100" workbookViewId="0"/>
  </sheetViews>
  <sheetFormatPr defaultRowHeight="15" x14ac:dyDescent="0.25"/>
  <cols>
    <col min="13" max="13" width="8" customWidth="1"/>
    <col min="19" max="19" width="4.140625" customWidth="1"/>
    <col min="22" max="22" width="5" customWidth="1"/>
    <col min="43" max="55" width="14" customWidth="1"/>
  </cols>
  <sheetData>
    <row r="1" spans="1:55" x14ac:dyDescent="0.25">
      <c r="A1" s="1" t="s">
        <v>670</v>
      </c>
    </row>
    <row r="2" spans="1:55" x14ac:dyDescent="0.25">
      <c r="G2" t="s">
        <v>671</v>
      </c>
      <c r="M2" t="s">
        <v>24</v>
      </c>
      <c r="T2" t="s">
        <v>672</v>
      </c>
      <c r="AB2" t="s">
        <v>24</v>
      </c>
      <c r="AI2" t="s">
        <v>493</v>
      </c>
      <c r="AQ2" t="s">
        <v>655</v>
      </c>
    </row>
    <row r="3" spans="1:55" x14ac:dyDescent="0.25">
      <c r="B3" s="583" t="s">
        <v>250</v>
      </c>
      <c r="C3" s="584"/>
      <c r="D3" s="584"/>
      <c r="E3" s="585"/>
    </row>
    <row r="4" spans="1:55" ht="15.75" thickBot="1" x14ac:dyDescent="0.3">
      <c r="A4" s="169" t="s">
        <v>251</v>
      </c>
      <c r="B4" s="370" t="s">
        <v>239</v>
      </c>
      <c r="C4" s="370" t="s">
        <v>240</v>
      </c>
      <c r="D4" s="370" t="s">
        <v>241</v>
      </c>
      <c r="E4" s="370" t="s">
        <v>245</v>
      </c>
      <c r="G4" s="169" t="str">
        <f>IF(A4="","",A4)</f>
        <v>Fertilizer</v>
      </c>
      <c r="H4" s="370" t="str">
        <f>IF(B4="","",B4)</f>
        <v>Wheat</v>
      </c>
      <c r="I4" s="370" t="str">
        <f>IF(C4="","",C4)</f>
        <v>Corn</v>
      </c>
      <c r="J4" s="370" t="str">
        <f>IF(D4="","",D4)</f>
        <v>Soy</v>
      </c>
      <c r="K4" s="370" t="str">
        <f>IF(E4="","",E4)</f>
        <v>Rice</v>
      </c>
      <c r="M4" t="s">
        <v>489</v>
      </c>
      <c r="N4" t="str">
        <f ca="1">IF(COUNTIF(N6:Q8,N6)=COUNT(N6:Q8),"balanced","unbalanced")</f>
        <v>balanced</v>
      </c>
      <c r="T4" t="s">
        <v>101</v>
      </c>
      <c r="X4" s="378" t="s">
        <v>31</v>
      </c>
      <c r="Y4" s="378">
        <v>0.05</v>
      </c>
      <c r="AB4" t="s">
        <v>489</v>
      </c>
      <c r="AC4" t="str">
        <f ca="1">IF(COUNTIF(AC6:AF8,AC6)=COUNT(AC6:AF8),"balanced","unbalanced")</f>
        <v>balanced</v>
      </c>
      <c r="AI4" t="s">
        <v>101</v>
      </c>
      <c r="AM4" s="378" t="s">
        <v>31</v>
      </c>
      <c r="AN4" s="378">
        <v>0.05</v>
      </c>
      <c r="AQ4" t="str">
        <f>A5&amp;"-"&amp;B4</f>
        <v>Blend X-Wheat</v>
      </c>
      <c r="AR4" t="str">
        <f>A5&amp;"-"&amp;C4</f>
        <v>Blend X-Corn</v>
      </c>
      <c r="AS4" t="str">
        <f>A5&amp;"-"&amp;D4</f>
        <v>Blend X-Soy</v>
      </c>
      <c r="AT4" t="str">
        <f>A5&amp;"-"&amp;E4</f>
        <v>Blend X-Rice</v>
      </c>
      <c r="AU4" t="str">
        <f>A10&amp;"-"&amp;B4</f>
        <v>Blend Y-Wheat</v>
      </c>
      <c r="AV4" t="str">
        <f>A10&amp;"-"&amp;C4</f>
        <v>Blend Y-Corn</v>
      </c>
      <c r="AW4" t="str">
        <f>A10&amp;"-"&amp;D4</f>
        <v>Blend Y-Soy</v>
      </c>
      <c r="AX4" t="str">
        <f>A10&amp;"-"&amp;E4</f>
        <v>Blend Y-Rice</v>
      </c>
      <c r="AY4" t="str">
        <f>A15&amp;"-"&amp;B4</f>
        <v>Blend Z-Wheat</v>
      </c>
      <c r="AZ4" t="str">
        <f>A15&amp;"-"&amp;C4</f>
        <v>Blend Z-Corn</v>
      </c>
      <c r="BA4" t="str">
        <f>A15&amp;"-"&amp;D4</f>
        <v>Blend Z-Soy</v>
      </c>
      <c r="BB4" t="str">
        <f>A15&amp;"-"&amp;E4</f>
        <v>Blend Z-Rice</v>
      </c>
    </row>
    <row r="5" spans="1:55" ht="15.75" thickTop="1" x14ac:dyDescent="0.25">
      <c r="A5" s="371" t="s">
        <v>242</v>
      </c>
      <c r="B5" s="372">
        <v>123</v>
      </c>
      <c r="C5" s="372">
        <v>128</v>
      </c>
      <c r="D5" s="372">
        <v>166</v>
      </c>
      <c r="E5" s="372">
        <v>151</v>
      </c>
      <c r="G5" s="371" t="str">
        <f>IF(A5="","",A5)</f>
        <v>Blend X</v>
      </c>
      <c r="H5" s="372" t="e">
        <f t="shared" ref="H5:H19" ca="1" si="0">RANK_AVG(B5,$B$5:$E$19,1)</f>
        <v>#NAME?</v>
      </c>
      <c r="I5" s="372" t="e">
        <f t="shared" ref="I5:I19" ca="1" si="1">RANK_AVG(C5,$B$5:$E$19,1)</f>
        <v>#NAME?</v>
      </c>
      <c r="J5" s="372" t="e">
        <f t="shared" ref="J5:J19" ca="1" si="2">RANK_AVG(D5,$B$5:$E$19,1)</f>
        <v>#NAME?</v>
      </c>
      <c r="K5" s="372" t="e">
        <f t="shared" ref="K5:K19" ca="1" si="3">RANK_AVG(E5,$B$5:$E$19,1)</f>
        <v>#NAME?</v>
      </c>
      <c r="N5" s="378" t="str">
        <f>H4</f>
        <v>Wheat</v>
      </c>
      <c r="O5" s="378" t="str">
        <f>I4</f>
        <v>Corn</v>
      </c>
      <c r="P5" s="378" t="str">
        <f>J4</f>
        <v>Soy</v>
      </c>
      <c r="Q5" s="378" t="str">
        <f>K4</f>
        <v>Rice</v>
      </c>
      <c r="T5" s="251"/>
      <c r="U5" s="251" t="s">
        <v>88</v>
      </c>
      <c r="V5" s="251" t="s">
        <v>51</v>
      </c>
      <c r="W5" s="251" t="s">
        <v>92</v>
      </c>
      <c r="X5" s="251" t="s">
        <v>396</v>
      </c>
      <c r="Y5" s="251" t="s">
        <v>56</v>
      </c>
      <c r="Z5" s="251" t="s">
        <v>865</v>
      </c>
      <c r="AC5" s="378" t="str">
        <f>H4</f>
        <v>Wheat</v>
      </c>
      <c r="AD5" s="378" t="str">
        <f>I4</f>
        <v>Corn</v>
      </c>
      <c r="AE5" s="378" t="str">
        <f>J4</f>
        <v>Soy</v>
      </c>
      <c r="AF5" s="378" t="str">
        <f>K4</f>
        <v>Rice</v>
      </c>
      <c r="AI5" s="251"/>
      <c r="AJ5" s="251" t="s">
        <v>88</v>
      </c>
      <c r="AK5" s="251" t="s">
        <v>51</v>
      </c>
      <c r="AL5" s="251" t="s">
        <v>92</v>
      </c>
      <c r="AM5" s="251" t="s">
        <v>82</v>
      </c>
      <c r="AN5" s="251" t="s">
        <v>56</v>
      </c>
      <c r="AO5" s="251" t="s">
        <v>865</v>
      </c>
      <c r="AQ5" s="343">
        <f t="shared" ref="AQ5:AT9" si="4">B5</f>
        <v>123</v>
      </c>
      <c r="AR5" s="364">
        <f t="shared" si="4"/>
        <v>128</v>
      </c>
      <c r="AS5" s="364">
        <f t="shared" si="4"/>
        <v>166</v>
      </c>
      <c r="AT5" s="364">
        <f t="shared" si="4"/>
        <v>151</v>
      </c>
      <c r="AU5" s="364">
        <f t="shared" ref="AU5:AX9" si="5">B10</f>
        <v>135</v>
      </c>
      <c r="AV5" s="364">
        <f t="shared" si="5"/>
        <v>175</v>
      </c>
      <c r="AW5" s="364">
        <f t="shared" si="5"/>
        <v>140</v>
      </c>
      <c r="AX5" s="364">
        <f t="shared" si="5"/>
        <v>167</v>
      </c>
      <c r="AY5" s="364">
        <f t="shared" ref="AY5:BB9" si="6">B15</f>
        <v>156</v>
      </c>
      <c r="AZ5" s="364">
        <f t="shared" si="6"/>
        <v>186</v>
      </c>
      <c r="BA5" s="364">
        <f t="shared" si="6"/>
        <v>185</v>
      </c>
      <c r="BB5" s="365">
        <f t="shared" si="6"/>
        <v>175</v>
      </c>
    </row>
    <row r="6" spans="1:55" x14ac:dyDescent="0.25">
      <c r="A6" s="6"/>
      <c r="B6" s="21">
        <v>156</v>
      </c>
      <c r="C6" s="21">
        <v>150</v>
      </c>
      <c r="D6" s="21">
        <v>178</v>
      </c>
      <c r="E6" s="21">
        <v>125</v>
      </c>
      <c r="G6" s="6" t="str">
        <f t="shared" ref="G6:G19" si="7">IF(A6="","",A6)</f>
        <v/>
      </c>
      <c r="H6" s="21" t="e">
        <f t="shared" ca="1" si="0"/>
        <v>#NAME?</v>
      </c>
      <c r="I6" s="21" t="e">
        <f t="shared" ca="1" si="1"/>
        <v>#NAME?</v>
      </c>
      <c r="J6" s="21" t="e">
        <f t="shared" ca="1" si="2"/>
        <v>#NAME?</v>
      </c>
      <c r="K6" s="21" t="e">
        <f t="shared" ca="1" si="3"/>
        <v>#NAME?</v>
      </c>
      <c r="M6" t="str">
        <f>G5</f>
        <v>Blend X</v>
      </c>
      <c r="N6" s="343">
        <f ca="1">COUNT(H5:H9)</f>
        <v>0</v>
      </c>
      <c r="O6" s="364">
        <f ca="1">COUNT(I5:I9)</f>
        <v>0</v>
      </c>
      <c r="P6" s="364">
        <f ca="1">COUNT(J5:J9)</f>
        <v>0</v>
      </c>
      <c r="Q6" s="365">
        <f ca="1">COUNT(K5:K9)</f>
        <v>0</v>
      </c>
      <c r="R6">
        <f ca="1">COUNT(H5:K9)</f>
        <v>0</v>
      </c>
      <c r="T6" t="s">
        <v>83</v>
      </c>
      <c r="U6" t="e">
        <f ca="1">DEVSQ(R13:R15)*R6</f>
        <v>#NAME?</v>
      </c>
      <c r="V6">
        <f ca="1">COUNT(R13:R15)-1</f>
        <v>-1</v>
      </c>
      <c r="X6" t="e">
        <f ca="1">U6/W10</f>
        <v>#NAME?</v>
      </c>
      <c r="Y6" t="e">
        <f ca="1">CHIDIST(X6,V6)</f>
        <v>#NAME?</v>
      </c>
      <c r="Z6" t="e">
        <f ca="1">U6/(U6+U9)</f>
        <v>#NAME?</v>
      </c>
      <c r="AB6" t="str">
        <f>G5</f>
        <v>Blend X</v>
      </c>
      <c r="AC6" s="343">
        <f ca="1">COUNT(H5:H9)</f>
        <v>0</v>
      </c>
      <c r="AD6" s="364">
        <f ca="1">COUNT(I5:I9)</f>
        <v>0</v>
      </c>
      <c r="AE6" s="364">
        <f ca="1">COUNT(J5:J9)</f>
        <v>0</v>
      </c>
      <c r="AF6" s="365">
        <f ca="1">COUNT(K5:K9)</f>
        <v>0</v>
      </c>
      <c r="AG6">
        <f ca="1">COUNT(H5:K9)</f>
        <v>0</v>
      </c>
      <c r="AI6" t="s">
        <v>83</v>
      </c>
      <c r="AJ6" t="e">
        <f ca="1">DEVSQ(AG13:AG15)*AG6</f>
        <v>#NAME?</v>
      </c>
      <c r="AK6">
        <f ca="1">COUNT(AG13:AG15)-1</f>
        <v>-1</v>
      </c>
      <c r="AL6" t="e">
        <f ca="1">AJ6/AK6</f>
        <v>#NAME?</v>
      </c>
      <c r="AM6" t="e">
        <f ca="1">AL6/AL9</f>
        <v>#NAME?</v>
      </c>
      <c r="AN6" t="e">
        <f ca="1">FDIST(AM6,AK6,AK9)</f>
        <v>#NAME?</v>
      </c>
      <c r="AO6" t="e">
        <f ca="1">AJ6/(AJ6+AJ9)</f>
        <v>#NAME?</v>
      </c>
      <c r="AQ6" s="178">
        <f t="shared" si="4"/>
        <v>156</v>
      </c>
      <c r="AR6" s="7">
        <f t="shared" si="4"/>
        <v>150</v>
      </c>
      <c r="AS6" s="7">
        <f t="shared" si="4"/>
        <v>178</v>
      </c>
      <c r="AT6" s="7">
        <f t="shared" si="4"/>
        <v>125</v>
      </c>
      <c r="AU6" s="7">
        <f t="shared" si="5"/>
        <v>130</v>
      </c>
      <c r="AV6" s="7">
        <f t="shared" si="5"/>
        <v>132</v>
      </c>
      <c r="AW6" s="7">
        <f t="shared" si="5"/>
        <v>145</v>
      </c>
      <c r="AX6" s="7">
        <f t="shared" si="5"/>
        <v>183</v>
      </c>
      <c r="AY6" s="7">
        <f t="shared" si="6"/>
        <v>180</v>
      </c>
      <c r="AZ6" s="7">
        <f t="shared" si="6"/>
        <v>138</v>
      </c>
      <c r="BA6" s="7">
        <f t="shared" si="6"/>
        <v>206</v>
      </c>
      <c r="BB6" s="40">
        <f t="shared" si="6"/>
        <v>173</v>
      </c>
    </row>
    <row r="7" spans="1:55" x14ac:dyDescent="0.25">
      <c r="A7" s="6"/>
      <c r="B7" s="21">
        <v>112</v>
      </c>
      <c r="C7" s="21">
        <v>174</v>
      </c>
      <c r="D7" s="21">
        <v>187</v>
      </c>
      <c r="E7" s="21">
        <v>117</v>
      </c>
      <c r="G7" s="6" t="str">
        <f t="shared" si="7"/>
        <v/>
      </c>
      <c r="H7" s="21" t="e">
        <f t="shared" ca="1" si="0"/>
        <v>#NAME?</v>
      </c>
      <c r="I7" s="21" t="e">
        <f t="shared" ca="1" si="1"/>
        <v>#NAME?</v>
      </c>
      <c r="J7" s="21" t="e">
        <f t="shared" ca="1" si="2"/>
        <v>#NAME?</v>
      </c>
      <c r="K7" s="21" t="e">
        <f t="shared" ca="1" si="3"/>
        <v>#NAME?</v>
      </c>
      <c r="M7" t="str">
        <f>G10</f>
        <v>Blend Y</v>
      </c>
      <c r="N7" s="178">
        <f ca="1">COUNT(H10:H14)</f>
        <v>0</v>
      </c>
      <c r="O7" s="7">
        <f ca="1">COUNT(I10:I14)</f>
        <v>0</v>
      </c>
      <c r="P7" s="7">
        <f ca="1">COUNT(J10:J14)</f>
        <v>0</v>
      </c>
      <c r="Q7" s="40">
        <f ca="1">COUNT(K10:K14)</f>
        <v>0</v>
      </c>
      <c r="R7">
        <f ca="1">COUNT(H10:K14)</f>
        <v>0</v>
      </c>
      <c r="T7" t="s">
        <v>238</v>
      </c>
      <c r="U7" t="e">
        <f ca="1">DEVSQ(N16:Q16)*N9</f>
        <v>#NAME?</v>
      </c>
      <c r="V7">
        <f ca="1">COUNT(N16:Q16)-1</f>
        <v>-1</v>
      </c>
      <c r="X7" t="e">
        <f ca="1">U7/W10</f>
        <v>#NAME?</v>
      </c>
      <c r="Y7" t="e">
        <f ca="1">CHIDIST(X7,V7)</f>
        <v>#NAME?</v>
      </c>
      <c r="Z7" t="e">
        <f ca="1">U7/(U7+U9)</f>
        <v>#NAME?</v>
      </c>
      <c r="AB7" t="str">
        <f>G10</f>
        <v>Blend Y</v>
      </c>
      <c r="AC7" s="178">
        <f ca="1">COUNT(H10:H14)</f>
        <v>0</v>
      </c>
      <c r="AD7" s="7">
        <f ca="1">COUNT(I10:I14)</f>
        <v>0</v>
      </c>
      <c r="AE7" s="7">
        <f ca="1">COUNT(J10:J14)</f>
        <v>0</v>
      </c>
      <c r="AF7" s="40">
        <f ca="1">COUNT(K10:K14)</f>
        <v>0</v>
      </c>
      <c r="AG7">
        <f ca="1">COUNT(H10:K14)</f>
        <v>0</v>
      </c>
      <c r="AI7" t="s">
        <v>238</v>
      </c>
      <c r="AJ7" t="e">
        <f ca="1">DEVSQ(AC16:AF16)*AC9</f>
        <v>#NAME?</v>
      </c>
      <c r="AK7">
        <f ca="1">COUNT(AC16:AF16)-1</f>
        <v>-1</v>
      </c>
      <c r="AL7" t="e">
        <f ca="1">AJ7/AK7</f>
        <v>#NAME?</v>
      </c>
      <c r="AM7" t="e">
        <f ca="1">AL7/AL9</f>
        <v>#NAME?</v>
      </c>
      <c r="AN7" t="e">
        <f ca="1">FDIST(AM7,AK7,AK9)</f>
        <v>#NAME?</v>
      </c>
      <c r="AO7" t="e">
        <f ca="1">AJ7/(AJ7+AJ9)</f>
        <v>#NAME?</v>
      </c>
      <c r="AQ7" s="178">
        <f t="shared" si="4"/>
        <v>112</v>
      </c>
      <c r="AR7" s="7">
        <f t="shared" si="4"/>
        <v>174</v>
      </c>
      <c r="AS7" s="7">
        <f t="shared" si="4"/>
        <v>187</v>
      </c>
      <c r="AT7" s="7">
        <f t="shared" si="4"/>
        <v>117</v>
      </c>
      <c r="AU7" s="7">
        <f t="shared" si="5"/>
        <v>176</v>
      </c>
      <c r="AV7" s="7">
        <f t="shared" si="5"/>
        <v>120</v>
      </c>
      <c r="AW7" s="7">
        <f t="shared" si="5"/>
        <v>159</v>
      </c>
      <c r="AX7" s="7">
        <f t="shared" si="5"/>
        <v>142</v>
      </c>
      <c r="AY7" s="7">
        <f t="shared" si="6"/>
        <v>147</v>
      </c>
      <c r="AZ7" s="7">
        <f t="shared" si="6"/>
        <v>178</v>
      </c>
      <c r="BA7" s="7">
        <f t="shared" si="6"/>
        <v>188</v>
      </c>
      <c r="BB7" s="40">
        <f t="shared" si="6"/>
        <v>154</v>
      </c>
    </row>
    <row r="8" spans="1:55" x14ac:dyDescent="0.25">
      <c r="A8" s="6"/>
      <c r="B8" s="21">
        <v>100</v>
      </c>
      <c r="C8" s="21">
        <v>116</v>
      </c>
      <c r="D8" s="21">
        <v>153</v>
      </c>
      <c r="E8" s="21">
        <v>155</v>
      </c>
      <c r="G8" s="6" t="str">
        <f t="shared" si="7"/>
        <v/>
      </c>
      <c r="H8" s="21" t="e">
        <f t="shared" ca="1" si="0"/>
        <v>#NAME?</v>
      </c>
      <c r="I8" s="21" t="e">
        <f t="shared" ca="1" si="1"/>
        <v>#NAME?</v>
      </c>
      <c r="J8" s="21" t="e">
        <f t="shared" ca="1" si="2"/>
        <v>#NAME?</v>
      </c>
      <c r="K8" s="21" t="e">
        <f t="shared" ca="1" si="3"/>
        <v>#NAME?</v>
      </c>
      <c r="M8" t="str">
        <f>G15</f>
        <v>Blend Z</v>
      </c>
      <c r="N8" s="221">
        <f ca="1">COUNT(H15:H19)</f>
        <v>0</v>
      </c>
      <c r="O8" s="222">
        <f ca="1">COUNT(I15:I19)</f>
        <v>0</v>
      </c>
      <c r="P8" s="222">
        <f ca="1">COUNT(J15:J19)</f>
        <v>0</v>
      </c>
      <c r="Q8" s="223">
        <f ca="1">COUNT(K15:K19)</f>
        <v>0</v>
      </c>
      <c r="R8">
        <f ca="1">COUNT(H15:K19)</f>
        <v>0</v>
      </c>
      <c r="T8" t="s">
        <v>410</v>
      </c>
      <c r="U8" t="e">
        <f ca="1">U10-U6-U7-U9</f>
        <v>#NAME?</v>
      </c>
      <c r="V8">
        <f ca="1">V7*V6</f>
        <v>1</v>
      </c>
      <c r="X8" t="e">
        <f ca="1">U8/W10</f>
        <v>#NAME?</v>
      </c>
      <c r="Y8" t="e">
        <f ca="1">CHIDIST(X8,V8)</f>
        <v>#NAME?</v>
      </c>
      <c r="Z8" s="540" t="e">
        <f ca="1">U8/(U8+U9)</f>
        <v>#NAME?</v>
      </c>
      <c r="AB8" t="str">
        <f>G15</f>
        <v>Blend Z</v>
      </c>
      <c r="AC8" s="221">
        <f ca="1">COUNT(H15:H19)</f>
        <v>0</v>
      </c>
      <c r="AD8" s="222">
        <f ca="1">COUNT(I15:I19)</f>
        <v>0</v>
      </c>
      <c r="AE8" s="222">
        <f ca="1">COUNT(J15:J19)</f>
        <v>0</v>
      </c>
      <c r="AF8" s="223">
        <f ca="1">COUNT(K15:K19)</f>
        <v>0</v>
      </c>
      <c r="AG8">
        <f ca="1">COUNT(H15:K19)</f>
        <v>0</v>
      </c>
      <c r="AI8" t="s">
        <v>410</v>
      </c>
      <c r="AJ8" t="e">
        <f ca="1">AJ10-AJ6-AJ7-AJ9</f>
        <v>#NAME?</v>
      </c>
      <c r="AK8">
        <f ca="1">AK7*AK6</f>
        <v>1</v>
      </c>
      <c r="AL8" t="e">
        <f ca="1">AJ8/AK8</f>
        <v>#NAME?</v>
      </c>
      <c r="AM8" t="e">
        <f ca="1">AL8/AL9</f>
        <v>#NAME?</v>
      </c>
      <c r="AN8" t="e">
        <f ca="1">FDIST(AM8,AK8,AK9)</f>
        <v>#NAME?</v>
      </c>
      <c r="AO8" s="540" t="e">
        <f ca="1">AJ8/(AJ8+AJ9)</f>
        <v>#NAME?</v>
      </c>
      <c r="AQ8" s="178">
        <f t="shared" si="4"/>
        <v>100</v>
      </c>
      <c r="AR8" s="7">
        <f t="shared" si="4"/>
        <v>116</v>
      </c>
      <c r="AS8" s="7">
        <f t="shared" si="4"/>
        <v>153</v>
      </c>
      <c r="AT8" s="7">
        <f t="shared" si="4"/>
        <v>155</v>
      </c>
      <c r="AU8" s="7">
        <f t="shared" si="5"/>
        <v>120</v>
      </c>
      <c r="AV8" s="7">
        <f t="shared" si="5"/>
        <v>187</v>
      </c>
      <c r="AW8" s="7">
        <f t="shared" si="5"/>
        <v>131</v>
      </c>
      <c r="AX8" s="7">
        <f t="shared" si="5"/>
        <v>167</v>
      </c>
      <c r="AY8" s="7">
        <f t="shared" si="6"/>
        <v>146</v>
      </c>
      <c r="AZ8" s="7">
        <f t="shared" si="6"/>
        <v>176</v>
      </c>
      <c r="BA8" s="7">
        <f t="shared" si="6"/>
        <v>165</v>
      </c>
      <c r="BB8" s="40">
        <f t="shared" si="6"/>
        <v>191</v>
      </c>
    </row>
    <row r="9" spans="1:55" x14ac:dyDescent="0.25">
      <c r="A9" s="6"/>
      <c r="B9" s="58">
        <v>168</v>
      </c>
      <c r="C9" s="58">
        <v>109</v>
      </c>
      <c r="D9" s="58">
        <v>195</v>
      </c>
      <c r="E9" s="58">
        <v>158</v>
      </c>
      <c r="G9" s="6" t="str">
        <f t="shared" si="7"/>
        <v/>
      </c>
      <c r="H9" s="58" t="e">
        <f t="shared" ca="1" si="0"/>
        <v>#NAME?</v>
      </c>
      <c r="I9" s="58" t="e">
        <f t="shared" ca="1" si="1"/>
        <v>#NAME?</v>
      </c>
      <c r="J9" s="58" t="e">
        <f t="shared" ca="1" si="2"/>
        <v>#NAME?</v>
      </c>
      <c r="K9" s="58" t="e">
        <f t="shared" ca="1" si="3"/>
        <v>#NAME?</v>
      </c>
      <c r="N9">
        <f ca="1">COUNT(H5:H19)</f>
        <v>0</v>
      </c>
      <c r="O9">
        <f ca="1">COUNT(I5:I19)</f>
        <v>0</v>
      </c>
      <c r="P9">
        <f ca="1">COUNT(J5:J19)</f>
        <v>0</v>
      </c>
      <c r="Q9">
        <f ca="1">COUNT(K5:K19)</f>
        <v>0</v>
      </c>
      <c r="R9">
        <f ca="1">COUNT(H5:K19)</f>
        <v>0</v>
      </c>
      <c r="T9" t="s">
        <v>249</v>
      </c>
      <c r="U9" t="e">
        <f ca="1">SUM(N20:Q22)*(N6-1)</f>
        <v>#NAME?</v>
      </c>
      <c r="V9">
        <f ca="1">V10-SUM(V6:V8)</f>
        <v>0</v>
      </c>
      <c r="AC9">
        <f ca="1">COUNT(H5:H19)</f>
        <v>0</v>
      </c>
      <c r="AD9">
        <f ca="1">COUNT(I5:I19)</f>
        <v>0</v>
      </c>
      <c r="AE9">
        <f ca="1">COUNT(J5:J19)</f>
        <v>0</v>
      </c>
      <c r="AF9">
        <f ca="1">COUNT(K5:K19)</f>
        <v>0</v>
      </c>
      <c r="AG9">
        <f ca="1">COUNT(H5:K19)</f>
        <v>0</v>
      </c>
      <c r="AI9" t="s">
        <v>249</v>
      </c>
      <c r="AJ9" t="e">
        <f ca="1">SUM(AC20:AF22)*(AC6-1)</f>
        <v>#NAME?</v>
      </c>
      <c r="AK9">
        <f ca="1">AK10-AK6-AK7-AK8</f>
        <v>0</v>
      </c>
      <c r="AL9" t="e">
        <f ca="1">AJ9/AK9</f>
        <v>#NAME?</v>
      </c>
      <c r="AQ9" s="221">
        <f t="shared" si="4"/>
        <v>168</v>
      </c>
      <c r="AR9" s="222">
        <f t="shared" si="4"/>
        <v>109</v>
      </c>
      <c r="AS9" s="222">
        <f t="shared" si="4"/>
        <v>195</v>
      </c>
      <c r="AT9" s="222">
        <f t="shared" si="4"/>
        <v>158</v>
      </c>
      <c r="AU9" s="222">
        <f t="shared" si="5"/>
        <v>155</v>
      </c>
      <c r="AV9" s="222">
        <f t="shared" si="5"/>
        <v>184</v>
      </c>
      <c r="AW9" s="222">
        <f t="shared" si="5"/>
        <v>126</v>
      </c>
      <c r="AX9" s="222">
        <f t="shared" si="5"/>
        <v>168</v>
      </c>
      <c r="AY9" s="222">
        <f t="shared" si="6"/>
        <v>193</v>
      </c>
      <c r="AZ9" s="222">
        <f t="shared" si="6"/>
        <v>190</v>
      </c>
      <c r="BA9" s="222">
        <f t="shared" si="6"/>
        <v>188</v>
      </c>
      <c r="BB9" s="223">
        <f t="shared" si="6"/>
        <v>169</v>
      </c>
    </row>
    <row r="10" spans="1:55" x14ac:dyDescent="0.25">
      <c r="A10" s="371" t="s">
        <v>243</v>
      </c>
      <c r="B10" s="372">
        <v>135</v>
      </c>
      <c r="C10" s="372">
        <v>175</v>
      </c>
      <c r="D10" s="372">
        <v>140</v>
      </c>
      <c r="E10" s="372">
        <v>167</v>
      </c>
      <c r="G10" s="371" t="str">
        <f t="shared" si="7"/>
        <v>Blend Y</v>
      </c>
      <c r="H10" s="372" t="e">
        <f t="shared" ca="1" si="0"/>
        <v>#NAME?</v>
      </c>
      <c r="I10" s="372" t="e">
        <f t="shared" ca="1" si="1"/>
        <v>#NAME?</v>
      </c>
      <c r="J10" s="372" t="e">
        <f t="shared" ca="1" si="2"/>
        <v>#NAME?</v>
      </c>
      <c r="K10" s="372" t="e">
        <f t="shared" ca="1" si="3"/>
        <v>#NAME?</v>
      </c>
      <c r="T10" s="224" t="s">
        <v>1</v>
      </c>
      <c r="U10" s="224" t="e">
        <f ca="1">V10*W10</f>
        <v>#NAME?</v>
      </c>
      <c r="V10" s="224">
        <f ca="1">R9-1</f>
        <v>-1</v>
      </c>
      <c r="W10" s="224" t="e">
        <f ca="1">R23</f>
        <v>#NAME?</v>
      </c>
      <c r="X10" s="224"/>
      <c r="Y10" s="224"/>
      <c r="Z10" s="224"/>
      <c r="AI10" s="224" t="s">
        <v>1</v>
      </c>
      <c r="AJ10" s="224" t="e">
        <f ca="1">AL10*AK10</f>
        <v>#NAME?</v>
      </c>
      <c r="AK10" s="224">
        <f ca="1">AG9-1</f>
        <v>-1</v>
      </c>
      <c r="AL10" s="224" t="e">
        <f ca="1">AG23</f>
        <v>#NAME?</v>
      </c>
      <c r="AM10" s="224"/>
      <c r="AN10" s="224"/>
      <c r="AO10" s="224"/>
    </row>
    <row r="11" spans="1:55" x14ac:dyDescent="0.25">
      <c r="A11" s="6"/>
      <c r="B11" s="21">
        <v>130</v>
      </c>
      <c r="C11" s="21">
        <v>132</v>
      </c>
      <c r="D11" s="21">
        <v>145</v>
      </c>
      <c r="E11" s="21">
        <v>183</v>
      </c>
      <c r="G11" s="6" t="str">
        <f t="shared" si="7"/>
        <v/>
      </c>
      <c r="H11" s="21" t="e">
        <f t="shared" ca="1" si="0"/>
        <v>#NAME?</v>
      </c>
      <c r="I11" s="21" t="e">
        <f t="shared" ca="1" si="1"/>
        <v>#NAME?</v>
      </c>
      <c r="J11" s="21" t="e">
        <f t="shared" ca="1" si="2"/>
        <v>#NAME?</v>
      </c>
      <c r="K11" s="21" t="e">
        <f t="shared" ca="1" si="3"/>
        <v>#NAME?</v>
      </c>
      <c r="M11" t="s">
        <v>259</v>
      </c>
      <c r="AB11" t="s">
        <v>259</v>
      </c>
      <c r="AQ11" t="s">
        <v>468</v>
      </c>
    </row>
    <row r="12" spans="1:55" x14ac:dyDescent="0.25">
      <c r="A12" s="6"/>
      <c r="B12" s="21">
        <v>176</v>
      </c>
      <c r="C12" s="21">
        <v>120</v>
      </c>
      <c r="D12" s="21">
        <v>159</v>
      </c>
      <c r="E12" s="21">
        <v>142</v>
      </c>
      <c r="G12" s="6" t="str">
        <f t="shared" si="7"/>
        <v/>
      </c>
      <c r="H12" s="21" t="e">
        <f t="shared" ca="1" si="0"/>
        <v>#NAME?</v>
      </c>
      <c r="I12" s="21" t="e">
        <f t="shared" ca="1" si="1"/>
        <v>#NAME?</v>
      </c>
      <c r="J12" s="21" t="e">
        <f t="shared" ca="1" si="2"/>
        <v>#NAME?</v>
      </c>
      <c r="K12" s="21" t="e">
        <f t="shared" ca="1" si="3"/>
        <v>#NAME?</v>
      </c>
      <c r="N12" s="378" t="str">
        <f>H4</f>
        <v>Wheat</v>
      </c>
      <c r="O12" s="378" t="str">
        <f>I4</f>
        <v>Corn</v>
      </c>
      <c r="P12" s="378" t="str">
        <f>J4</f>
        <v>Soy</v>
      </c>
      <c r="Q12" s="378" t="str">
        <f>K4</f>
        <v>Rice</v>
      </c>
      <c r="AC12" s="378" t="str">
        <f>H4</f>
        <v>Wheat</v>
      </c>
      <c r="AD12" s="378" t="str">
        <f>I4</f>
        <v>Corn</v>
      </c>
      <c r="AE12" s="378" t="str">
        <f>J4</f>
        <v>Soy</v>
      </c>
      <c r="AF12" s="378" t="str">
        <f>K4</f>
        <v>Rice</v>
      </c>
    </row>
    <row r="13" spans="1:55" x14ac:dyDescent="0.25">
      <c r="A13" s="6"/>
      <c r="B13" s="21">
        <v>120</v>
      </c>
      <c r="C13" s="21">
        <v>187</v>
      </c>
      <c r="D13" s="21">
        <v>131</v>
      </c>
      <c r="E13" s="21">
        <v>167</v>
      </c>
      <c r="G13" s="6" t="str">
        <f t="shared" si="7"/>
        <v/>
      </c>
      <c r="H13" s="21" t="e">
        <f t="shared" ca="1" si="0"/>
        <v>#NAME?</v>
      </c>
      <c r="I13" s="21" t="e">
        <f t="shared" ca="1" si="1"/>
        <v>#NAME?</v>
      </c>
      <c r="J13" s="21" t="e">
        <f t="shared" ca="1" si="2"/>
        <v>#NAME?</v>
      </c>
      <c r="K13" s="21" t="e">
        <f t="shared" ca="1" si="3"/>
        <v>#NAME?</v>
      </c>
      <c r="M13" t="str">
        <f>G5</f>
        <v>Blend X</v>
      </c>
      <c r="N13" s="343" t="e">
        <f ca="1">AVERAGE(H5:H9)</f>
        <v>#NAME?</v>
      </c>
      <c r="O13" s="364" t="e">
        <f ca="1">AVERAGE(I5:I9)</f>
        <v>#NAME?</v>
      </c>
      <c r="P13" s="364" t="e">
        <f ca="1">AVERAGE(J5:J9)</f>
        <v>#NAME?</v>
      </c>
      <c r="Q13" s="365" t="e">
        <f ca="1">AVERAGE(K5:K9)</f>
        <v>#NAME?</v>
      </c>
      <c r="R13" t="e">
        <f ca="1">AVERAGE(H5:K9)</f>
        <v>#NAME?</v>
      </c>
      <c r="AB13" t="str">
        <f>G5</f>
        <v>Blend X</v>
      </c>
      <c r="AC13" s="343" t="e">
        <f ca="1">AVERAGE(H5:H9)</f>
        <v>#NAME?</v>
      </c>
      <c r="AD13" s="364" t="e">
        <f ca="1">AVERAGE(I5:I9)</f>
        <v>#NAME?</v>
      </c>
      <c r="AE13" s="364" t="e">
        <f ca="1">AVERAGE(J5:J9)</f>
        <v>#NAME?</v>
      </c>
      <c r="AF13" s="365" t="e">
        <f ca="1">AVERAGE(K5:K9)</f>
        <v>#NAME?</v>
      </c>
      <c r="AG13" t="e">
        <f ca="1">AVERAGE(H5:K9)</f>
        <v>#NAME?</v>
      </c>
      <c r="AQ13" s="267"/>
      <c r="AR13" s="267" t="str">
        <f>AQ4</f>
        <v>Blend X-Wheat</v>
      </c>
      <c r="AS13" s="267" t="str">
        <f t="shared" ref="AS13:BC13" si="8">AR4</f>
        <v>Blend X-Corn</v>
      </c>
      <c r="AT13" s="267" t="str">
        <f t="shared" si="8"/>
        <v>Blend X-Soy</v>
      </c>
      <c r="AU13" s="267" t="str">
        <f t="shared" si="8"/>
        <v>Blend X-Rice</v>
      </c>
      <c r="AV13" s="267" t="str">
        <f t="shared" si="8"/>
        <v>Blend Y-Wheat</v>
      </c>
      <c r="AW13" s="267" t="str">
        <f t="shared" si="8"/>
        <v>Blend Y-Corn</v>
      </c>
      <c r="AX13" s="267" t="str">
        <f t="shared" si="8"/>
        <v>Blend Y-Soy</v>
      </c>
      <c r="AY13" s="267" t="str">
        <f t="shared" si="8"/>
        <v>Blend Y-Rice</v>
      </c>
      <c r="AZ13" s="267" t="str">
        <f t="shared" si="8"/>
        <v>Blend Z-Wheat</v>
      </c>
      <c r="BA13" s="267" t="str">
        <f t="shared" si="8"/>
        <v>Blend Z-Corn</v>
      </c>
      <c r="BB13" s="267" t="str">
        <f t="shared" si="8"/>
        <v>Blend Z-Soy</v>
      </c>
      <c r="BC13" s="267" t="str">
        <f t="shared" si="8"/>
        <v>Blend Z-Rice</v>
      </c>
    </row>
    <row r="14" spans="1:55" x14ac:dyDescent="0.25">
      <c r="A14" s="6"/>
      <c r="B14" s="58">
        <v>155</v>
      </c>
      <c r="C14" s="58">
        <v>184</v>
      </c>
      <c r="D14" s="58">
        <v>126</v>
      </c>
      <c r="E14" s="58">
        <v>168</v>
      </c>
      <c r="G14" s="6" t="str">
        <f t="shared" si="7"/>
        <v/>
      </c>
      <c r="H14" s="58" t="e">
        <f t="shared" ca="1" si="0"/>
        <v>#NAME?</v>
      </c>
      <c r="I14" s="58" t="e">
        <f t="shared" ca="1" si="1"/>
        <v>#NAME?</v>
      </c>
      <c r="J14" s="58" t="e">
        <f t="shared" ca="1" si="2"/>
        <v>#NAME?</v>
      </c>
      <c r="K14" s="58" t="e">
        <f t="shared" ca="1" si="3"/>
        <v>#NAME?</v>
      </c>
      <c r="M14" t="str">
        <f>G10</f>
        <v>Blend Y</v>
      </c>
      <c r="N14" s="178" t="e">
        <f ca="1">AVERAGE(H10:H14)</f>
        <v>#NAME?</v>
      </c>
      <c r="O14" s="7" t="e">
        <f ca="1">AVERAGE(I10:I14)</f>
        <v>#NAME?</v>
      </c>
      <c r="P14" s="7" t="e">
        <f ca="1">AVERAGE(J10:J14)</f>
        <v>#NAME?</v>
      </c>
      <c r="Q14" s="40" t="e">
        <f ca="1">AVERAGE(K10:K14)</f>
        <v>#NAME?</v>
      </c>
      <c r="R14" t="e">
        <f ca="1">AVERAGE(H10:K14)</f>
        <v>#NAME?</v>
      </c>
      <c r="AB14" t="str">
        <f>G10</f>
        <v>Blend Y</v>
      </c>
      <c r="AC14" s="178" t="e">
        <f ca="1">AVERAGE(H10:H14)</f>
        <v>#NAME?</v>
      </c>
      <c r="AD14" s="7" t="e">
        <f ca="1">AVERAGE(I10:I14)</f>
        <v>#NAME?</v>
      </c>
      <c r="AE14" s="7" t="e">
        <f ca="1">AVERAGE(J10:J14)</f>
        <v>#NAME?</v>
      </c>
      <c r="AF14" s="40" t="e">
        <f ca="1">AVERAGE(K10:K14)</f>
        <v>#NAME?</v>
      </c>
      <c r="AG14" t="e">
        <f ca="1">AVERAGE(H10:K14)</f>
        <v>#NAME?</v>
      </c>
      <c r="AQ14" t="s">
        <v>374</v>
      </c>
      <c r="AR14" t="e">
        <f t="shared" ref="AR14:BC14" ca="1" si="9">SHAPIRO(AQ5:AQ9)</f>
        <v>#NAME?</v>
      </c>
      <c r="AS14" t="e">
        <f t="shared" ca="1" si="9"/>
        <v>#NAME?</v>
      </c>
      <c r="AT14" t="e">
        <f t="shared" ca="1" si="9"/>
        <v>#NAME?</v>
      </c>
      <c r="AU14" t="e">
        <f t="shared" ca="1" si="9"/>
        <v>#NAME?</v>
      </c>
      <c r="AV14" t="e">
        <f t="shared" ca="1" si="9"/>
        <v>#NAME?</v>
      </c>
      <c r="AW14" t="e">
        <f t="shared" ca="1" si="9"/>
        <v>#NAME?</v>
      </c>
      <c r="AX14" t="e">
        <f t="shared" ca="1" si="9"/>
        <v>#NAME?</v>
      </c>
      <c r="AY14" t="e">
        <f t="shared" ca="1" si="9"/>
        <v>#NAME?</v>
      </c>
      <c r="AZ14" t="e">
        <f t="shared" ca="1" si="9"/>
        <v>#NAME?</v>
      </c>
      <c r="BA14" t="e">
        <f t="shared" ca="1" si="9"/>
        <v>#NAME?</v>
      </c>
      <c r="BB14" t="e">
        <f t="shared" ca="1" si="9"/>
        <v>#NAME?</v>
      </c>
      <c r="BC14" t="e">
        <f t="shared" ca="1" si="9"/>
        <v>#NAME?</v>
      </c>
    </row>
    <row r="15" spans="1:55" x14ac:dyDescent="0.25">
      <c r="A15" s="371" t="s">
        <v>244</v>
      </c>
      <c r="B15" s="372">
        <v>156</v>
      </c>
      <c r="C15" s="372">
        <v>186</v>
      </c>
      <c r="D15" s="372">
        <v>185</v>
      </c>
      <c r="E15" s="372">
        <v>175</v>
      </c>
      <c r="G15" s="371" t="str">
        <f t="shared" si="7"/>
        <v>Blend Z</v>
      </c>
      <c r="H15" s="372" t="e">
        <f t="shared" ca="1" si="0"/>
        <v>#NAME?</v>
      </c>
      <c r="I15" s="372" t="e">
        <f t="shared" ca="1" si="1"/>
        <v>#NAME?</v>
      </c>
      <c r="J15" s="372" t="e">
        <f t="shared" ca="1" si="2"/>
        <v>#NAME?</v>
      </c>
      <c r="K15" s="372" t="e">
        <f t="shared" ca="1" si="3"/>
        <v>#NAME?</v>
      </c>
      <c r="M15" t="str">
        <f>G15</f>
        <v>Blend Z</v>
      </c>
      <c r="N15" s="221" t="e">
        <f ca="1">AVERAGE(H15:H19)</f>
        <v>#NAME?</v>
      </c>
      <c r="O15" s="222" t="e">
        <f ca="1">AVERAGE(I15:I19)</f>
        <v>#NAME?</v>
      </c>
      <c r="P15" s="222" t="e">
        <f ca="1">AVERAGE(J15:J19)</f>
        <v>#NAME?</v>
      </c>
      <c r="Q15" s="223" t="e">
        <f ca="1">AVERAGE(K15:K19)</f>
        <v>#NAME?</v>
      </c>
      <c r="R15" t="e">
        <f ca="1">AVERAGE(H15:K19)</f>
        <v>#NAME?</v>
      </c>
      <c r="AB15" t="str">
        <f>G15</f>
        <v>Blend Z</v>
      </c>
      <c r="AC15" s="221" t="e">
        <f ca="1">AVERAGE(H15:H19)</f>
        <v>#NAME?</v>
      </c>
      <c r="AD15" s="222" t="e">
        <f ca="1">AVERAGE(I15:I19)</f>
        <v>#NAME?</v>
      </c>
      <c r="AE15" s="222" t="e">
        <f ca="1">AVERAGE(J15:J19)</f>
        <v>#NAME?</v>
      </c>
      <c r="AF15" s="223" t="e">
        <f ca="1">AVERAGE(K15:K19)</f>
        <v>#NAME?</v>
      </c>
      <c r="AG15" t="e">
        <f ca="1">AVERAGE(H15:K19)</f>
        <v>#NAME?</v>
      </c>
      <c r="AQ15" t="s">
        <v>56</v>
      </c>
      <c r="AR15" t="e">
        <f t="shared" ref="AR15:BC15" ca="1" si="10">SWTEST(AQ5:AQ9)</f>
        <v>#NAME?</v>
      </c>
      <c r="AS15" t="e">
        <f t="shared" ca="1" si="10"/>
        <v>#NAME?</v>
      </c>
      <c r="AT15" t="e">
        <f t="shared" ca="1" si="10"/>
        <v>#NAME?</v>
      </c>
      <c r="AU15" t="e">
        <f t="shared" ca="1" si="10"/>
        <v>#NAME?</v>
      </c>
      <c r="AV15" t="e">
        <f t="shared" ca="1" si="10"/>
        <v>#NAME?</v>
      </c>
      <c r="AW15" t="e">
        <f t="shared" ca="1" si="10"/>
        <v>#NAME?</v>
      </c>
      <c r="AX15" t="e">
        <f t="shared" ca="1" si="10"/>
        <v>#NAME?</v>
      </c>
      <c r="AY15" t="e">
        <f t="shared" ca="1" si="10"/>
        <v>#NAME?</v>
      </c>
      <c r="AZ15" t="e">
        <f t="shared" ca="1" si="10"/>
        <v>#NAME?</v>
      </c>
      <c r="BA15" t="e">
        <f t="shared" ca="1" si="10"/>
        <v>#NAME?</v>
      </c>
      <c r="BB15" t="e">
        <f t="shared" ca="1" si="10"/>
        <v>#NAME?</v>
      </c>
      <c r="BC15" t="e">
        <f t="shared" ca="1" si="10"/>
        <v>#NAME?</v>
      </c>
    </row>
    <row r="16" spans="1:55" x14ac:dyDescent="0.25">
      <c r="A16" s="6"/>
      <c r="B16" s="21">
        <v>180</v>
      </c>
      <c r="C16" s="21">
        <v>138</v>
      </c>
      <c r="D16" s="21">
        <v>206</v>
      </c>
      <c r="E16" s="21">
        <v>173</v>
      </c>
      <c r="G16" s="6" t="str">
        <f t="shared" si="7"/>
        <v/>
      </c>
      <c r="H16" s="21" t="e">
        <f t="shared" ca="1" si="0"/>
        <v>#NAME?</v>
      </c>
      <c r="I16" s="21" t="e">
        <f t="shared" ca="1" si="1"/>
        <v>#NAME?</v>
      </c>
      <c r="J16" s="21" t="e">
        <f t="shared" ca="1" si="2"/>
        <v>#NAME?</v>
      </c>
      <c r="K16" s="21" t="e">
        <f t="shared" ca="1" si="3"/>
        <v>#NAME?</v>
      </c>
      <c r="N16" t="e">
        <f ca="1">AVERAGE(H5:H19)</f>
        <v>#NAME?</v>
      </c>
      <c r="O16" t="e">
        <f ca="1">AVERAGE(I5:I19)</f>
        <v>#NAME?</v>
      </c>
      <c r="P16" t="e">
        <f ca="1">AVERAGE(J5:J19)</f>
        <v>#NAME?</v>
      </c>
      <c r="Q16" t="e">
        <f ca="1">AVERAGE(K5:K19)</f>
        <v>#NAME?</v>
      </c>
      <c r="R16" t="e">
        <f ca="1">AVERAGE(H5:K19)</f>
        <v>#NAME?</v>
      </c>
      <c r="AC16" t="e">
        <f ca="1">AVERAGE(H5:H19)</f>
        <v>#NAME?</v>
      </c>
      <c r="AD16" t="e">
        <f ca="1">AVERAGE(I5:I19)</f>
        <v>#NAME?</v>
      </c>
      <c r="AE16" t="e">
        <f ca="1">AVERAGE(J5:J19)</f>
        <v>#NAME?</v>
      </c>
      <c r="AF16" t="e">
        <f ca="1">AVERAGE(K5:K19)</f>
        <v>#NAME?</v>
      </c>
      <c r="AG16" t="e">
        <f ca="1">AVERAGE(H5:K19)</f>
        <v>#NAME?</v>
      </c>
      <c r="AQ16" t="s">
        <v>70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</row>
    <row r="17" spans="1:55" x14ac:dyDescent="0.25">
      <c r="A17" s="6"/>
      <c r="B17" s="21">
        <v>147</v>
      </c>
      <c r="C17" s="21">
        <v>178</v>
      </c>
      <c r="D17" s="21">
        <v>188</v>
      </c>
      <c r="E17" s="21">
        <v>154</v>
      </c>
      <c r="G17" s="6" t="str">
        <f t="shared" si="7"/>
        <v/>
      </c>
      <c r="H17" s="21" t="e">
        <f t="shared" ca="1" si="0"/>
        <v>#NAME?</v>
      </c>
      <c r="I17" s="21" t="e">
        <f t="shared" ca="1" si="1"/>
        <v>#NAME?</v>
      </c>
      <c r="J17" s="21" t="e">
        <f t="shared" ca="1" si="2"/>
        <v>#NAME?</v>
      </c>
      <c r="K17" s="21" t="e">
        <f t="shared" ca="1" si="3"/>
        <v>#NAME?</v>
      </c>
      <c r="AQ17" s="224" t="s">
        <v>469</v>
      </c>
      <c r="AR17" s="265" t="e">
        <f ca="1">IF(AR15&lt;AR16,"no","yes")</f>
        <v>#NAME?</v>
      </c>
      <c r="AS17" s="265" t="e">
        <f t="shared" ref="AS17:BC17" ca="1" si="11">IF(AS15&lt;AS16,"no","yes")</f>
        <v>#NAME?</v>
      </c>
      <c r="AT17" s="265" t="e">
        <f t="shared" ca="1" si="11"/>
        <v>#NAME?</v>
      </c>
      <c r="AU17" s="265" t="e">
        <f t="shared" ca="1" si="11"/>
        <v>#NAME?</v>
      </c>
      <c r="AV17" s="265" t="e">
        <f t="shared" ca="1" si="11"/>
        <v>#NAME?</v>
      </c>
      <c r="AW17" s="265" t="e">
        <f t="shared" ca="1" si="11"/>
        <v>#NAME?</v>
      </c>
      <c r="AX17" s="265" t="e">
        <f t="shared" ca="1" si="11"/>
        <v>#NAME?</v>
      </c>
      <c r="AY17" s="265" t="e">
        <f t="shared" ca="1" si="11"/>
        <v>#NAME?</v>
      </c>
      <c r="AZ17" s="265" t="e">
        <f t="shared" ca="1" si="11"/>
        <v>#NAME?</v>
      </c>
      <c r="BA17" s="265" t="e">
        <f t="shared" ca="1" si="11"/>
        <v>#NAME?</v>
      </c>
      <c r="BB17" s="265" t="e">
        <f t="shared" ca="1" si="11"/>
        <v>#NAME?</v>
      </c>
      <c r="BC17" s="265" t="e">
        <f t="shared" ca="1" si="11"/>
        <v>#NAME?</v>
      </c>
    </row>
    <row r="18" spans="1:55" x14ac:dyDescent="0.25">
      <c r="A18" s="6"/>
      <c r="B18" s="21">
        <v>146</v>
      </c>
      <c r="C18" s="21">
        <v>176</v>
      </c>
      <c r="D18" s="21">
        <v>165</v>
      </c>
      <c r="E18" s="21">
        <v>191</v>
      </c>
      <c r="G18" s="6" t="str">
        <f t="shared" si="7"/>
        <v/>
      </c>
      <c r="H18" s="21" t="e">
        <f t="shared" ca="1" si="0"/>
        <v>#NAME?</v>
      </c>
      <c r="I18" s="21" t="e">
        <f t="shared" ca="1" si="1"/>
        <v>#NAME?</v>
      </c>
      <c r="J18" s="21" t="e">
        <f t="shared" ca="1" si="2"/>
        <v>#NAME?</v>
      </c>
      <c r="K18" s="21" t="e">
        <f t="shared" ca="1" si="3"/>
        <v>#NAME?</v>
      </c>
      <c r="M18" t="s">
        <v>490</v>
      </c>
      <c r="AB18" t="s">
        <v>490</v>
      </c>
    </row>
    <row r="19" spans="1:55" x14ac:dyDescent="0.25">
      <c r="A19" s="50"/>
      <c r="B19" s="58">
        <v>193</v>
      </c>
      <c r="C19" s="58">
        <v>190</v>
      </c>
      <c r="D19" s="58">
        <v>188</v>
      </c>
      <c r="E19" s="58">
        <v>169</v>
      </c>
      <c r="G19" s="50" t="str">
        <f t="shared" si="7"/>
        <v/>
      </c>
      <c r="H19" s="58" t="e">
        <f t="shared" ca="1" si="0"/>
        <v>#NAME?</v>
      </c>
      <c r="I19" s="58" t="e">
        <f t="shared" ca="1" si="1"/>
        <v>#NAME?</v>
      </c>
      <c r="J19" s="58" t="e">
        <f t="shared" ca="1" si="2"/>
        <v>#NAME?</v>
      </c>
      <c r="K19" s="58" t="e">
        <f t="shared" ca="1" si="3"/>
        <v>#NAME?</v>
      </c>
      <c r="N19" s="378" t="str">
        <f>H4</f>
        <v>Wheat</v>
      </c>
      <c r="O19" s="378" t="str">
        <f>I4</f>
        <v>Corn</v>
      </c>
      <c r="P19" s="378" t="str">
        <f>J4</f>
        <v>Soy</v>
      </c>
      <c r="Q19" s="378" t="str">
        <f>K4</f>
        <v>Rice</v>
      </c>
      <c r="AC19" s="378" t="str">
        <f>H4</f>
        <v>Wheat</v>
      </c>
      <c r="AD19" s="378" t="str">
        <f>I4</f>
        <v>Corn</v>
      </c>
      <c r="AE19" s="378" t="str">
        <f>J4</f>
        <v>Soy</v>
      </c>
      <c r="AF19" s="378" t="str">
        <f>K4</f>
        <v>Rice</v>
      </c>
    </row>
    <row r="20" spans="1:55" x14ac:dyDescent="0.25">
      <c r="M20" t="str">
        <f>G5</f>
        <v>Blend X</v>
      </c>
      <c r="N20" s="343" t="e">
        <f ca="1">VAR(H5:H9)</f>
        <v>#NAME?</v>
      </c>
      <c r="O20" s="364" t="e">
        <f ca="1">VAR(I5:I9)</f>
        <v>#NAME?</v>
      </c>
      <c r="P20" s="364" t="e">
        <f ca="1">VAR(J5:J9)</f>
        <v>#NAME?</v>
      </c>
      <c r="Q20" s="365" t="e">
        <f ca="1">VAR(K5:K9)</f>
        <v>#NAME?</v>
      </c>
      <c r="R20" t="e">
        <f ca="1">VAR(H5:K9)</f>
        <v>#NAME?</v>
      </c>
      <c r="AB20" t="str">
        <f>G5</f>
        <v>Blend X</v>
      </c>
      <c r="AC20" s="343" t="e">
        <f ca="1">VAR(H5:H9)</f>
        <v>#NAME?</v>
      </c>
      <c r="AD20" s="364" t="e">
        <f ca="1">VAR(I5:I9)</f>
        <v>#NAME?</v>
      </c>
      <c r="AE20" s="364" t="e">
        <f ca="1">VAR(J5:J9)</f>
        <v>#NAME?</v>
      </c>
      <c r="AF20" s="365" t="e">
        <f ca="1">VAR(K5:K9)</f>
        <v>#NAME?</v>
      </c>
      <c r="AG20" t="e">
        <f ca="1">VAR(H5:K9)</f>
        <v>#NAME?</v>
      </c>
    </row>
    <row r="21" spans="1:55" x14ac:dyDescent="0.25">
      <c r="M21" t="str">
        <f>G10</f>
        <v>Blend Y</v>
      </c>
      <c r="N21" s="178" t="e">
        <f ca="1">VAR(H10:H14)</f>
        <v>#NAME?</v>
      </c>
      <c r="O21" s="7" t="e">
        <f ca="1">VAR(I10:I14)</f>
        <v>#NAME?</v>
      </c>
      <c r="P21" s="7" t="e">
        <f ca="1">VAR(J10:J14)</f>
        <v>#NAME?</v>
      </c>
      <c r="Q21" s="40" t="e">
        <f ca="1">VAR(K10:K14)</f>
        <v>#NAME?</v>
      </c>
      <c r="R21" t="e">
        <f ca="1">VAR(H10:K14)</f>
        <v>#NAME?</v>
      </c>
      <c r="AB21" t="str">
        <f>G10</f>
        <v>Blend Y</v>
      </c>
      <c r="AC21" s="178" t="e">
        <f ca="1">VAR(H10:H14)</f>
        <v>#NAME?</v>
      </c>
      <c r="AD21" s="7" t="e">
        <f ca="1">VAR(I10:I14)</f>
        <v>#NAME?</v>
      </c>
      <c r="AE21" s="7" t="e">
        <f ca="1">VAR(J10:J14)</f>
        <v>#NAME?</v>
      </c>
      <c r="AF21" s="40" t="e">
        <f ca="1">VAR(K10:K14)</f>
        <v>#NAME?</v>
      </c>
      <c r="AG21" t="e">
        <f ca="1">VAR(H10:K14)</f>
        <v>#NAME?</v>
      </c>
    </row>
    <row r="22" spans="1:55" x14ac:dyDescent="0.25">
      <c r="M22" t="str">
        <f>G15</f>
        <v>Blend Z</v>
      </c>
      <c r="N22" s="221" t="e">
        <f ca="1">VAR(H15:H19)</f>
        <v>#NAME?</v>
      </c>
      <c r="O22" s="222" t="e">
        <f ca="1">VAR(I15:I19)</f>
        <v>#NAME?</v>
      </c>
      <c r="P22" s="222" t="e">
        <f ca="1">VAR(J15:J19)</f>
        <v>#NAME?</v>
      </c>
      <c r="Q22" s="223" t="e">
        <f ca="1">VAR(K15:K19)</f>
        <v>#NAME?</v>
      </c>
      <c r="R22" t="e">
        <f ca="1">VAR(H15:K19)</f>
        <v>#NAME?</v>
      </c>
      <c r="AB22" t="str">
        <f>G15</f>
        <v>Blend Z</v>
      </c>
      <c r="AC22" s="221" t="e">
        <f ca="1">VAR(H15:H19)</f>
        <v>#NAME?</v>
      </c>
      <c r="AD22" s="222" t="e">
        <f ca="1">VAR(I15:I19)</f>
        <v>#NAME?</v>
      </c>
      <c r="AE22" s="222" t="e">
        <f ca="1">VAR(J15:J19)</f>
        <v>#NAME?</v>
      </c>
      <c r="AF22" s="223" t="e">
        <f ca="1">VAR(K15:K19)</f>
        <v>#NAME?</v>
      </c>
      <c r="AG22" t="e">
        <f ca="1">VAR(H15:K19)</f>
        <v>#NAME?</v>
      </c>
    </row>
    <row r="23" spans="1:55" x14ac:dyDescent="0.25">
      <c r="N23" t="e">
        <f ca="1">VAR(H5:H19)</f>
        <v>#NAME?</v>
      </c>
      <c r="O23" t="e">
        <f ca="1">VAR(I5:I19)</f>
        <v>#NAME?</v>
      </c>
      <c r="P23" t="e">
        <f ca="1">VAR(J5:J19)</f>
        <v>#NAME?</v>
      </c>
      <c r="Q23" t="e">
        <f ca="1">VAR(K5:K19)</f>
        <v>#NAME?</v>
      </c>
      <c r="R23" t="e">
        <f ca="1">VAR(H5:K19)</f>
        <v>#NAME?</v>
      </c>
      <c r="AC23" t="e">
        <f ca="1">VAR(H5:H19)</f>
        <v>#NAME?</v>
      </c>
      <c r="AD23" t="e">
        <f ca="1">VAR(I5:I19)</f>
        <v>#NAME?</v>
      </c>
      <c r="AE23" t="e">
        <f ca="1">VAR(J5:J19)</f>
        <v>#NAME?</v>
      </c>
      <c r="AF23" t="e">
        <f ca="1">VAR(K5:K19)</f>
        <v>#NAME?</v>
      </c>
      <c r="AG23" t="e">
        <f ca="1">VAR(H5:K19)</f>
        <v>#NAME?</v>
      </c>
    </row>
  </sheetData>
  <mergeCells count="1">
    <mergeCell ref="B3:E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Y110"/>
  <sheetViews>
    <sheetView workbookViewId="0"/>
  </sheetViews>
  <sheetFormatPr defaultRowHeight="15" x14ac:dyDescent="0.25"/>
  <cols>
    <col min="1" max="43" width="9.140625" customWidth="1"/>
  </cols>
  <sheetData>
    <row r="1" spans="1:22" x14ac:dyDescent="0.25">
      <c r="A1" s="541" t="s">
        <v>861</v>
      </c>
    </row>
    <row r="3" spans="1:22" x14ac:dyDescent="0.25">
      <c r="A3" s="521" t="s">
        <v>862</v>
      </c>
      <c r="B3" s="521" t="s">
        <v>863</v>
      </c>
      <c r="C3" s="521" t="s">
        <v>864</v>
      </c>
      <c r="E3" t="s">
        <v>24</v>
      </c>
      <c r="K3" t="s">
        <v>493</v>
      </c>
      <c r="S3" t="s">
        <v>495</v>
      </c>
    </row>
    <row r="4" spans="1:22" x14ac:dyDescent="0.25">
      <c r="A4" s="522">
        <v>1</v>
      </c>
      <c r="B4" s="522">
        <v>1</v>
      </c>
      <c r="C4" s="522">
        <v>5</v>
      </c>
    </row>
    <row r="5" spans="1:22" ht="15.75" thickBot="1" x14ac:dyDescent="0.3">
      <c r="A5" s="522">
        <v>1</v>
      </c>
      <c r="B5" s="522">
        <v>1</v>
      </c>
      <c r="C5" s="522">
        <v>4</v>
      </c>
      <c r="E5" t="s">
        <v>489</v>
      </c>
      <c r="F5" t="str">
        <f ca="1">IF(COUNTIF(F7:H8,F7)=COUNT(F7:H8),"balanced","unbalanced")</f>
        <v>balanced</v>
      </c>
      <c r="K5" t="s">
        <v>101</v>
      </c>
      <c r="O5" s="522" t="s">
        <v>31</v>
      </c>
      <c r="P5" s="522">
        <v>0.05</v>
      </c>
      <c r="S5" s="344" t="e">
        <f t="array" aca="1" ref="S5:V11" ca="1">StdAnova2(A4:C21)</f>
        <v>#NAME?</v>
      </c>
      <c r="T5" s="344" t="e">
        <f ca="1"/>
        <v>#NAME?</v>
      </c>
      <c r="U5" s="344" t="e">
        <f ca="1"/>
        <v>#NAME?</v>
      </c>
      <c r="V5" s="344" t="e">
        <f ca="1"/>
        <v>#NAME?</v>
      </c>
    </row>
    <row r="6" spans="1:22" ht="15.75" thickTop="1" x14ac:dyDescent="0.25">
      <c r="A6" s="522">
        <v>1</v>
      </c>
      <c r="B6" s="522">
        <v>1</v>
      </c>
      <c r="C6" s="522">
        <v>3</v>
      </c>
      <c r="F6" t="e">
        <f t="array" aca="1" ref="F6:H6" ca="1">TRANSPOSE(SortUnique(B4:B21))</f>
        <v>#NAME?</v>
      </c>
      <c r="G6" t="e">
        <f ca="1"/>
        <v>#NAME?</v>
      </c>
      <c r="H6" t="e">
        <f ca="1"/>
        <v>#NAME?</v>
      </c>
      <c r="K6" s="251"/>
      <c r="L6" s="251" t="s">
        <v>88</v>
      </c>
      <c r="M6" s="251" t="s">
        <v>51</v>
      </c>
      <c r="N6" s="251" t="s">
        <v>92</v>
      </c>
      <c r="O6" s="251" t="s">
        <v>82</v>
      </c>
      <c r="P6" s="251" t="s">
        <v>56</v>
      </c>
      <c r="Q6" s="251" t="s">
        <v>865</v>
      </c>
      <c r="S6" s="344" t="e">
        <f ca="1"/>
        <v>#NAME?</v>
      </c>
      <c r="T6" s="344" t="e">
        <f ca="1"/>
        <v>#NAME?</v>
      </c>
      <c r="U6" s="344" t="e">
        <f ca="1"/>
        <v>#NAME?</v>
      </c>
      <c r="V6" s="344" t="e">
        <f ca="1"/>
        <v>#NAME?</v>
      </c>
    </row>
    <row r="7" spans="1:22" x14ac:dyDescent="0.25">
      <c r="A7" s="522">
        <v>1</v>
      </c>
      <c r="B7" s="522">
        <v>2</v>
      </c>
      <c r="C7" s="522">
        <v>1</v>
      </c>
      <c r="E7" t="e">
        <f t="array" aca="1" ref="E7:E8" ca="1">SortUnique(A4:A21)</f>
        <v>#NAME?</v>
      </c>
      <c r="F7" s="380">
        <f t="array" ref="F7" ca="1">COUNTIFS($A$4:$A$21,$E7,$B$4:$B$21,F$6)</f>
        <v>0</v>
      </c>
      <c r="G7" s="381">
        <f t="array" ref="G7" ca="1">COUNTIFS($A$4:$A$21,$E7,$B$4:$B$21,G$6)</f>
        <v>0</v>
      </c>
      <c r="H7" s="382">
        <f t="array" ref="H7" ca="1">COUNTIFS($A$4:$A$21,$E7,$B$4:$B$21,H$6)</f>
        <v>0</v>
      </c>
      <c r="I7">
        <f t="array" ref="I7" ca="1">SUM(F7:H7)</f>
        <v>0</v>
      </c>
      <c r="K7" t="s">
        <v>83</v>
      </c>
      <c r="L7" t="e">
        <f ca="1">DEVSQ(I13:I14)*I7</f>
        <v>#DIV/0!</v>
      </c>
      <c r="M7">
        <f ca="1">COUNT(I13:I14)-1</f>
        <v>-1</v>
      </c>
      <c r="N7" t="e">
        <f ca="1">L7/M7</f>
        <v>#DIV/0!</v>
      </c>
      <c r="O7" t="e">
        <f ca="1">N7/N10</f>
        <v>#DIV/0!</v>
      </c>
      <c r="P7" t="e">
        <f ca="1">_xlfn.F.DIST.RT(O7,M7,M10)</f>
        <v>#DIV/0!</v>
      </c>
      <c r="Q7" s="522" t="e">
        <f ca="1">L7/(L7+L$10)</f>
        <v>#DIV/0!</v>
      </c>
      <c r="S7" s="206" t="e">
        <f ca="1"/>
        <v>#NAME?</v>
      </c>
      <c r="T7" s="206" t="e">
        <f ca="1"/>
        <v>#NAME?</v>
      </c>
      <c r="U7" s="206" t="e">
        <f ca="1"/>
        <v>#NAME?</v>
      </c>
      <c r="V7" s="206" t="e">
        <f ca="1"/>
        <v>#NAME?</v>
      </c>
    </row>
    <row r="8" spans="1:22" x14ac:dyDescent="0.25">
      <c r="A8" s="522">
        <v>1</v>
      </c>
      <c r="B8" s="522">
        <v>2</v>
      </c>
      <c r="C8" s="522">
        <v>1</v>
      </c>
      <c r="E8" t="e">
        <f ca="1"/>
        <v>#NAME?</v>
      </c>
      <c r="F8" s="513">
        <f t="array" ref="F8" ca="1">COUNTIFS($A$4:$A$21,$E8,$B$4:$B$21,F$6)</f>
        <v>0</v>
      </c>
      <c r="G8" s="461">
        <f t="array" ref="G8" ca="1">COUNTIFS($A$4:$A$21,$E8,$B$4:$B$21,G$6)</f>
        <v>0</v>
      </c>
      <c r="H8" s="462">
        <f t="array" ref="H8" ca="1">COUNTIFS($A$4:$A$21,$E8,$B$4:$B$21,H$6)</f>
        <v>0</v>
      </c>
      <c r="I8">
        <f t="array" ref="I8" ca="1">SUM(F8:H8)</f>
        <v>0</v>
      </c>
      <c r="K8" t="s">
        <v>238</v>
      </c>
      <c r="L8" t="e">
        <f ca="1">DEVSQ(F15:H15)*F9</f>
        <v>#DIV/0!</v>
      </c>
      <c r="M8">
        <f ca="1">COUNT(F15:H15)-1</f>
        <v>-1</v>
      </c>
      <c r="N8" t="e">
        <f ca="1">L8/M8</f>
        <v>#DIV/0!</v>
      </c>
      <c r="O8" t="e">
        <f ca="1">N8/N10</f>
        <v>#DIV/0!</v>
      </c>
      <c r="P8" t="e">
        <f ca="1">_xlfn.F.DIST.RT(O8,M8,M10)</f>
        <v>#DIV/0!</v>
      </c>
      <c r="Q8" s="522" t="e">
        <f t="shared" ref="Q8:Q9" ca="1" si="0">L8/(L8+L$10)</f>
        <v>#DIV/0!</v>
      </c>
      <c r="S8" s="467" t="e">
        <f ca="1"/>
        <v>#NAME?</v>
      </c>
      <c r="T8" s="467" t="e">
        <f ca="1"/>
        <v>#NAME?</v>
      </c>
      <c r="U8" s="467" t="e">
        <f ca="1"/>
        <v>#NAME?</v>
      </c>
      <c r="V8" s="467" t="e">
        <f ca="1"/>
        <v>#NAME?</v>
      </c>
    </row>
    <row r="9" spans="1:22" x14ac:dyDescent="0.25">
      <c r="A9" s="522">
        <v>1</v>
      </c>
      <c r="B9" s="522">
        <v>2</v>
      </c>
      <c r="C9" s="522">
        <v>2</v>
      </c>
      <c r="F9">
        <f t="array" ref="F9" ca="1">SUM(F7:F8)</f>
        <v>0</v>
      </c>
      <c r="G9">
        <f t="array" ref="G9" ca="1">SUM(G7:G8)</f>
        <v>0</v>
      </c>
      <c r="H9">
        <f t="array" ref="H9" ca="1">SUM(H7:H8)</f>
        <v>0</v>
      </c>
      <c r="I9">
        <f t="array" ref="I9" ca="1">SUM(I7:I8)</f>
        <v>0</v>
      </c>
      <c r="K9" t="s">
        <v>410</v>
      </c>
      <c r="L9" t="e">
        <f ca="1">L11-L7-L8-L10</f>
        <v>#DIV/0!</v>
      </c>
      <c r="M9">
        <f ca="1">M8*M7</f>
        <v>1</v>
      </c>
      <c r="N9" t="e">
        <f ca="1">L9/M9</f>
        <v>#DIV/0!</v>
      </c>
      <c r="O9" t="e">
        <f ca="1">N9/N10</f>
        <v>#DIV/0!</v>
      </c>
      <c r="P9" t="e">
        <f ca="1">_xlfn.F.DIST.RT(O9,M9,M10)</f>
        <v>#DIV/0!</v>
      </c>
      <c r="Q9" s="522" t="e">
        <f t="shared" ca="1" si="0"/>
        <v>#DIV/0!</v>
      </c>
      <c r="S9" s="344" t="e">
        <f ca="1"/>
        <v>#NAME?</v>
      </c>
      <c r="T9" s="344" t="e">
        <f ca="1"/>
        <v>#NAME?</v>
      </c>
      <c r="U9" s="344" t="e">
        <f ca="1"/>
        <v>#NAME?</v>
      </c>
      <c r="V9" s="344" t="e">
        <f ca="1"/>
        <v>#NAME?</v>
      </c>
    </row>
    <row r="10" spans="1:22" x14ac:dyDescent="0.25">
      <c r="A10" s="522">
        <v>1</v>
      </c>
      <c r="B10" s="522">
        <v>3</v>
      </c>
      <c r="C10" s="522">
        <v>4</v>
      </c>
      <c r="K10" t="s">
        <v>249</v>
      </c>
      <c r="L10" t="e">
        <f ca="1">SUM(F19:H20)*(F7-1)</f>
        <v>#NAME?</v>
      </c>
      <c r="M10">
        <f ca="1">M11-M7-M8-M9</f>
        <v>0</v>
      </c>
      <c r="N10" t="e">
        <f ca="1">L10/M10</f>
        <v>#NAME?</v>
      </c>
      <c r="S10" s="206" t="e">
        <f ca="1"/>
        <v>#NAME?</v>
      </c>
      <c r="T10" s="206" t="e">
        <f ca="1"/>
        <v>#NAME?</v>
      </c>
      <c r="U10" s="206" t="e">
        <f ca="1"/>
        <v>#NAME?</v>
      </c>
      <c r="V10" s="206" t="e">
        <f ca="1"/>
        <v>#NAME?</v>
      </c>
    </row>
    <row r="11" spans="1:22" x14ac:dyDescent="0.25">
      <c r="A11" s="522">
        <v>1</v>
      </c>
      <c r="B11" s="522">
        <v>3</v>
      </c>
      <c r="C11" s="522">
        <v>3</v>
      </c>
      <c r="E11" t="s">
        <v>259</v>
      </c>
      <c r="K11" s="516" t="s">
        <v>1</v>
      </c>
      <c r="L11" s="516">
        <f ca="1">N11*M11</f>
        <v>-1.398692810457516</v>
      </c>
      <c r="M11" s="516">
        <f ca="1">I9-1</f>
        <v>-1</v>
      </c>
      <c r="N11" s="516">
        <f>I21</f>
        <v>1.398692810457516</v>
      </c>
      <c r="O11" s="516"/>
      <c r="P11" s="516"/>
      <c r="Q11" s="516"/>
      <c r="S11" s="467" t="e">
        <f ca="1"/>
        <v>#NAME?</v>
      </c>
      <c r="T11" s="467" t="e">
        <f ca="1"/>
        <v>#NAME?</v>
      </c>
      <c r="U11" s="467" t="e">
        <f ca="1"/>
        <v>#NAME?</v>
      </c>
      <c r="V11" s="467" t="e">
        <f ca="1"/>
        <v>#NAME?</v>
      </c>
    </row>
    <row r="12" spans="1:22" x14ac:dyDescent="0.25">
      <c r="A12" s="522">
        <v>1</v>
      </c>
      <c r="B12" s="522">
        <v>3</v>
      </c>
      <c r="C12" s="522">
        <v>2</v>
      </c>
      <c r="F12" t="e">
        <f t="array" aca="1" ref="F12:H12" ca="1">TRANSPOSE(SortUnique(B4:B21))</f>
        <v>#NAME?</v>
      </c>
      <c r="G12" t="e">
        <f ca="1"/>
        <v>#NAME?</v>
      </c>
      <c r="H12" t="e">
        <f ca="1"/>
        <v>#NAME?</v>
      </c>
    </row>
    <row r="13" spans="1:22" x14ac:dyDescent="0.25">
      <c r="A13" s="522">
        <v>2</v>
      </c>
      <c r="B13" s="522">
        <v>1</v>
      </c>
      <c r="C13" s="522">
        <v>4</v>
      </c>
      <c r="E13" t="e">
        <f t="array" aca="1" ref="E13:E14" ca="1">SortUnique(A4:A21)</f>
        <v>#NAME?</v>
      </c>
      <c r="F13" s="380" t="e">
        <f t="array" ref="F13" ca="1">AVERAGEIFS($C$4:$C$21,$A$4:$A$21,$E13,$B$4:$B$21,F$12)</f>
        <v>#DIV/0!</v>
      </c>
      <c r="G13" s="381" t="e">
        <f t="array" ref="G13" ca="1">AVERAGEIFS($C$4:$C$21,$A$4:$A$21,$E13,$B$4:$B$21,G$12)</f>
        <v>#DIV/0!</v>
      </c>
      <c r="H13" s="382" t="e">
        <f t="array" ref="H13" ca="1">AVERAGEIFS($C$4:$C$21,$A$4:$A$21,$E13,$B$4:$B$21,H$12)</f>
        <v>#DIV/0!</v>
      </c>
      <c r="I13" t="e">
        <f t="array" ref="I13" ca="1">AVERAGE(F13:H13)</f>
        <v>#DIV/0!</v>
      </c>
    </row>
    <row r="14" spans="1:22" x14ac:dyDescent="0.25">
      <c r="A14" s="522">
        <v>2</v>
      </c>
      <c r="B14" s="522">
        <v>1</v>
      </c>
      <c r="C14" s="522">
        <v>3</v>
      </c>
      <c r="E14" t="e">
        <f ca="1"/>
        <v>#NAME?</v>
      </c>
      <c r="F14" s="460" t="e">
        <f t="array" ref="F14" ca="1">AVERAGEIFS($C$4:$C$21,$A$4:$A$21,$E14,$B$4:$B$21,F$12)</f>
        <v>#DIV/0!</v>
      </c>
      <c r="G14" s="461" t="e">
        <f t="array" ref="G14" ca="1">AVERAGEIFS($C$4:$C$21,$A$4:$A$21,$E14,$B$4:$B$21,G$12)</f>
        <v>#DIV/0!</v>
      </c>
      <c r="H14" s="462" t="e">
        <f t="array" ref="H14" ca="1">AVERAGEIFS($C$4:$C$21,$A$4:$A$21,$E14,$B$4:$B$21,H$12)</f>
        <v>#DIV/0!</v>
      </c>
      <c r="I14" t="e">
        <f t="array" ref="I14" ca="1">AVERAGE(F14:H14)</f>
        <v>#DIV/0!</v>
      </c>
      <c r="K14" t="s">
        <v>83</v>
      </c>
      <c r="L14" s="372" t="e" cm="1">
        <f t="array" aca="1" ref="L14" ca="1">SSRowStd(A4:C21)</f>
        <v>#NAME?</v>
      </c>
    </row>
    <row r="15" spans="1:22" x14ac:dyDescent="0.25">
      <c r="A15" s="522">
        <v>2</v>
      </c>
      <c r="B15" s="522">
        <v>1</v>
      </c>
      <c r="C15" s="522">
        <v>4</v>
      </c>
      <c r="F15" t="e">
        <f t="array" ref="F15" ca="1">AVERAGE(F13:F14)</f>
        <v>#DIV/0!</v>
      </c>
      <c r="G15" t="e">
        <f t="array" ref="G15" ca="1">AVERAGE(G13:G14)</f>
        <v>#DIV/0!</v>
      </c>
      <c r="H15" t="e">
        <f t="array" ref="H15" ca="1">AVERAGE(H13:H14)</f>
        <v>#DIV/0!</v>
      </c>
      <c r="I15" t="e">
        <f t="array" ref="I15" ca="1">AVERAGE(I13:I14)</f>
        <v>#DIV/0!</v>
      </c>
      <c r="K15" t="s">
        <v>238</v>
      </c>
      <c r="L15" s="179" t="e" cm="1">
        <f t="array" aca="1" ref="L15" ca="1">SSColStd(A4:C21)</f>
        <v>#NAME?</v>
      </c>
    </row>
    <row r="16" spans="1:22" x14ac:dyDescent="0.25">
      <c r="A16" s="522">
        <v>2</v>
      </c>
      <c r="B16" s="522">
        <v>2</v>
      </c>
      <c r="C16" s="522">
        <v>3</v>
      </c>
      <c r="K16" t="s">
        <v>410</v>
      </c>
      <c r="L16" s="179" t="e" cm="1">
        <f t="array" aca="1" ref="L16" ca="1">SSIntStd(A4:C21)</f>
        <v>#NAME?</v>
      </c>
    </row>
    <row r="17" spans="1:17" x14ac:dyDescent="0.25">
      <c r="A17" s="522">
        <v>2</v>
      </c>
      <c r="B17" s="522">
        <v>2</v>
      </c>
      <c r="C17" s="522">
        <v>2</v>
      </c>
      <c r="E17" t="s">
        <v>490</v>
      </c>
      <c r="K17" t="s">
        <v>249</v>
      </c>
      <c r="L17" s="179" t="e" cm="1">
        <f t="array" aca="1" ref="L17" ca="1">SSWFStd(A4:C21)</f>
        <v>#NAME?</v>
      </c>
    </row>
    <row r="18" spans="1:17" x14ac:dyDescent="0.25">
      <c r="A18" s="522">
        <v>2</v>
      </c>
      <c r="B18" s="522">
        <v>2</v>
      </c>
      <c r="C18" s="522">
        <v>4</v>
      </c>
      <c r="F18" t="e">
        <f t="array" aca="1" ref="F18:H18" ca="1">TRANSPOSE(SortUnique(B4:B21))</f>
        <v>#NAME?</v>
      </c>
      <c r="G18" t="e">
        <f ca="1"/>
        <v>#NAME?</v>
      </c>
      <c r="H18" t="e">
        <f ca="1"/>
        <v>#NAME?</v>
      </c>
      <c r="K18" t="s">
        <v>1</v>
      </c>
      <c r="L18" s="175" t="e" cm="1">
        <f t="array" aca="1" ref="L18" ca="1">SSTotStd(A4:C21,3)</f>
        <v>#NAME?</v>
      </c>
    </row>
    <row r="19" spans="1:17" x14ac:dyDescent="0.25">
      <c r="A19" s="522">
        <v>2</v>
      </c>
      <c r="B19" s="522">
        <v>3</v>
      </c>
      <c r="C19" s="522">
        <v>1</v>
      </c>
      <c r="E19" t="e">
        <f t="array" aca="1" ref="E19:E20" ca="1">SortUnique(A4:A21)</f>
        <v>#NAME?</v>
      </c>
      <c r="F19" s="380" t="e">
        <f t="array" aca="1" ref="F19" ca="1">_xlfn.VAR.S(IF(($A$4:$A$21=$E19)*($B$4:$B$21=F$18),$C$4:$C$21))</f>
        <v>#NAME?</v>
      </c>
      <c r="G19" s="381" t="e">
        <f t="array" aca="1" ref="G19" ca="1">_xlfn.VAR.S(IF(($A$4:$A$21=$E19)*($B$4:$B$21=G$18),$C$4:$C$21))</f>
        <v>#NAME?</v>
      </c>
      <c r="H19" s="382" t="e">
        <f t="array" aca="1" ref="H19" ca="1">_xlfn.VAR.S(IF(($A$4:$A$21=$E19)*($B$4:$B$21=H$18),$C$4:$C$21))</f>
        <v>#NAME?</v>
      </c>
      <c r="I19" t="e">
        <f t="array" aca="1" ref="I19" ca="1">_xlfn.VAR.S(IF($A$4:$A$21=$E19,$C$4:$C$21))</f>
        <v>#NAME?</v>
      </c>
    </row>
    <row r="20" spans="1:17" x14ac:dyDescent="0.25">
      <c r="A20" s="522">
        <v>2</v>
      </c>
      <c r="B20" s="522">
        <v>3</v>
      </c>
      <c r="C20" s="522">
        <v>3</v>
      </c>
      <c r="E20" t="e">
        <f ca="1"/>
        <v>#NAME?</v>
      </c>
      <c r="F20" s="460" t="e">
        <f t="array" aca="1" ref="F20" ca="1">_xlfn.VAR.S(IF(($A$4:$A$21=$E20)*($B$4:$B$21=F$18),$C$4:$C$21))</f>
        <v>#NAME?</v>
      </c>
      <c r="G20" s="461" t="e">
        <f t="array" aca="1" ref="G20" ca="1">_xlfn.VAR.S(IF(($A$4:$A$21=$E20)*($B$4:$B$21=G$18),$C$4:$C$21))</f>
        <v>#NAME?</v>
      </c>
      <c r="H20" s="462" t="e">
        <f t="array" aca="1" ref="H20" ca="1">_xlfn.VAR.S(IF(($A$4:$A$21=$E20)*($B$4:$B$21=H$18),$C$4:$C$21))</f>
        <v>#NAME?</v>
      </c>
      <c r="I20" t="e">
        <f t="array" aca="1" ref="I20" ca="1">_xlfn.VAR.S(IF($A$4:$A$21=$E20,$C$4:$C$21))</f>
        <v>#NAME?</v>
      </c>
    </row>
    <row r="21" spans="1:17" x14ac:dyDescent="0.25">
      <c r="A21" s="526">
        <v>2</v>
      </c>
      <c r="B21" s="526">
        <v>3</v>
      </c>
      <c r="C21" s="526">
        <v>3</v>
      </c>
      <c r="F21" t="e">
        <f t="array" aca="1" ref="F21" ca="1">_xlfn.VAR.S(IF($B$4:$B$21=F$18,$C$4:$C$21))</f>
        <v>#NAME?</v>
      </c>
      <c r="G21" t="e">
        <f t="array" aca="1" ref="G21" ca="1">_xlfn.VAR.S(IF($B$4:$B$21=G$18,$C$4:$C$21))</f>
        <v>#NAME?</v>
      </c>
      <c r="H21" t="e">
        <f t="array" aca="1" ref="H21" ca="1">_xlfn.VAR.S(IF($B$4:$B$21=H$18,$C$4:$C$21))</f>
        <v>#NAME?</v>
      </c>
      <c r="I21">
        <f>_xlfn.VAR.S(C4:C21)</f>
        <v>1.398692810457516</v>
      </c>
    </row>
    <row r="22" spans="1:17" x14ac:dyDescent="0.25">
      <c r="J22" s="522"/>
      <c r="K22" s="522"/>
      <c r="L22" s="522"/>
    </row>
    <row r="23" spans="1:17" x14ac:dyDescent="0.25">
      <c r="A23" s="586" t="s">
        <v>866</v>
      </c>
      <c r="B23" s="586"/>
      <c r="C23" s="586"/>
      <c r="E23" s="586" t="s">
        <v>258</v>
      </c>
      <c r="F23" s="586"/>
      <c r="G23" s="586"/>
      <c r="H23" s="586"/>
      <c r="J23" s="586" t="s">
        <v>867</v>
      </c>
      <c r="K23" s="586"/>
      <c r="L23" s="586"/>
    </row>
    <row r="24" spans="1:17" x14ac:dyDescent="0.25">
      <c r="A24" s="520" t="s">
        <v>862</v>
      </c>
      <c r="B24" s="520" t="s">
        <v>863</v>
      </c>
      <c r="C24" s="520" t="s">
        <v>864</v>
      </c>
      <c r="E24" s="520" t="s">
        <v>868</v>
      </c>
      <c r="F24" s="520" t="s">
        <v>862</v>
      </c>
      <c r="G24" s="520" t="s">
        <v>863</v>
      </c>
      <c r="H24" s="520" t="s">
        <v>869</v>
      </c>
      <c r="J24" s="520" t="s">
        <v>862</v>
      </c>
      <c r="K24" s="520" t="s">
        <v>863</v>
      </c>
      <c r="L24" s="520" t="s">
        <v>869</v>
      </c>
      <c r="N24" s="520" t="s">
        <v>868</v>
      </c>
      <c r="O24" s="520" t="s">
        <v>862</v>
      </c>
      <c r="P24" s="520" t="s">
        <v>863</v>
      </c>
      <c r="Q24" s="520" t="s">
        <v>869</v>
      </c>
    </row>
    <row r="25" spans="1:17" x14ac:dyDescent="0.25">
      <c r="A25" s="522">
        <f>1</f>
        <v>1</v>
      </c>
      <c r="B25" s="522">
        <v>1</v>
      </c>
      <c r="C25" s="522">
        <v>5</v>
      </c>
      <c r="E25">
        <f>AVERAGE($C$25:$C$42)</f>
        <v>2.8888888888888888</v>
      </c>
      <c r="F25">
        <f>AVERAGEIF($A$25:$A$42,A25,$C$25:$C$42)</f>
        <v>2.7777777777777777</v>
      </c>
      <c r="G25">
        <f>AVERAGEIF($B$25:$B$42,B25,$C$25:$C$42)</f>
        <v>3.8333333333333335</v>
      </c>
      <c r="H25">
        <f>AVERAGEIFS($C$25:$C$42,$A$25:$A$42,A25,$B$25:$B$42,B25)</f>
        <v>4</v>
      </c>
      <c r="J25">
        <f>C25-H25+F25-E25</f>
        <v>0.88888888888888884</v>
      </c>
      <c r="K25">
        <f t="shared" ref="K25:K42" si="1">C25-H25+G25-E25</f>
        <v>1.9444444444444451</v>
      </c>
      <c r="L25">
        <f t="shared" ref="L25:L42" si="2">C25-F25-G25+E25</f>
        <v>1.2777777777777777</v>
      </c>
      <c r="N25" t="e">
        <f ca="1">$I$15</f>
        <v>#DIV/0!</v>
      </c>
      <c r="O25" t="e">
        <f ca="1">INDEX($I$13:$I$14,MATCH(A25,$E$13:$E$14),1)</f>
        <v>#N/A</v>
      </c>
      <c r="P25" t="e">
        <f ca="1">INDEX($F$15:$H$15,1,MATCH(B25,$F$12:$H$12))</f>
        <v>#N/A</v>
      </c>
      <c r="Q25" t="e" cm="1">
        <f t="array" aca="1" ref="Q25" ca="1">MLookup($E$12:$H$14,A25,B25)</f>
        <v>#NAME?</v>
      </c>
    </row>
    <row r="26" spans="1:17" x14ac:dyDescent="0.25">
      <c r="A26" s="522">
        <v>1</v>
      </c>
      <c r="B26" s="522">
        <v>1</v>
      </c>
      <c r="C26" s="522">
        <v>4</v>
      </c>
      <c r="E26">
        <f t="shared" ref="E26:E42" si="3">AVERAGE($C$25:$C$42)</f>
        <v>2.8888888888888888</v>
      </c>
      <c r="F26">
        <f t="shared" ref="F26:F42" si="4">AVERAGEIF($A$25:$A$42,A26,$C$25:$C$42)</f>
        <v>2.7777777777777777</v>
      </c>
      <c r="G26">
        <f t="shared" ref="G26:G42" si="5">AVERAGEIF($B$25:$B$42,B26,$C$25:$C$42)</f>
        <v>3.8333333333333335</v>
      </c>
      <c r="H26">
        <f t="shared" ref="H26:H42" si="6">AVERAGEIFS($C$25:$C$42,$A$25:$A$42,A26,$B$25:$B$42,B26)</f>
        <v>4</v>
      </c>
      <c r="J26">
        <f t="shared" ref="J26:J42" si="7">C26-H26+F26-E26</f>
        <v>-0.11111111111111116</v>
      </c>
      <c r="K26">
        <f t="shared" si="1"/>
        <v>0.94444444444444464</v>
      </c>
      <c r="L26">
        <f t="shared" si="2"/>
        <v>0.27777777777777768</v>
      </c>
      <c r="N26" t="e">
        <f t="shared" ref="N26:N42" ca="1" si="8">$I$15</f>
        <v>#DIV/0!</v>
      </c>
      <c r="O26" t="e">
        <f t="shared" ref="O26:O42" ca="1" si="9">INDEX($I$13:$I$14,MATCH(A26,$E$13:$E$14),1)</f>
        <v>#N/A</v>
      </c>
      <c r="P26" t="e">
        <f t="shared" ref="P26:P42" ca="1" si="10">INDEX($F$15:$H$15,1,MATCH(B26,$F$12:$H$12))</f>
        <v>#N/A</v>
      </c>
      <c r="Q26" t="e" cm="1">
        <f t="array" aca="1" ref="Q26" ca="1">MLookup($E$12:$H$14,A26,B26)</f>
        <v>#NAME?</v>
      </c>
    </row>
    <row r="27" spans="1:17" x14ac:dyDescent="0.25">
      <c r="A27" s="522">
        <v>1</v>
      </c>
      <c r="B27" s="522">
        <v>1</v>
      </c>
      <c r="C27" s="522">
        <v>3</v>
      </c>
      <c r="E27">
        <f t="shared" si="3"/>
        <v>2.8888888888888888</v>
      </c>
      <c r="F27">
        <f t="shared" si="4"/>
        <v>2.7777777777777777</v>
      </c>
      <c r="G27">
        <f t="shared" si="5"/>
        <v>3.8333333333333335</v>
      </c>
      <c r="H27">
        <f t="shared" si="6"/>
        <v>4</v>
      </c>
      <c r="J27">
        <f t="shared" si="7"/>
        <v>-1.1111111111111112</v>
      </c>
      <c r="K27">
        <f t="shared" si="1"/>
        <v>-5.5555555555555358E-2</v>
      </c>
      <c r="L27">
        <f t="shared" si="2"/>
        <v>-0.72222222222222232</v>
      </c>
      <c r="N27" t="e">
        <f t="shared" ca="1" si="8"/>
        <v>#DIV/0!</v>
      </c>
      <c r="O27" t="e">
        <f t="shared" ca="1" si="9"/>
        <v>#N/A</v>
      </c>
      <c r="P27" t="e">
        <f t="shared" ca="1" si="10"/>
        <v>#N/A</v>
      </c>
      <c r="Q27" t="e" cm="1">
        <f t="array" aca="1" ref="Q27" ca="1">MLookup($E$12:$H$14,A27,B27)</f>
        <v>#NAME?</v>
      </c>
    </row>
    <row r="28" spans="1:17" x14ac:dyDescent="0.25">
      <c r="A28" s="522">
        <v>1</v>
      </c>
      <c r="B28" s="522">
        <v>2</v>
      </c>
      <c r="C28" s="522">
        <v>1</v>
      </c>
      <c r="E28">
        <f t="shared" si="3"/>
        <v>2.8888888888888888</v>
      </c>
      <c r="F28">
        <f t="shared" si="4"/>
        <v>2.7777777777777777</v>
      </c>
      <c r="G28">
        <f t="shared" si="5"/>
        <v>2.1666666666666665</v>
      </c>
      <c r="H28">
        <f t="shared" si="6"/>
        <v>1.3333333333333333</v>
      </c>
      <c r="J28">
        <f t="shared" si="7"/>
        <v>-0.4444444444444442</v>
      </c>
      <c r="K28">
        <f t="shared" si="1"/>
        <v>-1.0555555555555556</v>
      </c>
      <c r="L28">
        <f t="shared" si="2"/>
        <v>-1.0555555555555554</v>
      </c>
      <c r="N28" t="e">
        <f t="shared" ca="1" si="8"/>
        <v>#DIV/0!</v>
      </c>
      <c r="O28" t="e">
        <f t="shared" ca="1" si="9"/>
        <v>#N/A</v>
      </c>
      <c r="P28" t="e">
        <f t="shared" ca="1" si="10"/>
        <v>#N/A</v>
      </c>
      <c r="Q28" t="e" cm="1">
        <f t="array" aca="1" ref="Q28" ca="1">MLookup($E$12:$H$14,A28,B28)</f>
        <v>#NAME?</v>
      </c>
    </row>
    <row r="29" spans="1:17" x14ac:dyDescent="0.25">
      <c r="A29" s="522">
        <v>1</v>
      </c>
      <c r="B29" s="522">
        <v>2</v>
      </c>
      <c r="C29" s="522">
        <v>1</v>
      </c>
      <c r="E29">
        <f t="shared" si="3"/>
        <v>2.8888888888888888</v>
      </c>
      <c r="F29">
        <f t="shared" si="4"/>
        <v>2.7777777777777777</v>
      </c>
      <c r="G29">
        <f t="shared" si="5"/>
        <v>2.1666666666666665</v>
      </c>
      <c r="H29">
        <f t="shared" si="6"/>
        <v>1.3333333333333333</v>
      </c>
      <c r="J29">
        <f t="shared" si="7"/>
        <v>-0.4444444444444442</v>
      </c>
      <c r="K29">
        <f t="shared" si="1"/>
        <v>-1.0555555555555556</v>
      </c>
      <c r="L29">
        <f t="shared" si="2"/>
        <v>-1.0555555555555554</v>
      </c>
      <c r="N29" t="e">
        <f t="shared" ca="1" si="8"/>
        <v>#DIV/0!</v>
      </c>
      <c r="O29" t="e">
        <f t="shared" ca="1" si="9"/>
        <v>#N/A</v>
      </c>
      <c r="P29" t="e">
        <f t="shared" ca="1" si="10"/>
        <v>#N/A</v>
      </c>
      <c r="Q29" t="e" cm="1">
        <f t="array" aca="1" ref="Q29" ca="1">MLookup($E$12:$H$14,A29,B29)</f>
        <v>#NAME?</v>
      </c>
    </row>
    <row r="30" spans="1:17" x14ac:dyDescent="0.25">
      <c r="A30" s="522">
        <v>1</v>
      </c>
      <c r="B30" s="522">
        <v>2</v>
      </c>
      <c r="C30" s="522">
        <v>2</v>
      </c>
      <c r="E30">
        <f t="shared" si="3"/>
        <v>2.8888888888888888</v>
      </c>
      <c r="F30">
        <f t="shared" si="4"/>
        <v>2.7777777777777777</v>
      </c>
      <c r="G30">
        <f t="shared" si="5"/>
        <v>2.1666666666666665</v>
      </c>
      <c r="H30">
        <f t="shared" si="6"/>
        <v>1.3333333333333333</v>
      </c>
      <c r="J30">
        <f t="shared" si="7"/>
        <v>0.5555555555555558</v>
      </c>
      <c r="K30">
        <f t="shared" si="1"/>
        <v>-5.5555555555555802E-2</v>
      </c>
      <c r="L30">
        <f t="shared" si="2"/>
        <v>-5.5555555555555358E-2</v>
      </c>
      <c r="N30" t="e">
        <f t="shared" ca="1" si="8"/>
        <v>#DIV/0!</v>
      </c>
      <c r="O30" t="e">
        <f t="shared" ca="1" si="9"/>
        <v>#N/A</v>
      </c>
      <c r="P30" t="e">
        <f t="shared" ca="1" si="10"/>
        <v>#N/A</v>
      </c>
      <c r="Q30" t="e" cm="1">
        <f t="array" aca="1" ref="Q30" ca="1">MLookup($E$12:$H$14,A30,B30)</f>
        <v>#NAME?</v>
      </c>
    </row>
    <row r="31" spans="1:17" x14ac:dyDescent="0.25">
      <c r="A31" s="522">
        <v>1</v>
      </c>
      <c r="B31" s="522">
        <v>3</v>
      </c>
      <c r="C31" s="522">
        <v>4</v>
      </c>
      <c r="E31">
        <f t="shared" si="3"/>
        <v>2.8888888888888888</v>
      </c>
      <c r="F31">
        <f t="shared" si="4"/>
        <v>2.7777777777777777</v>
      </c>
      <c r="G31">
        <f t="shared" si="5"/>
        <v>2.6666666666666665</v>
      </c>
      <c r="H31">
        <f t="shared" si="6"/>
        <v>3</v>
      </c>
      <c r="J31">
        <f t="shared" si="7"/>
        <v>0.88888888888888884</v>
      </c>
      <c r="K31">
        <f t="shared" si="1"/>
        <v>0.77777777777777768</v>
      </c>
      <c r="L31">
        <f t="shared" si="2"/>
        <v>1.4444444444444446</v>
      </c>
      <c r="N31" t="e">
        <f t="shared" ca="1" si="8"/>
        <v>#DIV/0!</v>
      </c>
      <c r="O31" t="e">
        <f t="shared" ca="1" si="9"/>
        <v>#N/A</v>
      </c>
      <c r="P31" t="e">
        <f t="shared" ca="1" si="10"/>
        <v>#N/A</v>
      </c>
      <c r="Q31" t="e" cm="1">
        <f t="array" aca="1" ref="Q31" ca="1">MLookup($E$12:$H$14,A31,B31)</f>
        <v>#NAME?</v>
      </c>
    </row>
    <row r="32" spans="1:17" x14ac:dyDescent="0.25">
      <c r="A32" s="522">
        <v>1</v>
      </c>
      <c r="B32" s="522">
        <v>3</v>
      </c>
      <c r="C32" s="522">
        <v>3</v>
      </c>
      <c r="E32">
        <f t="shared" si="3"/>
        <v>2.8888888888888888</v>
      </c>
      <c r="F32">
        <f t="shared" si="4"/>
        <v>2.7777777777777777</v>
      </c>
      <c r="G32">
        <f t="shared" si="5"/>
        <v>2.6666666666666665</v>
      </c>
      <c r="H32">
        <f t="shared" si="6"/>
        <v>3</v>
      </c>
      <c r="J32">
        <f t="shared" si="7"/>
        <v>-0.11111111111111116</v>
      </c>
      <c r="K32">
        <f t="shared" si="1"/>
        <v>-0.22222222222222232</v>
      </c>
      <c r="L32">
        <f t="shared" si="2"/>
        <v>0.44444444444444464</v>
      </c>
      <c r="N32" t="e">
        <f t="shared" ca="1" si="8"/>
        <v>#DIV/0!</v>
      </c>
      <c r="O32" t="e">
        <f t="shared" ca="1" si="9"/>
        <v>#N/A</v>
      </c>
      <c r="P32" t="e">
        <f t="shared" ca="1" si="10"/>
        <v>#N/A</v>
      </c>
      <c r="Q32" t="e" cm="1">
        <f t="array" aca="1" ref="Q32" ca="1">MLookup($E$12:$H$14,A32,B32)</f>
        <v>#NAME?</v>
      </c>
    </row>
    <row r="33" spans="1:22" x14ac:dyDescent="0.25">
      <c r="A33" s="522">
        <v>1</v>
      </c>
      <c r="B33" s="522">
        <v>3</v>
      </c>
      <c r="C33" s="522">
        <v>2</v>
      </c>
      <c r="E33">
        <f t="shared" si="3"/>
        <v>2.8888888888888888</v>
      </c>
      <c r="F33">
        <f t="shared" si="4"/>
        <v>2.7777777777777777</v>
      </c>
      <c r="G33">
        <f t="shared" si="5"/>
        <v>2.6666666666666665</v>
      </c>
      <c r="H33">
        <f t="shared" si="6"/>
        <v>3</v>
      </c>
      <c r="J33">
        <f t="shared" si="7"/>
        <v>-1.1111111111111112</v>
      </c>
      <c r="K33">
        <f t="shared" si="1"/>
        <v>-1.2222222222222223</v>
      </c>
      <c r="L33">
        <f t="shared" si="2"/>
        <v>-0.55555555555555536</v>
      </c>
      <c r="N33" t="e">
        <f t="shared" ca="1" si="8"/>
        <v>#DIV/0!</v>
      </c>
      <c r="O33" t="e">
        <f t="shared" ca="1" si="9"/>
        <v>#N/A</v>
      </c>
      <c r="P33" t="e">
        <f t="shared" ca="1" si="10"/>
        <v>#N/A</v>
      </c>
      <c r="Q33" t="e" cm="1">
        <f t="array" aca="1" ref="Q33" ca="1">MLookup($E$12:$H$14,A33,B33)</f>
        <v>#NAME?</v>
      </c>
    </row>
    <row r="34" spans="1:22" x14ac:dyDescent="0.25">
      <c r="A34" s="522">
        <v>2</v>
      </c>
      <c r="B34" s="522">
        <v>1</v>
      </c>
      <c r="C34" s="522">
        <v>4</v>
      </c>
      <c r="E34">
        <f t="shared" si="3"/>
        <v>2.8888888888888888</v>
      </c>
      <c r="F34">
        <f t="shared" si="4"/>
        <v>3</v>
      </c>
      <c r="G34">
        <f t="shared" si="5"/>
        <v>3.8333333333333335</v>
      </c>
      <c r="H34">
        <f t="shared" si="6"/>
        <v>3.6666666666666665</v>
      </c>
      <c r="J34">
        <f t="shared" si="7"/>
        <v>0.44444444444444464</v>
      </c>
      <c r="K34">
        <f t="shared" si="1"/>
        <v>1.2777777777777781</v>
      </c>
      <c r="L34">
        <f t="shared" si="2"/>
        <v>5.5555555555555358E-2</v>
      </c>
      <c r="N34" t="e">
        <f t="shared" ca="1" si="8"/>
        <v>#DIV/0!</v>
      </c>
      <c r="O34" t="e">
        <f t="shared" ca="1" si="9"/>
        <v>#N/A</v>
      </c>
      <c r="P34" t="e">
        <f t="shared" ca="1" si="10"/>
        <v>#N/A</v>
      </c>
      <c r="Q34" t="e" cm="1">
        <f t="array" aca="1" ref="Q34" ca="1">MLookup($E$12:$H$14,A34,B34)</f>
        <v>#NAME?</v>
      </c>
    </row>
    <row r="35" spans="1:22" x14ac:dyDescent="0.25">
      <c r="A35" s="522">
        <v>2</v>
      </c>
      <c r="B35" s="522">
        <v>1</v>
      </c>
      <c r="C35" s="522">
        <v>3</v>
      </c>
      <c r="E35">
        <f t="shared" si="3"/>
        <v>2.8888888888888888</v>
      </c>
      <c r="F35">
        <f t="shared" si="4"/>
        <v>3</v>
      </c>
      <c r="G35">
        <f t="shared" si="5"/>
        <v>3.8333333333333335</v>
      </c>
      <c r="H35">
        <f t="shared" si="6"/>
        <v>3.6666666666666665</v>
      </c>
      <c r="J35">
        <f t="shared" si="7"/>
        <v>-0.55555555555555536</v>
      </c>
      <c r="K35">
        <f t="shared" si="1"/>
        <v>0.27777777777777812</v>
      </c>
      <c r="L35">
        <f t="shared" si="2"/>
        <v>-0.94444444444444464</v>
      </c>
      <c r="N35" t="e">
        <f t="shared" ca="1" si="8"/>
        <v>#DIV/0!</v>
      </c>
      <c r="O35" t="e">
        <f t="shared" ca="1" si="9"/>
        <v>#N/A</v>
      </c>
      <c r="P35" t="e">
        <f t="shared" ca="1" si="10"/>
        <v>#N/A</v>
      </c>
      <c r="Q35" t="e" cm="1">
        <f t="array" aca="1" ref="Q35" ca="1">MLookup($E$12:$H$14,A35,B35)</f>
        <v>#NAME?</v>
      </c>
    </row>
    <row r="36" spans="1:22" x14ac:dyDescent="0.25">
      <c r="A36" s="522">
        <v>2</v>
      </c>
      <c r="B36" s="522">
        <v>1</v>
      </c>
      <c r="C36" s="522">
        <v>4</v>
      </c>
      <c r="E36">
        <f t="shared" si="3"/>
        <v>2.8888888888888888</v>
      </c>
      <c r="F36">
        <f t="shared" si="4"/>
        <v>3</v>
      </c>
      <c r="G36">
        <f t="shared" si="5"/>
        <v>3.8333333333333335</v>
      </c>
      <c r="H36">
        <f t="shared" si="6"/>
        <v>3.6666666666666665</v>
      </c>
      <c r="J36">
        <f t="shared" si="7"/>
        <v>0.44444444444444464</v>
      </c>
      <c r="K36">
        <f t="shared" si="1"/>
        <v>1.2777777777777781</v>
      </c>
      <c r="L36">
        <f t="shared" si="2"/>
        <v>5.5555555555555358E-2</v>
      </c>
      <c r="N36" t="e">
        <f t="shared" ca="1" si="8"/>
        <v>#DIV/0!</v>
      </c>
      <c r="O36" t="e">
        <f t="shared" ca="1" si="9"/>
        <v>#N/A</v>
      </c>
      <c r="P36" t="e">
        <f t="shared" ca="1" si="10"/>
        <v>#N/A</v>
      </c>
      <c r="Q36" t="e" cm="1">
        <f t="array" aca="1" ref="Q36" ca="1">MLookup($E$12:$H$14,A36,B36)</f>
        <v>#NAME?</v>
      </c>
    </row>
    <row r="37" spans="1:22" x14ac:dyDescent="0.25">
      <c r="A37" s="522">
        <v>2</v>
      </c>
      <c r="B37" s="522">
        <v>2</v>
      </c>
      <c r="C37" s="522">
        <v>3</v>
      </c>
      <c r="E37">
        <f t="shared" si="3"/>
        <v>2.8888888888888888</v>
      </c>
      <c r="F37">
        <f t="shared" si="4"/>
        <v>3</v>
      </c>
      <c r="G37">
        <f t="shared" si="5"/>
        <v>2.1666666666666665</v>
      </c>
      <c r="H37">
        <f t="shared" si="6"/>
        <v>3</v>
      </c>
      <c r="J37">
        <f t="shared" si="7"/>
        <v>0.11111111111111116</v>
      </c>
      <c r="K37">
        <f t="shared" si="1"/>
        <v>-0.72222222222222232</v>
      </c>
      <c r="L37">
        <f t="shared" si="2"/>
        <v>0.72222222222222232</v>
      </c>
      <c r="N37" t="e">
        <f t="shared" ca="1" si="8"/>
        <v>#DIV/0!</v>
      </c>
      <c r="O37" t="e">
        <f t="shared" ca="1" si="9"/>
        <v>#N/A</v>
      </c>
      <c r="P37" t="e">
        <f t="shared" ca="1" si="10"/>
        <v>#N/A</v>
      </c>
      <c r="Q37" t="e" cm="1">
        <f t="array" aca="1" ref="Q37" ca="1">MLookup($E$12:$H$14,A37,B37)</f>
        <v>#NAME?</v>
      </c>
    </row>
    <row r="38" spans="1:22" x14ac:dyDescent="0.25">
      <c r="A38" s="522">
        <v>2</v>
      </c>
      <c r="B38" s="522">
        <v>2</v>
      </c>
      <c r="C38" s="522">
        <v>2</v>
      </c>
      <c r="E38">
        <f t="shared" si="3"/>
        <v>2.8888888888888888</v>
      </c>
      <c r="F38">
        <f t="shared" si="4"/>
        <v>3</v>
      </c>
      <c r="G38">
        <f t="shared" si="5"/>
        <v>2.1666666666666665</v>
      </c>
      <c r="H38">
        <f t="shared" si="6"/>
        <v>3</v>
      </c>
      <c r="J38">
        <f t="shared" si="7"/>
        <v>-0.88888888888888884</v>
      </c>
      <c r="K38">
        <f t="shared" si="1"/>
        <v>-1.7222222222222223</v>
      </c>
      <c r="L38">
        <f t="shared" si="2"/>
        <v>-0.27777777777777768</v>
      </c>
      <c r="N38" t="e">
        <f t="shared" ca="1" si="8"/>
        <v>#DIV/0!</v>
      </c>
      <c r="O38" t="e">
        <f t="shared" ca="1" si="9"/>
        <v>#N/A</v>
      </c>
      <c r="P38" t="e">
        <f t="shared" ca="1" si="10"/>
        <v>#N/A</v>
      </c>
      <c r="Q38" t="e" cm="1">
        <f t="array" aca="1" ref="Q38" ca="1">MLookup($E$12:$H$14,A38,B38)</f>
        <v>#NAME?</v>
      </c>
    </row>
    <row r="39" spans="1:22" x14ac:dyDescent="0.25">
      <c r="A39" s="522">
        <v>2</v>
      </c>
      <c r="B39" s="522">
        <v>2</v>
      </c>
      <c r="C39" s="522">
        <v>4</v>
      </c>
      <c r="E39">
        <f t="shared" si="3"/>
        <v>2.8888888888888888</v>
      </c>
      <c r="F39">
        <f t="shared" si="4"/>
        <v>3</v>
      </c>
      <c r="G39">
        <f t="shared" si="5"/>
        <v>2.1666666666666665</v>
      </c>
      <c r="H39">
        <f t="shared" si="6"/>
        <v>3</v>
      </c>
      <c r="J39">
        <f t="shared" si="7"/>
        <v>1.1111111111111112</v>
      </c>
      <c r="K39">
        <f t="shared" si="1"/>
        <v>0.27777777777777768</v>
      </c>
      <c r="L39">
        <f t="shared" si="2"/>
        <v>1.7222222222222223</v>
      </c>
      <c r="N39" t="e">
        <f t="shared" ca="1" si="8"/>
        <v>#DIV/0!</v>
      </c>
      <c r="O39" t="e">
        <f t="shared" ca="1" si="9"/>
        <v>#N/A</v>
      </c>
      <c r="P39" t="e">
        <f t="shared" ca="1" si="10"/>
        <v>#N/A</v>
      </c>
      <c r="Q39" t="e" cm="1">
        <f t="array" aca="1" ref="Q39" ca="1">MLookup($E$12:$H$14,A39,B39)</f>
        <v>#NAME?</v>
      </c>
    </row>
    <row r="40" spans="1:22" x14ac:dyDescent="0.25">
      <c r="A40" s="522">
        <v>2</v>
      </c>
      <c r="B40" s="522">
        <v>3</v>
      </c>
      <c r="C40" s="522">
        <v>1</v>
      </c>
      <c r="E40">
        <f t="shared" si="3"/>
        <v>2.8888888888888888</v>
      </c>
      <c r="F40">
        <f t="shared" si="4"/>
        <v>3</v>
      </c>
      <c r="G40">
        <f t="shared" si="5"/>
        <v>2.6666666666666665</v>
      </c>
      <c r="H40">
        <f t="shared" si="6"/>
        <v>2.3333333333333335</v>
      </c>
      <c r="J40">
        <f t="shared" si="7"/>
        <v>-1.2222222222222223</v>
      </c>
      <c r="K40">
        <f t="shared" si="1"/>
        <v>-1.5555555555555558</v>
      </c>
      <c r="L40">
        <f t="shared" si="2"/>
        <v>-1.7777777777777772</v>
      </c>
      <c r="N40" t="e">
        <f t="shared" ca="1" si="8"/>
        <v>#DIV/0!</v>
      </c>
      <c r="O40" t="e">
        <f t="shared" ca="1" si="9"/>
        <v>#N/A</v>
      </c>
      <c r="P40" t="e">
        <f t="shared" ca="1" si="10"/>
        <v>#N/A</v>
      </c>
      <c r="Q40" t="e" cm="1">
        <f t="array" aca="1" ref="Q40" ca="1">MLookup($E$12:$H$14,A40,B40)</f>
        <v>#NAME?</v>
      </c>
    </row>
    <row r="41" spans="1:22" x14ac:dyDescent="0.25">
      <c r="A41" s="522">
        <v>2</v>
      </c>
      <c r="B41" s="522">
        <v>3</v>
      </c>
      <c r="C41" s="522">
        <v>3</v>
      </c>
      <c r="E41">
        <f t="shared" si="3"/>
        <v>2.8888888888888888</v>
      </c>
      <c r="F41">
        <f t="shared" si="4"/>
        <v>3</v>
      </c>
      <c r="G41">
        <f t="shared" si="5"/>
        <v>2.6666666666666665</v>
      </c>
      <c r="H41">
        <f t="shared" si="6"/>
        <v>2.3333333333333335</v>
      </c>
      <c r="J41">
        <f t="shared" si="7"/>
        <v>0.77777777777777768</v>
      </c>
      <c r="K41">
        <f t="shared" si="1"/>
        <v>0.4444444444444442</v>
      </c>
      <c r="L41">
        <f t="shared" si="2"/>
        <v>0.22222222222222232</v>
      </c>
      <c r="N41" t="e">
        <f t="shared" ca="1" si="8"/>
        <v>#DIV/0!</v>
      </c>
      <c r="O41" t="e">
        <f t="shared" ca="1" si="9"/>
        <v>#N/A</v>
      </c>
      <c r="P41" t="e">
        <f t="shared" ca="1" si="10"/>
        <v>#N/A</v>
      </c>
      <c r="Q41" t="e" cm="1">
        <f t="array" aca="1" ref="Q41" ca="1">MLookup($E$12:$H$14,A41,B41)</f>
        <v>#NAME?</v>
      </c>
    </row>
    <row r="42" spans="1:22" x14ac:dyDescent="0.25">
      <c r="A42" s="526">
        <v>2</v>
      </c>
      <c r="B42" s="526">
        <v>3</v>
      </c>
      <c r="C42" s="526">
        <v>3</v>
      </c>
      <c r="E42" s="516">
        <f t="shared" si="3"/>
        <v>2.8888888888888888</v>
      </c>
      <c r="F42" s="516">
        <f t="shared" si="4"/>
        <v>3</v>
      </c>
      <c r="G42" s="516">
        <f t="shared" si="5"/>
        <v>2.6666666666666665</v>
      </c>
      <c r="H42" s="516">
        <f t="shared" si="6"/>
        <v>2.3333333333333335</v>
      </c>
      <c r="J42" s="516">
        <f t="shared" si="7"/>
        <v>0.77777777777777768</v>
      </c>
      <c r="K42" s="516">
        <f t="shared" si="1"/>
        <v>0.4444444444444442</v>
      </c>
      <c r="L42" s="516">
        <f t="shared" si="2"/>
        <v>0.22222222222222232</v>
      </c>
      <c r="N42" s="516" t="e">
        <f t="shared" ca="1" si="8"/>
        <v>#DIV/0!</v>
      </c>
      <c r="O42" s="516" t="e">
        <f t="shared" ca="1" si="9"/>
        <v>#N/A</v>
      </c>
      <c r="P42" s="516" t="e">
        <f t="shared" ca="1" si="10"/>
        <v>#N/A</v>
      </c>
      <c r="Q42" s="516" t="e" cm="1">
        <f t="array" aca="1" ref="Q42" ca="1">MLookup($E$12:$H$14,A42,B42)</f>
        <v>#NAME?</v>
      </c>
    </row>
    <row r="44" spans="1:22" x14ac:dyDescent="0.25">
      <c r="A44" s="520" t="s">
        <v>862</v>
      </c>
      <c r="B44" s="520" t="s">
        <v>863</v>
      </c>
      <c r="C44" s="520" t="s">
        <v>870</v>
      </c>
      <c r="E44" t="s">
        <v>24</v>
      </c>
      <c r="K44" t="s">
        <v>493</v>
      </c>
      <c r="S44" t="s">
        <v>495</v>
      </c>
    </row>
    <row r="45" spans="1:22" x14ac:dyDescent="0.25">
      <c r="A45" s="522">
        <f>1</f>
        <v>1</v>
      </c>
      <c r="B45" s="522">
        <v>1</v>
      </c>
      <c r="C45" s="522" t="e" cm="1">
        <f t="array" aca="1" ref="C45" ca="1">RANK_AVG(J25,J$25:J$42,1)</f>
        <v>#NAME?</v>
      </c>
    </row>
    <row r="46" spans="1:22" ht="15.75" thickBot="1" x14ac:dyDescent="0.3">
      <c r="A46" s="522">
        <v>1</v>
      </c>
      <c r="B46" s="522">
        <v>1</v>
      </c>
      <c r="C46" s="522" t="e" cm="1">
        <f t="array" aca="1" ref="C46" ca="1">RANK_AVG(J26,J$25:J$42,1)</f>
        <v>#NAME?</v>
      </c>
      <c r="E46" t="s">
        <v>489</v>
      </c>
      <c r="F46" t="str">
        <f ca="1">IF(COUNTIF(F48:H49,F48)=COUNT(F48:H49),"balanced","unbalanced")</f>
        <v>balanced</v>
      </c>
      <c r="K46" t="s">
        <v>101</v>
      </c>
      <c r="O46" s="522" t="s">
        <v>31</v>
      </c>
      <c r="P46" s="522">
        <v>0.05</v>
      </c>
      <c r="S46" s="344" t="e">
        <f t="array" aca="1" ref="S46:V52" ca="1">StdAnova2(A45:C62)</f>
        <v>#NAME?</v>
      </c>
      <c r="T46" s="344" t="e">
        <f ca="1"/>
        <v>#NAME?</v>
      </c>
      <c r="U46" s="344" t="e">
        <f ca="1"/>
        <v>#NAME?</v>
      </c>
      <c r="V46" s="344" t="e">
        <f ca="1"/>
        <v>#NAME?</v>
      </c>
    </row>
    <row r="47" spans="1:22" ht="15.75" thickTop="1" x14ac:dyDescent="0.25">
      <c r="A47" s="522">
        <v>1</v>
      </c>
      <c r="B47" s="522">
        <v>1</v>
      </c>
      <c r="C47" s="522" t="e" cm="1">
        <f t="array" aca="1" ref="C47" ca="1">RANK_AVG(J27,J$25:J$42,1)</f>
        <v>#NAME?</v>
      </c>
      <c r="F47" t="e">
        <f t="array" aca="1" ref="F47:H47" ca="1">TRANSPOSE(SortUnique(B45:B62))</f>
        <v>#NAME?</v>
      </c>
      <c r="G47" t="e">
        <f ca="1"/>
        <v>#NAME?</v>
      </c>
      <c r="H47" t="e">
        <f ca="1"/>
        <v>#NAME?</v>
      </c>
      <c r="K47" s="251"/>
      <c r="L47" s="251" t="s">
        <v>88</v>
      </c>
      <c r="M47" s="251" t="s">
        <v>51</v>
      </c>
      <c r="N47" s="251" t="s">
        <v>92</v>
      </c>
      <c r="O47" s="251" t="s">
        <v>82</v>
      </c>
      <c r="P47" s="251" t="s">
        <v>56</v>
      </c>
      <c r="Q47" s="251" t="s">
        <v>865</v>
      </c>
      <c r="S47" s="344" t="e">
        <f ca="1"/>
        <v>#NAME?</v>
      </c>
      <c r="T47" s="344" t="e">
        <f ca="1"/>
        <v>#NAME?</v>
      </c>
      <c r="U47" s="344" t="e">
        <f ca="1"/>
        <v>#NAME?</v>
      </c>
      <c r="V47" s="344" t="e">
        <f ca="1"/>
        <v>#NAME?</v>
      </c>
    </row>
    <row r="48" spans="1:22" x14ac:dyDescent="0.25">
      <c r="A48" s="522">
        <v>1</v>
      </c>
      <c r="B48" s="522">
        <v>2</v>
      </c>
      <c r="C48" s="522" t="e" cm="1">
        <f t="array" aca="1" ref="C48" ca="1">RANK_AVG(J28,J$25:J$42,1)</f>
        <v>#NAME?</v>
      </c>
      <c r="E48" t="e">
        <f t="array" aca="1" ref="E48:E49" ca="1">SortUnique(A45:A62)</f>
        <v>#NAME?</v>
      </c>
      <c r="F48" s="380">
        <f t="array" ref="F48" ca="1">COUNTIFS($A$45:$A$62,$E48,$B$45:$B$62,F$47)</f>
        <v>0</v>
      </c>
      <c r="G48" s="381">
        <f t="array" ref="G48" ca="1">COUNTIFS($A$45:$A$62,$E48,$B$45:$B$62,G$47)</f>
        <v>0</v>
      </c>
      <c r="H48" s="382">
        <f t="array" ref="H48" ca="1">COUNTIFS($A$45:$A$62,$E48,$B$45:$B$62,H$47)</f>
        <v>0</v>
      </c>
      <c r="I48" s="528">
        <f t="array" ref="I48" ca="1">SUM(F48:H48)</f>
        <v>0</v>
      </c>
      <c r="K48" s="529" t="s">
        <v>83</v>
      </c>
      <c r="L48" s="529" t="e">
        <f ca="1">DEVSQ(I54:I55)*I48</f>
        <v>#DIV/0!</v>
      </c>
      <c r="M48" s="529">
        <f ca="1">COUNT(I54:I55)-1</f>
        <v>-1</v>
      </c>
      <c r="N48" s="529" t="e">
        <f ca="1">L48/M48</f>
        <v>#DIV/0!</v>
      </c>
      <c r="O48" s="529" t="e">
        <f ca="1">N48/N51</f>
        <v>#DIV/0!</v>
      </c>
      <c r="P48" s="529" t="e">
        <f ca="1">_xlfn.F.DIST.RT(O48,M48,M51)</f>
        <v>#DIV/0!</v>
      </c>
      <c r="Q48" s="530" t="e">
        <f ca="1">L48/(L48+L$51)</f>
        <v>#DIV/0!</v>
      </c>
      <c r="S48" s="206" t="e">
        <f ca="1"/>
        <v>#NAME?</v>
      </c>
      <c r="T48" s="206" t="e">
        <f ca="1"/>
        <v>#NAME?</v>
      </c>
      <c r="U48" s="206" t="e">
        <f ca="1"/>
        <v>#NAME?</v>
      </c>
      <c r="V48" s="206" t="e">
        <f ca="1"/>
        <v>#NAME?</v>
      </c>
    </row>
    <row r="49" spans="1:22" x14ac:dyDescent="0.25">
      <c r="A49" s="522">
        <v>1</v>
      </c>
      <c r="B49" s="522">
        <v>2</v>
      </c>
      <c r="C49" s="522" t="e" cm="1">
        <f t="array" aca="1" ref="C49" ca="1">RANK_AVG(J29,J$25:J$42,1)</f>
        <v>#NAME?</v>
      </c>
      <c r="E49" t="e">
        <f ca="1"/>
        <v>#NAME?</v>
      </c>
      <c r="F49" s="460">
        <f t="array" ref="F49" ca="1">COUNTIFS($A$45:$A$62,$E49,$B$45:$B$62,F$47)</f>
        <v>0</v>
      </c>
      <c r="G49" s="461">
        <f t="array" ref="G49" ca="1">COUNTIFS($A$45:$A$62,$E49,$B$45:$B$62,G$47)</f>
        <v>0</v>
      </c>
      <c r="H49" s="462">
        <f t="array" ref="H49" ca="1">COUNTIFS($A$45:$A$62,$E49,$B$45:$B$62,H$47)</f>
        <v>0</v>
      </c>
      <c r="I49">
        <f t="array" ref="I49" ca="1">SUM(F49:H49)</f>
        <v>0</v>
      </c>
      <c r="K49" t="s">
        <v>238</v>
      </c>
      <c r="L49" t="e">
        <f ca="1">DEVSQ(F56:H56)*F50</f>
        <v>#DIV/0!</v>
      </c>
      <c r="M49">
        <f ca="1">COUNT(F56:H56)-1</f>
        <v>-1</v>
      </c>
      <c r="N49" t="e">
        <f ca="1">L49/M49</f>
        <v>#DIV/0!</v>
      </c>
      <c r="O49" t="e">
        <f ca="1">N49/N51</f>
        <v>#DIV/0!</v>
      </c>
      <c r="P49" t="e">
        <f ca="1">_xlfn.F.DIST.RT(O49,M49,M51)</f>
        <v>#DIV/0!</v>
      </c>
      <c r="Q49" s="522" t="e">
        <f ca="1">L49/(L49+L$51)</f>
        <v>#DIV/0!</v>
      </c>
      <c r="S49" s="467" t="e">
        <f ca="1"/>
        <v>#NAME?</v>
      </c>
      <c r="T49" s="467" t="e">
        <f ca="1"/>
        <v>#NAME?</v>
      </c>
      <c r="U49" s="467" t="e">
        <f ca="1"/>
        <v>#NAME?</v>
      </c>
      <c r="V49" s="467" t="e">
        <f ca="1"/>
        <v>#NAME?</v>
      </c>
    </row>
    <row r="50" spans="1:22" x14ac:dyDescent="0.25">
      <c r="A50" s="522">
        <v>1</v>
      </c>
      <c r="B50" s="522">
        <v>2</v>
      </c>
      <c r="C50" s="522" t="e" cm="1">
        <f t="array" aca="1" ref="C50" ca="1">RANK_AVG(J30,J$25:J$42,1)</f>
        <v>#NAME?</v>
      </c>
      <c r="F50">
        <f t="array" ref="F50" ca="1">SUM(F48:F49)</f>
        <v>0</v>
      </c>
      <c r="G50">
        <f t="array" ref="G50" ca="1">SUM(G48:G49)</f>
        <v>0</v>
      </c>
      <c r="H50">
        <f t="array" ref="H50" ca="1">SUM(H48:H49)</f>
        <v>0</v>
      </c>
      <c r="I50">
        <f t="array" ref="I50" ca="1">SUM(I48:I49)</f>
        <v>0</v>
      </c>
      <c r="K50" t="s">
        <v>410</v>
      </c>
      <c r="L50" t="e">
        <f ca="1">L52-L48-L49-L51</f>
        <v>#NAME?</v>
      </c>
      <c r="M50">
        <f ca="1">M49*M48</f>
        <v>1</v>
      </c>
      <c r="N50" t="e">
        <f ca="1">L50/M50</f>
        <v>#NAME?</v>
      </c>
      <c r="O50" t="e">
        <f ca="1">N50/N51</f>
        <v>#NAME?</v>
      </c>
      <c r="P50" t="e">
        <f ca="1">_xlfn.F.DIST.RT(O50,M50,M51)</f>
        <v>#NAME?</v>
      </c>
      <c r="Q50" s="522" t="e">
        <f ca="1">L50/(L50+L$51)</f>
        <v>#NAME?</v>
      </c>
      <c r="S50" s="344" t="e">
        <f ca="1"/>
        <v>#NAME?</v>
      </c>
      <c r="T50" s="344" t="e">
        <f ca="1"/>
        <v>#NAME?</v>
      </c>
      <c r="U50" s="344" t="e">
        <f ca="1"/>
        <v>#NAME?</v>
      </c>
      <c r="V50" s="344" t="e">
        <f ca="1"/>
        <v>#NAME?</v>
      </c>
    </row>
    <row r="51" spans="1:22" x14ac:dyDescent="0.25">
      <c r="A51" s="522">
        <v>1</v>
      </c>
      <c r="B51" s="522">
        <v>3</v>
      </c>
      <c r="C51" s="522" t="e" cm="1">
        <f t="array" aca="1" ref="C51" ca="1">RANK_AVG(J31,J$25:J$42,1)</f>
        <v>#NAME?</v>
      </c>
      <c r="K51" t="s">
        <v>249</v>
      </c>
      <c r="L51" s="528" t="e">
        <f ca="1">SUM(F60:H61)*(F48-1)</f>
        <v>#NAME?</v>
      </c>
      <c r="M51">
        <f ca="1">M52-M48-M49-M50</f>
        <v>0</v>
      </c>
      <c r="N51" t="e">
        <f ca="1">L51/M51</f>
        <v>#NAME?</v>
      </c>
      <c r="S51" s="206" t="e">
        <f ca="1"/>
        <v>#NAME?</v>
      </c>
      <c r="T51" s="206" t="e">
        <f ca="1"/>
        <v>#NAME?</v>
      </c>
      <c r="U51" s="206" t="e">
        <f ca="1"/>
        <v>#NAME?</v>
      </c>
      <c r="V51" s="206" t="e">
        <f ca="1"/>
        <v>#NAME?</v>
      </c>
    </row>
    <row r="52" spans="1:22" x14ac:dyDescent="0.25">
      <c r="A52" s="522">
        <v>1</v>
      </c>
      <c r="B52" s="522">
        <v>3</v>
      </c>
      <c r="C52" s="522" t="e" cm="1">
        <f t="array" aca="1" ref="C52" ca="1">RANK_AVG(J32,J$25:J$42,1)</f>
        <v>#NAME?</v>
      </c>
      <c r="E52" t="s">
        <v>259</v>
      </c>
      <c r="K52" s="516" t="s">
        <v>1</v>
      </c>
      <c r="L52" s="516" t="e">
        <f ca="1">N52*M52</f>
        <v>#NAME?</v>
      </c>
      <c r="M52" s="516">
        <f ca="1">I50-1</f>
        <v>-1</v>
      </c>
      <c r="N52" s="516" t="e">
        <f ca="1">I62</f>
        <v>#NAME?</v>
      </c>
      <c r="O52" s="516"/>
      <c r="P52" s="516"/>
      <c r="Q52" s="516"/>
      <c r="S52" s="467" t="e">
        <f ca="1"/>
        <v>#NAME?</v>
      </c>
      <c r="T52" s="467" t="e">
        <f ca="1"/>
        <v>#NAME?</v>
      </c>
      <c r="U52" s="467" t="e">
        <f ca="1"/>
        <v>#NAME?</v>
      </c>
      <c r="V52" s="467" t="e">
        <f ca="1"/>
        <v>#NAME?</v>
      </c>
    </row>
    <row r="53" spans="1:22" x14ac:dyDescent="0.25">
      <c r="A53" s="522">
        <v>1</v>
      </c>
      <c r="B53" s="522">
        <v>3</v>
      </c>
      <c r="C53" s="522" t="e" cm="1">
        <f t="array" aca="1" ref="C53" ca="1">RANK_AVG(J33,J$25:J$42,1)</f>
        <v>#NAME?</v>
      </c>
      <c r="F53" t="e">
        <f t="array" aca="1" ref="F53:H53" ca="1">TRANSPOSE(SortUnique(B45:B62))</f>
        <v>#NAME?</v>
      </c>
      <c r="G53" t="e">
        <f ca="1"/>
        <v>#NAME?</v>
      </c>
      <c r="H53" t="e">
        <f ca="1"/>
        <v>#NAME?</v>
      </c>
    </row>
    <row r="54" spans="1:22" x14ac:dyDescent="0.25">
      <c r="A54" s="522">
        <v>2</v>
      </c>
      <c r="B54" s="522">
        <v>1</v>
      </c>
      <c r="C54" s="522" t="e" cm="1">
        <f t="array" aca="1" ref="C54" ca="1">RANK_AVG(J34,J$25:J$42,1)</f>
        <v>#NAME?</v>
      </c>
      <c r="E54" t="e">
        <f t="array" aca="1" ref="E54:E55" ca="1">SortUnique(A45:A62)</f>
        <v>#NAME?</v>
      </c>
      <c r="F54" s="380" t="e">
        <f t="array" ref="F54" ca="1">AVERAGEIFS($C$45:$C$62,$A$45:$A$62,$E54,$B$45:$B$62,F$53)</f>
        <v>#DIV/0!</v>
      </c>
      <c r="G54" s="381" t="e">
        <f t="array" ref="G54" ca="1">AVERAGEIFS($C$45:$C$62,$A$45:$A$62,$E54,$B$45:$B$62,G$53)</f>
        <v>#DIV/0!</v>
      </c>
      <c r="H54" s="382" t="e">
        <f t="array" ref="H54" ca="1">AVERAGEIFS($C$45:$C$62,$A$45:$A$62,$E54,$B$45:$B$62,H$53)</f>
        <v>#DIV/0!</v>
      </c>
      <c r="I54" s="531" t="e">
        <f t="array" ref="I54" ca="1">AVERAGE(F54:H54)</f>
        <v>#DIV/0!</v>
      </c>
      <c r="L54" t="e" cm="1">
        <f t="array" aca="1" ref="L54" ca="1">SSRow(T47:V52,3)</f>
        <v>#NAME?</v>
      </c>
      <c r="O54" t="e" cm="1">
        <f t="array" aca="1" ref="O54" ca="1">ANOVARow(T47:V52,3)</f>
        <v>#NAME?</v>
      </c>
    </row>
    <row r="55" spans="1:22" x14ac:dyDescent="0.25">
      <c r="A55" s="522">
        <v>2</v>
      </c>
      <c r="B55" s="522">
        <v>1</v>
      </c>
      <c r="C55" s="522" t="e" cm="1">
        <f t="array" aca="1" ref="C55" ca="1">RANK_AVG(J35,J$25:J$42,1)</f>
        <v>#NAME?</v>
      </c>
      <c r="E55" t="e">
        <f ca="1"/>
        <v>#NAME?</v>
      </c>
      <c r="F55" s="460" t="e">
        <f t="array" ref="F55" ca="1">AVERAGEIFS($C$45:$C$62,$A$45:$A$62,$E55,$B$45:$B$62,F$53)</f>
        <v>#DIV/0!</v>
      </c>
      <c r="G55" s="461" t="e">
        <f t="array" ref="G55" ca="1">AVERAGEIFS($C$45:$C$62,$A$45:$A$62,$E55,$B$45:$B$62,G$53)</f>
        <v>#DIV/0!</v>
      </c>
      <c r="H55" s="462" t="e">
        <f t="array" ref="H55" ca="1">AVERAGEIFS($C$45:$C$62,$A$45:$A$62,$E55,$B$45:$B$62,H$53)</f>
        <v>#DIV/0!</v>
      </c>
      <c r="I55" s="531" t="e">
        <f t="array" ref="I55" ca="1">AVERAGE(F55:H55)</f>
        <v>#DIV/0!</v>
      </c>
    </row>
    <row r="56" spans="1:22" x14ac:dyDescent="0.25">
      <c r="A56" s="522">
        <v>2</v>
      </c>
      <c r="B56" s="522">
        <v>1</v>
      </c>
      <c r="C56" s="522" t="e" cm="1">
        <f t="array" aca="1" ref="C56" ca="1">RANK_AVG(J36,J$25:J$42,1)</f>
        <v>#NAME?</v>
      </c>
      <c r="F56" t="e">
        <f t="array" ref="F56" ca="1">AVERAGE(F54:F55)</f>
        <v>#DIV/0!</v>
      </c>
      <c r="G56" t="e">
        <f t="array" ref="G56" ca="1">AVERAGE(G54:G55)</f>
        <v>#DIV/0!</v>
      </c>
      <c r="H56" t="e">
        <f t="array" ref="H56" ca="1">AVERAGE(H54:H55)</f>
        <v>#DIV/0!</v>
      </c>
      <c r="I56" t="e">
        <f t="array" ref="I56" ca="1">AVERAGE(I54:I55)</f>
        <v>#DIV/0!</v>
      </c>
      <c r="O56" t="e" cm="1">
        <f t="array" aca="1" ref="O56" ca="1">ANOVARow(SUBMATRIX(StdAnova2(A45:C62),2,2),3)</f>
        <v>#NAME?</v>
      </c>
    </row>
    <row r="57" spans="1:22" x14ac:dyDescent="0.25">
      <c r="A57" s="522">
        <v>2</v>
      </c>
      <c r="B57" s="522">
        <v>2</v>
      </c>
      <c r="C57" s="522" t="e" cm="1">
        <f t="array" aca="1" ref="C57" ca="1">RANK_AVG(J37,J$25:J$42,1)</f>
        <v>#NAME?</v>
      </c>
    </row>
    <row r="58" spans="1:22" x14ac:dyDescent="0.25">
      <c r="A58" s="522">
        <v>2</v>
      </c>
      <c r="B58" s="522">
        <v>2</v>
      </c>
      <c r="C58" s="522" t="e" cm="1">
        <f t="array" aca="1" ref="C58" ca="1">RANK_AVG(J38,J$25:J$42,1)</f>
        <v>#NAME?</v>
      </c>
      <c r="E58" t="s">
        <v>490</v>
      </c>
    </row>
    <row r="59" spans="1:22" x14ac:dyDescent="0.25">
      <c r="A59" s="522">
        <v>2</v>
      </c>
      <c r="B59" s="522">
        <v>2</v>
      </c>
      <c r="C59" s="522" t="e" cm="1">
        <f t="array" aca="1" ref="C59" ca="1">RANK_AVG(J39,J$25:J$42,1)</f>
        <v>#NAME?</v>
      </c>
      <c r="F59" t="e">
        <f t="array" aca="1" ref="F59:H59" ca="1">TRANSPOSE(SortUnique(B45:B62))</f>
        <v>#NAME?</v>
      </c>
      <c r="G59" t="e">
        <f ca="1"/>
        <v>#NAME?</v>
      </c>
      <c r="H59" t="e">
        <f ca="1"/>
        <v>#NAME?</v>
      </c>
    </row>
    <row r="60" spans="1:22" x14ac:dyDescent="0.25">
      <c r="A60" s="522">
        <v>2</v>
      </c>
      <c r="B60" s="522">
        <v>3</v>
      </c>
      <c r="C60" s="522" t="e" cm="1">
        <f t="array" aca="1" ref="C60" ca="1">RANK_AVG(J40,J$25:J$42,1)</f>
        <v>#NAME?</v>
      </c>
      <c r="E60" t="e">
        <f t="array" aca="1" ref="E60:E61" ca="1">SortUnique(A45:A62)</f>
        <v>#NAME?</v>
      </c>
      <c r="F60" s="532" t="e">
        <f t="array" aca="1" ref="F60" ca="1">_xlfn.VAR.S(IF(($A$45:$A$62=$E60)*($B$45:$B$62=F$59),$C$45:$C$62))</f>
        <v>#NAME?</v>
      </c>
      <c r="G60" s="533" t="e">
        <f t="array" aca="1" ref="G60" ca="1">_xlfn.VAR.S(IF(($A$45:$A$62=$E60)*($B$45:$B$62=G$59),$C$45:$C$62))</f>
        <v>#NAME?</v>
      </c>
      <c r="H60" s="534" t="e">
        <f t="array" aca="1" ref="H60" ca="1">_xlfn.VAR.S(IF(($A$45:$A$62=$E60)*($B$45:$B$62=H$59),$C$45:$C$62))</f>
        <v>#NAME?</v>
      </c>
      <c r="I60" t="e">
        <f t="array" aca="1" ref="I60" ca="1">_xlfn.VAR.S(IF($A$45:$A$62=$E60,$C$45:$C$62))</f>
        <v>#NAME?</v>
      </c>
    </row>
    <row r="61" spans="1:22" x14ac:dyDescent="0.25">
      <c r="A61" s="522">
        <v>2</v>
      </c>
      <c r="B61" s="522">
        <v>3</v>
      </c>
      <c r="C61" s="522" t="e" cm="1">
        <f t="array" aca="1" ref="C61" ca="1">RANK_AVG(J41,J$25:J$42,1)</f>
        <v>#NAME?</v>
      </c>
      <c r="E61" t="e">
        <f ca="1"/>
        <v>#NAME?</v>
      </c>
      <c r="F61" s="535" t="e">
        <f t="array" aca="1" ref="F61" ca="1">_xlfn.VAR.S(IF(($A$45:$A$62=$E61)*($B$45:$B$62=F$59),$C$45:$C$62))</f>
        <v>#NAME?</v>
      </c>
      <c r="G61" s="536" t="e">
        <f t="array" aca="1" ref="G61" ca="1">_xlfn.VAR.S(IF(($A$45:$A$62=$E61)*($B$45:$B$62=G$59),$C$45:$C$62))</f>
        <v>#NAME?</v>
      </c>
      <c r="H61" s="537" t="e">
        <f t="array" aca="1" ref="H61" ca="1">_xlfn.VAR.S(IF(($A$45:$A$62=$E61)*($B$45:$B$62=H$59),$C$45:$C$62))</f>
        <v>#NAME?</v>
      </c>
      <c r="I61" t="e">
        <f t="array" aca="1" ref="I61" ca="1">_xlfn.VAR.S(IF($A$45:$A$62=$E61,$C$45:$C$62))</f>
        <v>#NAME?</v>
      </c>
    </row>
    <row r="62" spans="1:22" x14ac:dyDescent="0.25">
      <c r="A62" s="526">
        <v>2</v>
      </c>
      <c r="B62" s="526">
        <v>3</v>
      </c>
      <c r="C62" s="526" t="e" cm="1">
        <f t="array" aca="1" ref="C62" ca="1">RANK_AVG(J42,J$25:J$42,1)</f>
        <v>#NAME?</v>
      </c>
      <c r="F62" t="e">
        <f t="array" aca="1" ref="F62" ca="1">_xlfn.VAR.S(IF($B$45:$B$62=F$59,$C$45:$C$62))</f>
        <v>#NAME?</v>
      </c>
      <c r="G62" t="e">
        <f t="array" aca="1" ref="G62" ca="1">_xlfn.VAR.S(IF($B$45:$B$62=G$59,$C$45:$C$62))</f>
        <v>#NAME?</v>
      </c>
      <c r="H62" t="e">
        <f t="array" aca="1" ref="H62" ca="1">_xlfn.VAR.S(IF($B$45:$B$62=H$59,$C$45:$C$62))</f>
        <v>#NAME?</v>
      </c>
      <c r="I62" t="e">
        <f ca="1">_xlfn.VAR.S(C45:C62)</f>
        <v>#NAME?</v>
      </c>
    </row>
    <row r="64" spans="1:22" x14ac:dyDescent="0.25">
      <c r="A64" s="520" t="s">
        <v>862</v>
      </c>
      <c r="B64" s="520" t="s">
        <v>863</v>
      </c>
      <c r="C64" s="520" t="s">
        <v>871</v>
      </c>
      <c r="E64" t="s">
        <v>24</v>
      </c>
      <c r="K64" t="s">
        <v>493</v>
      </c>
      <c r="S64" t="s">
        <v>495</v>
      </c>
    </row>
    <row r="65" spans="1:25" x14ac:dyDescent="0.25">
      <c r="A65" s="522">
        <f>1</f>
        <v>1</v>
      </c>
      <c r="B65" s="522">
        <v>1</v>
      </c>
      <c r="C65" t="e" cm="1">
        <f t="array" aca="1" ref="C65" ca="1">RANK_AVG(K25,K$25:K$42,1)</f>
        <v>#NAME?</v>
      </c>
    </row>
    <row r="66" spans="1:25" ht="15.75" thickBot="1" x14ac:dyDescent="0.3">
      <c r="A66" s="522">
        <v>1</v>
      </c>
      <c r="B66" s="522">
        <v>1</v>
      </c>
      <c r="C66" t="e" cm="1">
        <f t="array" aca="1" ref="C66" ca="1">RANK_AVG(K26,K$25:K$42,1)</f>
        <v>#NAME?</v>
      </c>
      <c r="E66" t="s">
        <v>489</v>
      </c>
      <c r="F66" t="str">
        <f ca="1">IF(COUNTIF(F68:H69,F68)=COUNT(F68:H69),"balanced","unbalanced")</f>
        <v>balanced</v>
      </c>
      <c r="K66" t="s">
        <v>101</v>
      </c>
      <c r="O66" s="522" t="s">
        <v>31</v>
      </c>
      <c r="P66" s="522">
        <v>0.05</v>
      </c>
      <c r="S66" s="344" t="e">
        <f t="array" aca="1" ref="S66:V72" ca="1">StdAnova2(A65:C82)</f>
        <v>#NAME?</v>
      </c>
      <c r="T66" s="344" t="e">
        <f ca="1"/>
        <v>#NAME?</v>
      </c>
      <c r="U66" s="344" t="e">
        <f ca="1"/>
        <v>#NAME?</v>
      </c>
      <c r="V66" s="344" t="e">
        <f ca="1"/>
        <v>#NAME?</v>
      </c>
    </row>
    <row r="67" spans="1:25" ht="15.75" thickTop="1" x14ac:dyDescent="0.25">
      <c r="A67" s="522">
        <v>1</v>
      </c>
      <c r="B67" s="522">
        <v>1</v>
      </c>
      <c r="C67" t="e" cm="1">
        <f t="array" aca="1" ref="C67" ca="1">RANK_AVG(K27,K$25:K$42,1)</f>
        <v>#NAME?</v>
      </c>
      <c r="F67" t="e">
        <f t="array" aca="1" ref="F67:H67" ca="1">TRANSPOSE(SortUnique(B65:B82))</f>
        <v>#NAME?</v>
      </c>
      <c r="G67" t="e">
        <f ca="1"/>
        <v>#NAME?</v>
      </c>
      <c r="H67" t="e">
        <f ca="1"/>
        <v>#NAME?</v>
      </c>
      <c r="K67" s="251"/>
      <c r="L67" s="251" t="s">
        <v>88</v>
      </c>
      <c r="M67" s="251" t="s">
        <v>51</v>
      </c>
      <c r="N67" s="251" t="s">
        <v>92</v>
      </c>
      <c r="O67" s="251" t="s">
        <v>82</v>
      </c>
      <c r="P67" s="251" t="s">
        <v>56</v>
      </c>
      <c r="Q67" s="251" t="s">
        <v>865</v>
      </c>
      <c r="S67" s="344" t="e">
        <f ca="1"/>
        <v>#NAME?</v>
      </c>
      <c r="T67" s="344" t="e">
        <f ca="1"/>
        <v>#NAME?</v>
      </c>
      <c r="U67" s="344" t="e">
        <f ca="1"/>
        <v>#NAME?</v>
      </c>
      <c r="V67" s="344" t="e">
        <f ca="1"/>
        <v>#NAME?</v>
      </c>
    </row>
    <row r="68" spans="1:25" x14ac:dyDescent="0.25">
      <c r="A68" s="522">
        <v>1</v>
      </c>
      <c r="B68" s="522">
        <v>2</v>
      </c>
      <c r="C68" t="e" cm="1">
        <f t="array" aca="1" ref="C68" ca="1">RANK_AVG(K28,K$25:K$42,1)</f>
        <v>#NAME?</v>
      </c>
      <c r="E68" t="e">
        <f t="array" aca="1" ref="E68:E69" ca="1">SortUnique(A65:A82)</f>
        <v>#NAME?</v>
      </c>
      <c r="F68" s="380">
        <f t="array" ref="F68" ca="1">COUNTIFS($A$65:$A$82,$E68,$B$65:$B$82,F$67)</f>
        <v>0</v>
      </c>
      <c r="G68" s="381">
        <f t="array" ref="G68" ca="1">COUNTIFS($A$65:$A$82,$E68,$B$65:$B$82,G$67)</f>
        <v>0</v>
      </c>
      <c r="H68" s="382">
        <f t="array" ref="H68" ca="1">COUNTIFS($A$65:$A$82,$E68,$B$65:$B$82,H$67)</f>
        <v>0</v>
      </c>
      <c r="I68">
        <f t="array" ref="I68" ca="1">SUM(F68:H68)</f>
        <v>0</v>
      </c>
      <c r="K68" t="s">
        <v>83</v>
      </c>
      <c r="L68" t="e">
        <f ca="1">DEVSQ(I74:I75)*I68</f>
        <v>#DIV/0!</v>
      </c>
      <c r="M68">
        <f ca="1">COUNT(I74:I75)-1</f>
        <v>-1</v>
      </c>
      <c r="N68" t="e">
        <f ca="1">L68/M68</f>
        <v>#DIV/0!</v>
      </c>
      <c r="O68" t="e">
        <f ca="1">N68/N71</f>
        <v>#DIV/0!</v>
      </c>
      <c r="P68" t="e">
        <f ca="1">_xlfn.F.DIST.RT(O68,M68,M71)</f>
        <v>#DIV/0!</v>
      </c>
      <c r="Q68" s="12" t="e">
        <f ca="1">L68/(L68+L$71)</f>
        <v>#DIV/0!</v>
      </c>
      <c r="S68" s="206" t="e">
        <f ca="1"/>
        <v>#NAME?</v>
      </c>
      <c r="T68" s="206" t="e">
        <f ca="1"/>
        <v>#NAME?</v>
      </c>
      <c r="U68" s="206" t="e">
        <f ca="1"/>
        <v>#NAME?</v>
      </c>
      <c r="V68" s="206" t="e">
        <f ca="1"/>
        <v>#NAME?</v>
      </c>
    </row>
    <row r="69" spans="1:25" x14ac:dyDescent="0.25">
      <c r="A69" s="522">
        <v>1</v>
      </c>
      <c r="B69" s="522">
        <v>2</v>
      </c>
      <c r="C69" t="e" cm="1">
        <f t="array" aca="1" ref="C69" ca="1">RANK_AVG(K29,K$25:K$42,1)</f>
        <v>#NAME?</v>
      </c>
      <c r="E69" t="e">
        <f ca="1"/>
        <v>#NAME?</v>
      </c>
      <c r="F69" s="460">
        <f t="array" ref="F69" ca="1">COUNTIFS($A$65:$A$82,$E69,$B$65:$B$82,F$67)</f>
        <v>0</v>
      </c>
      <c r="G69" s="461">
        <f t="array" ref="G69" ca="1">COUNTIFS($A$65:$A$82,$E69,$B$65:$B$82,G$67)</f>
        <v>0</v>
      </c>
      <c r="H69" s="462">
        <f t="array" ref="H69" ca="1">COUNTIFS($A$65:$A$82,$E69,$B$65:$B$82,H$67)</f>
        <v>0</v>
      </c>
      <c r="I69">
        <f t="array" ref="I69" ca="1">SUM(F69:H69)</f>
        <v>0</v>
      </c>
      <c r="K69" s="529" t="s">
        <v>238</v>
      </c>
      <c r="L69" s="529" t="e">
        <f ca="1">DEVSQ(F76:H76)*F70</f>
        <v>#DIV/0!</v>
      </c>
      <c r="M69" s="529">
        <f ca="1">COUNT(F76:H76)-1</f>
        <v>-1</v>
      </c>
      <c r="N69" s="529" t="e">
        <f ca="1">L69/M69</f>
        <v>#DIV/0!</v>
      </c>
      <c r="O69" s="529" t="e">
        <f ca="1">N69/N71</f>
        <v>#DIV/0!</v>
      </c>
      <c r="P69" s="529" t="e">
        <f ca="1">_xlfn.F.DIST.RT(O69,M69,M71)</f>
        <v>#DIV/0!</v>
      </c>
      <c r="Q69" s="538" t="e">
        <f ca="1">L69/(L69+L$71)</f>
        <v>#DIV/0!</v>
      </c>
      <c r="S69" s="467" t="e">
        <f ca="1"/>
        <v>#NAME?</v>
      </c>
      <c r="T69" s="467" t="e">
        <f ca="1"/>
        <v>#NAME?</v>
      </c>
      <c r="U69" s="467" t="e">
        <f ca="1"/>
        <v>#NAME?</v>
      </c>
      <c r="V69" s="467" t="e">
        <f ca="1"/>
        <v>#NAME?</v>
      </c>
    </row>
    <row r="70" spans="1:25" x14ac:dyDescent="0.25">
      <c r="A70" s="522">
        <v>1</v>
      </c>
      <c r="B70" s="522">
        <v>2</v>
      </c>
      <c r="C70" t="e" cm="1">
        <f t="array" aca="1" ref="C70" ca="1">RANK_AVG(K30,K$25:K$42,1)</f>
        <v>#NAME?</v>
      </c>
      <c r="F70">
        <f t="array" ref="F70" ca="1">SUM(F68:F69)</f>
        <v>0</v>
      </c>
      <c r="G70">
        <f t="array" ref="G70" ca="1">SUM(G68:G69)</f>
        <v>0</v>
      </c>
      <c r="H70">
        <f t="array" ref="H70" ca="1">SUM(H68:H69)</f>
        <v>0</v>
      </c>
      <c r="I70">
        <f t="array" ref="I70" ca="1">SUM(I68:I69)</f>
        <v>0</v>
      </c>
      <c r="K70" t="s">
        <v>410</v>
      </c>
      <c r="L70" t="e">
        <f ca="1">L72-L68-L69-L71</f>
        <v>#NAME?</v>
      </c>
      <c r="M70">
        <f ca="1">M69*M68</f>
        <v>1</v>
      </c>
      <c r="N70" t="e">
        <f ca="1">L70/M70</f>
        <v>#NAME?</v>
      </c>
      <c r="O70" t="e">
        <f ca="1">N70/N71</f>
        <v>#NAME?</v>
      </c>
      <c r="P70" t="e">
        <f ca="1">_xlfn.F.DIST.RT(O70,M70,M71)</f>
        <v>#NAME?</v>
      </c>
      <c r="Q70" s="12" t="e">
        <f ca="1">L70/(L70+L$71)</f>
        <v>#NAME?</v>
      </c>
      <c r="S70" s="344" t="e">
        <f ca="1"/>
        <v>#NAME?</v>
      </c>
      <c r="T70" s="344" t="e">
        <f ca="1"/>
        <v>#NAME?</v>
      </c>
      <c r="U70" s="344" t="e">
        <f ca="1"/>
        <v>#NAME?</v>
      </c>
      <c r="V70" s="344" t="e">
        <f ca="1"/>
        <v>#NAME?</v>
      </c>
    </row>
    <row r="71" spans="1:25" x14ac:dyDescent="0.25">
      <c r="A71" s="522">
        <v>1</v>
      </c>
      <c r="B71" s="522">
        <v>3</v>
      </c>
      <c r="C71" t="e" cm="1">
        <f t="array" aca="1" ref="C71" ca="1">RANK_AVG(K31,K$25:K$42,1)</f>
        <v>#NAME?</v>
      </c>
      <c r="K71" t="s">
        <v>249</v>
      </c>
      <c r="L71" t="e">
        <f ca="1">SUM(F80:H81)*(F68-1)</f>
        <v>#NAME?</v>
      </c>
      <c r="M71">
        <f ca="1">M72-M68-M69-M70</f>
        <v>0</v>
      </c>
      <c r="N71" t="e">
        <f ca="1">L71/M71</f>
        <v>#NAME?</v>
      </c>
      <c r="S71" s="206" t="e">
        <f ca="1"/>
        <v>#NAME?</v>
      </c>
      <c r="T71" s="206" t="e">
        <f ca="1"/>
        <v>#NAME?</v>
      </c>
      <c r="U71" s="206" t="e">
        <f ca="1"/>
        <v>#NAME?</v>
      </c>
      <c r="V71" s="206" t="e">
        <f ca="1"/>
        <v>#NAME?</v>
      </c>
    </row>
    <row r="72" spans="1:25" x14ac:dyDescent="0.25">
      <c r="A72" s="522">
        <v>1</v>
      </c>
      <c r="B72" s="522">
        <v>3</v>
      </c>
      <c r="C72" t="e" cm="1">
        <f t="array" aca="1" ref="C72" ca="1">RANK_AVG(K32,K$25:K$42,1)</f>
        <v>#NAME?</v>
      </c>
      <c r="E72" t="s">
        <v>259</v>
      </c>
      <c r="K72" s="516" t="s">
        <v>1</v>
      </c>
      <c r="L72" s="516" t="e">
        <f ca="1">N72*M72</f>
        <v>#NAME?</v>
      </c>
      <c r="M72" s="516">
        <f ca="1">I70-1</f>
        <v>-1</v>
      </c>
      <c r="N72" s="516" t="e">
        <f ca="1">I82</f>
        <v>#NAME?</v>
      </c>
      <c r="O72" s="516"/>
      <c r="P72" s="516"/>
      <c r="Q72" s="516"/>
      <c r="S72" s="467" t="e">
        <f ca="1"/>
        <v>#NAME?</v>
      </c>
      <c r="T72" s="467" t="e">
        <f ca="1"/>
        <v>#NAME?</v>
      </c>
      <c r="U72" s="467" t="e">
        <f ca="1"/>
        <v>#NAME?</v>
      </c>
      <c r="V72" s="467" t="e">
        <f ca="1"/>
        <v>#NAME?</v>
      </c>
    </row>
    <row r="73" spans="1:25" x14ac:dyDescent="0.25">
      <c r="A73" s="522">
        <v>1</v>
      </c>
      <c r="B73" s="522">
        <v>3</v>
      </c>
      <c r="C73" t="e" cm="1">
        <f t="array" aca="1" ref="C73" ca="1">RANK_AVG(K33,K$25:K$42,1)</f>
        <v>#NAME?</v>
      </c>
      <c r="F73" t="e">
        <f t="array" aca="1" ref="F73:H73" ca="1">TRANSPOSE(SortUnique(B65:B82))</f>
        <v>#NAME?</v>
      </c>
      <c r="G73" t="e">
        <f ca="1"/>
        <v>#NAME?</v>
      </c>
      <c r="H73" t="e">
        <f ca="1"/>
        <v>#NAME?</v>
      </c>
    </row>
    <row r="74" spans="1:25" x14ac:dyDescent="0.25">
      <c r="A74" s="522">
        <v>2</v>
      </c>
      <c r="B74" s="522">
        <v>1</v>
      </c>
      <c r="C74" t="e" cm="1">
        <f t="array" aca="1" ref="C74" ca="1">RANK_AVG(K34,K$25:K$42,1)</f>
        <v>#NAME?</v>
      </c>
      <c r="E74" t="e">
        <f t="array" aca="1" ref="E74:E75" ca="1">SortUnique(A65:A82)</f>
        <v>#NAME?</v>
      </c>
      <c r="F74" s="380" t="e">
        <f t="array" ref="F74" ca="1">AVERAGEIFS($C$65:$C$82,$A$65:$A$82,$E74,$B$65:$B$82,F$73)</f>
        <v>#DIV/0!</v>
      </c>
      <c r="G74" s="381" t="e">
        <f t="array" ref="G74" ca="1">AVERAGEIFS($C$65:$C$82,$A$65:$A$82,$E74,$B$65:$B$82,G$73)</f>
        <v>#DIV/0!</v>
      </c>
      <c r="H74" s="382" t="e">
        <f t="array" ref="H74" ca="1">AVERAGEIFS($C$65:$C$82,$A$65:$A$82,$E74,$B$65:$B$82,H$73)</f>
        <v>#DIV/0!</v>
      </c>
      <c r="I74" t="e">
        <f t="array" ref="I74" ca="1">AVERAGE(F74:H74)</f>
        <v>#DIV/0!</v>
      </c>
      <c r="Y74" t="e" cm="1">
        <f t="array" aca="1" ref="Y74" ca="1">MERGE(A25:B42,RANKS(K25:K42,1))</f>
        <v>#NAME?</v>
      </c>
    </row>
    <row r="75" spans="1:25" x14ac:dyDescent="0.25">
      <c r="A75" s="522">
        <v>2</v>
      </c>
      <c r="B75" s="522">
        <v>1</v>
      </c>
      <c r="C75" t="e" cm="1">
        <f t="array" aca="1" ref="C75" ca="1">RANK_AVG(K35,K$25:K$42,1)</f>
        <v>#NAME?</v>
      </c>
      <c r="E75" t="e">
        <f ca="1"/>
        <v>#NAME?</v>
      </c>
      <c r="F75" s="460" t="e">
        <f t="array" ref="F75" ca="1">AVERAGEIFS($C$65:$C$82,$A$65:$A$82,$E75,$B$65:$B$82,F$73)</f>
        <v>#DIV/0!</v>
      </c>
      <c r="G75" s="461" t="e">
        <f t="array" ref="G75" ca="1">AVERAGEIFS($C$65:$C$82,$A$65:$A$82,$E75,$B$65:$B$82,G$73)</f>
        <v>#DIV/0!</v>
      </c>
      <c r="H75" s="462" t="e">
        <f t="array" ref="H75" ca="1">AVERAGEIFS($C$65:$C$82,$A$65:$A$82,$E75,$B$65:$B$82,H$73)</f>
        <v>#DIV/0!</v>
      </c>
      <c r="I75" t="e">
        <f t="array" ref="I75" ca="1">AVERAGE(F75:H75)</f>
        <v>#DIV/0!</v>
      </c>
      <c r="L75" t="e" cm="1">
        <f t="array" aca="1" ref="L75" ca="1">SSColStd(A65:C82)</f>
        <v>#NAME?</v>
      </c>
    </row>
    <row r="76" spans="1:25" x14ac:dyDescent="0.25">
      <c r="A76" s="522">
        <v>2</v>
      </c>
      <c r="B76" s="522">
        <v>1</v>
      </c>
      <c r="C76" t="e" cm="1">
        <f t="array" aca="1" ref="C76" ca="1">RANK_AVG(K36,K$25:K$42,1)</f>
        <v>#NAME?</v>
      </c>
      <c r="F76" t="e">
        <f t="array" ref="F76" ca="1">AVERAGE(F74:F75)</f>
        <v>#DIV/0!</v>
      </c>
      <c r="G76" t="e">
        <f t="array" ref="G76" ca="1">AVERAGE(G74:G75)</f>
        <v>#DIV/0!</v>
      </c>
      <c r="H76" t="e">
        <f t="array" ref="H76" ca="1">AVERAGE(H74:H75)</f>
        <v>#DIV/0!</v>
      </c>
      <c r="I76" t="e">
        <f t="array" ref="I76" ca="1">AVERAGE(I74:I75)</f>
        <v>#DIV/0!</v>
      </c>
    </row>
    <row r="77" spans="1:25" x14ac:dyDescent="0.25">
      <c r="A77" s="522">
        <v>2</v>
      </c>
      <c r="B77" s="522">
        <v>2</v>
      </c>
      <c r="C77" t="e" cm="1">
        <f t="array" aca="1" ref="C77" ca="1">RANK_AVG(K37,K$25:K$42,1)</f>
        <v>#NAME?</v>
      </c>
    </row>
    <row r="78" spans="1:25" x14ac:dyDescent="0.25">
      <c r="A78" s="522">
        <v>2</v>
      </c>
      <c r="B78" s="522">
        <v>2</v>
      </c>
      <c r="C78" t="e" cm="1">
        <f t="array" aca="1" ref="C78" ca="1">RANK_AVG(K38,K$25:K$42,1)</f>
        <v>#NAME?</v>
      </c>
      <c r="E78" t="s">
        <v>490</v>
      </c>
    </row>
    <row r="79" spans="1:25" x14ac:dyDescent="0.25">
      <c r="A79" s="522">
        <v>2</v>
      </c>
      <c r="B79" s="522">
        <v>2</v>
      </c>
      <c r="C79" t="e" cm="1">
        <f t="array" aca="1" ref="C79" ca="1">RANK_AVG(K39,K$25:K$42,1)</f>
        <v>#NAME?</v>
      </c>
      <c r="F79" t="e">
        <f t="array" aca="1" ref="F79:H79" ca="1">TRANSPOSE(SortUnique(B65:B82))</f>
        <v>#NAME?</v>
      </c>
      <c r="G79" t="e">
        <f ca="1"/>
        <v>#NAME?</v>
      </c>
      <c r="H79" t="e">
        <f ca="1"/>
        <v>#NAME?</v>
      </c>
    </row>
    <row r="80" spans="1:25" x14ac:dyDescent="0.25">
      <c r="A80" s="522">
        <v>2</v>
      </c>
      <c r="B80" s="522">
        <v>3</v>
      </c>
      <c r="C80" t="e" cm="1">
        <f t="array" aca="1" ref="C80" ca="1">RANK_AVG(K40,K$25:K$42,1)</f>
        <v>#NAME?</v>
      </c>
      <c r="E80" t="e">
        <f t="array" aca="1" ref="E80:E81" ca="1">SortUnique(A65:A82)</f>
        <v>#NAME?</v>
      </c>
      <c r="F80" s="380" t="e">
        <f t="array" aca="1" ref="F80" ca="1">_xlfn.VAR.S(IF(($A$65:$A$82=$E80)*($B$65:$B$82=F$79),$C$65:$C$82))</f>
        <v>#NAME?</v>
      </c>
      <c r="G80" s="381" t="e">
        <f t="array" aca="1" ref="G80" ca="1">_xlfn.VAR.S(IF(($A$65:$A$82=$E80)*($B$65:$B$82=G$79),$C$65:$C$82))</f>
        <v>#NAME?</v>
      </c>
      <c r="H80" s="382" t="e">
        <f t="array" aca="1" ref="H80" ca="1">_xlfn.VAR.S(IF(($A$65:$A$82=$E80)*($B$65:$B$82=H$79),$C$65:$C$82))</f>
        <v>#NAME?</v>
      </c>
      <c r="I80" t="e">
        <f t="array" aca="1" ref="I80" ca="1">_xlfn.VAR.S(IF($A$65:$A$82=$E80,$C$65:$C$82))</f>
        <v>#NAME?</v>
      </c>
    </row>
    <row r="81" spans="1:22" x14ac:dyDescent="0.25">
      <c r="A81" s="522">
        <v>2</v>
      </c>
      <c r="B81" s="522">
        <v>3</v>
      </c>
      <c r="C81" t="e" cm="1">
        <f t="array" aca="1" ref="C81" ca="1">RANK_AVG(K41,K$25:K$42,1)</f>
        <v>#NAME?</v>
      </c>
      <c r="E81" t="e">
        <f ca="1"/>
        <v>#NAME?</v>
      </c>
      <c r="F81" s="460" t="e">
        <f t="array" aca="1" ref="F81" ca="1">_xlfn.VAR.S(IF(($A$65:$A$82=$E81)*($B$65:$B$82=F$79),$C$65:$C$82))</f>
        <v>#NAME?</v>
      </c>
      <c r="G81" s="461" t="e">
        <f t="array" aca="1" ref="G81" ca="1">_xlfn.VAR.S(IF(($A$65:$A$82=$E81)*($B$65:$B$82=G$79),$C$65:$C$82))</f>
        <v>#NAME?</v>
      </c>
      <c r="H81" s="462" t="e">
        <f t="array" aca="1" ref="H81" ca="1">_xlfn.VAR.S(IF(($A$65:$A$82=$E81)*($B$65:$B$82=H$79),$C$65:$C$82))</f>
        <v>#NAME?</v>
      </c>
      <c r="I81" t="e">
        <f t="array" aca="1" ref="I81" ca="1">_xlfn.VAR.S(IF($A$65:$A$82=$E81,$C$65:$C$82))</f>
        <v>#NAME?</v>
      </c>
    </row>
    <row r="82" spans="1:22" x14ac:dyDescent="0.25">
      <c r="A82" s="526">
        <v>2</v>
      </c>
      <c r="B82" s="526">
        <v>3</v>
      </c>
      <c r="C82" s="516" t="e" cm="1">
        <f t="array" aca="1" ref="C82" ca="1">RANK_AVG(K42,K$25:K$42,1)</f>
        <v>#NAME?</v>
      </c>
      <c r="F82" t="e">
        <f t="array" aca="1" ref="F82" ca="1">_xlfn.VAR.S(IF($B$65:$B$82=F$79,$C$65:$C$82))</f>
        <v>#NAME?</v>
      </c>
      <c r="G82" t="e">
        <f t="array" aca="1" ref="G82" ca="1">_xlfn.VAR.S(IF($B$65:$B$82=G$79,$C$65:$C$82))</f>
        <v>#NAME?</v>
      </c>
      <c r="H82" t="e">
        <f t="array" aca="1" ref="H82" ca="1">_xlfn.VAR.S(IF($B$65:$B$82=H$79,$C$65:$C$82))</f>
        <v>#NAME?</v>
      </c>
      <c r="I82" t="e">
        <f ca="1">_xlfn.VAR.S(C65:C82)</f>
        <v>#NAME?</v>
      </c>
    </row>
    <row r="84" spans="1:22" x14ac:dyDescent="0.25">
      <c r="A84" s="520" t="s">
        <v>862</v>
      </c>
      <c r="B84" s="520" t="s">
        <v>863</v>
      </c>
      <c r="C84" s="520" t="s">
        <v>872</v>
      </c>
      <c r="E84" t="s">
        <v>24</v>
      </c>
      <c r="K84" t="s">
        <v>493</v>
      </c>
      <c r="S84" t="s">
        <v>495</v>
      </c>
    </row>
    <row r="85" spans="1:22" x14ac:dyDescent="0.25">
      <c r="A85" s="522">
        <f>1</f>
        <v>1</v>
      </c>
      <c r="B85" s="522">
        <v>1</v>
      </c>
      <c r="C85" s="522" t="e" cm="1">
        <f t="array" aca="1" ref="C85" ca="1">RANK_AVG(L25,L$25:L$42,1)</f>
        <v>#NAME?</v>
      </c>
    </row>
    <row r="86" spans="1:22" ht="15.75" thickBot="1" x14ac:dyDescent="0.3">
      <c r="A86" s="522">
        <v>1</v>
      </c>
      <c r="B86" s="522">
        <v>1</v>
      </c>
      <c r="C86" s="522" t="e" cm="1">
        <f t="array" aca="1" ref="C86" ca="1">RANK_AVG(L26,L$25:L$42,1)</f>
        <v>#NAME?</v>
      </c>
      <c r="E86" t="s">
        <v>489</v>
      </c>
      <c r="F86" t="str">
        <f ca="1">IF(COUNTIF(F88:H89,F88)=COUNT(F88:H89),"balanced","unbalanced")</f>
        <v>balanced</v>
      </c>
      <c r="K86" t="s">
        <v>101</v>
      </c>
      <c r="O86" s="522" t="s">
        <v>31</v>
      </c>
      <c r="P86" s="522">
        <v>0.05</v>
      </c>
      <c r="S86" s="344" t="e">
        <f t="array" aca="1" ref="S86:V92" ca="1">StdAnova2(A85:C102)</f>
        <v>#NAME?</v>
      </c>
      <c r="T86" s="344" t="e">
        <f ca="1"/>
        <v>#NAME?</v>
      </c>
      <c r="U86" s="344" t="e">
        <f ca="1"/>
        <v>#NAME?</v>
      </c>
      <c r="V86" s="344" t="e">
        <f ca="1"/>
        <v>#NAME?</v>
      </c>
    </row>
    <row r="87" spans="1:22" ht="15.75" thickTop="1" x14ac:dyDescent="0.25">
      <c r="A87" s="522">
        <v>1</v>
      </c>
      <c r="B87" s="522">
        <v>1</v>
      </c>
      <c r="C87" s="522" t="e" cm="1">
        <f t="array" aca="1" ref="C87" ca="1">RANK_AVG(L27,L$25:L$42,1)</f>
        <v>#NAME?</v>
      </c>
      <c r="F87" t="e">
        <f t="array" aca="1" ref="F87:H87" ca="1">TRANSPOSE(SortUnique(B85:B102))</f>
        <v>#NAME?</v>
      </c>
      <c r="G87" t="e">
        <f ca="1"/>
        <v>#NAME?</v>
      </c>
      <c r="H87" t="e">
        <f ca="1"/>
        <v>#NAME?</v>
      </c>
      <c r="K87" s="251"/>
      <c r="L87" s="251" t="s">
        <v>88</v>
      </c>
      <c r="M87" s="251" t="s">
        <v>51</v>
      </c>
      <c r="N87" s="251" t="s">
        <v>92</v>
      </c>
      <c r="O87" s="251" t="s">
        <v>82</v>
      </c>
      <c r="P87" s="251" t="s">
        <v>56</v>
      </c>
      <c r="Q87" s="251" t="s">
        <v>865</v>
      </c>
      <c r="S87" s="344" t="e">
        <f ca="1"/>
        <v>#NAME?</v>
      </c>
      <c r="T87" s="344" t="e">
        <f ca="1"/>
        <v>#NAME?</v>
      </c>
      <c r="U87" s="344" t="e">
        <f ca="1"/>
        <v>#NAME?</v>
      </c>
      <c r="V87" s="344" t="e">
        <f ca="1"/>
        <v>#NAME?</v>
      </c>
    </row>
    <row r="88" spans="1:22" x14ac:dyDescent="0.25">
      <c r="A88" s="522">
        <v>1</v>
      </c>
      <c r="B88" s="522">
        <v>2</v>
      </c>
      <c r="C88" s="522" t="e" cm="1">
        <f t="array" aca="1" ref="C88" ca="1">RANK_AVG(L28,L$25:L$42,1)</f>
        <v>#NAME?</v>
      </c>
      <c r="E88" t="e">
        <f t="array" aca="1" ref="E88:E89" ca="1">SortUnique(A85:A102)</f>
        <v>#NAME?</v>
      </c>
      <c r="F88" s="380">
        <f t="array" ref="F88" ca="1">COUNTIFS($A$85:$A$102,$E88,$B$85:$B$102,F$87)</f>
        <v>0</v>
      </c>
      <c r="G88" s="381">
        <f t="array" ref="G88" ca="1">COUNTIFS($A$85:$A$102,$E88,$B$85:$B$102,G$87)</f>
        <v>0</v>
      </c>
      <c r="H88" s="382">
        <f t="array" ref="H88" ca="1">COUNTIFS($A$85:$A$102,$E88,$B$85:$B$102,H$87)</f>
        <v>0</v>
      </c>
      <c r="I88">
        <f t="array" ref="I88" ca="1">SUM(F88:H88)</f>
        <v>0</v>
      </c>
      <c r="K88" t="s">
        <v>83</v>
      </c>
      <c r="L88" t="e">
        <f ca="1">DEVSQ(I94:I95)*I88</f>
        <v>#DIV/0!</v>
      </c>
      <c r="M88">
        <f ca="1">COUNT(I94:I95)-1</f>
        <v>-1</v>
      </c>
      <c r="N88" t="e">
        <f ca="1">L88/M88</f>
        <v>#DIV/0!</v>
      </c>
      <c r="O88" t="e">
        <f ca="1">N88/N91</f>
        <v>#DIV/0!</v>
      </c>
      <c r="P88" t="e">
        <f ca="1">_xlfn.F.DIST.RT(O88,M88,M91)</f>
        <v>#DIV/0!</v>
      </c>
      <c r="Q88" s="12" t="e">
        <f ca="1">L88/(L88+L$91)</f>
        <v>#DIV/0!</v>
      </c>
      <c r="S88" s="206" t="e">
        <f ca="1"/>
        <v>#NAME?</v>
      </c>
      <c r="T88" s="206" t="e">
        <f ca="1"/>
        <v>#NAME?</v>
      </c>
      <c r="U88" s="206" t="e">
        <f ca="1"/>
        <v>#NAME?</v>
      </c>
      <c r="V88" s="206" t="e">
        <f ca="1"/>
        <v>#NAME?</v>
      </c>
    </row>
    <row r="89" spans="1:22" x14ac:dyDescent="0.25">
      <c r="A89" s="522">
        <v>1</v>
      </c>
      <c r="B89" s="522">
        <v>2</v>
      </c>
      <c r="C89" s="522" t="e" cm="1">
        <f t="array" aca="1" ref="C89" ca="1">RANK_AVG(L29,L$25:L$42,1)</f>
        <v>#NAME?</v>
      </c>
      <c r="E89" t="e">
        <f ca="1"/>
        <v>#NAME?</v>
      </c>
      <c r="F89" s="460">
        <f t="array" ref="F89" ca="1">COUNTIFS($A$85:$A$102,$E89,$B$85:$B$102,F$87)</f>
        <v>0</v>
      </c>
      <c r="G89" s="461">
        <f t="array" ref="G89" ca="1">COUNTIFS($A$85:$A$102,$E89,$B$85:$B$102,G$87)</f>
        <v>0</v>
      </c>
      <c r="H89" s="462">
        <f t="array" ref="H89" ca="1">COUNTIFS($A$85:$A$102,$E89,$B$85:$B$102,H$87)</f>
        <v>0</v>
      </c>
      <c r="I89">
        <f t="array" ref="I89" ca="1">SUM(F89:H89)</f>
        <v>0</v>
      </c>
      <c r="K89" t="s">
        <v>238</v>
      </c>
      <c r="L89" t="e">
        <f ca="1">DEVSQ(F96:H96)*F90</f>
        <v>#DIV/0!</v>
      </c>
      <c r="M89">
        <f ca="1">COUNT(F96:H96)-1</f>
        <v>-1</v>
      </c>
      <c r="N89" t="e">
        <f ca="1">L89/M89</f>
        <v>#DIV/0!</v>
      </c>
      <c r="O89" t="e">
        <f ca="1">N89/N91</f>
        <v>#DIV/0!</v>
      </c>
      <c r="P89" t="e">
        <f ca="1">_xlfn.F.DIST.RT(O89,M89,M91)</f>
        <v>#DIV/0!</v>
      </c>
      <c r="Q89" s="12" t="e">
        <f ca="1">L89/(L89+L$91)</f>
        <v>#DIV/0!</v>
      </c>
      <c r="S89" s="467" t="e">
        <f ca="1"/>
        <v>#NAME?</v>
      </c>
      <c r="T89" s="467" t="e">
        <f ca="1"/>
        <v>#NAME?</v>
      </c>
      <c r="U89" s="467" t="e">
        <f ca="1"/>
        <v>#NAME?</v>
      </c>
      <c r="V89" s="467" t="e">
        <f ca="1"/>
        <v>#NAME?</v>
      </c>
    </row>
    <row r="90" spans="1:22" x14ac:dyDescent="0.25">
      <c r="A90" s="522">
        <v>1</v>
      </c>
      <c r="B90" s="522">
        <v>2</v>
      </c>
      <c r="C90" s="522" t="e" cm="1">
        <f t="array" aca="1" ref="C90" ca="1">RANK_AVG(L30,L$25:L$42,1)</f>
        <v>#NAME?</v>
      </c>
      <c r="F90">
        <f t="array" ref="F90" ca="1">SUM(F88:F89)</f>
        <v>0</v>
      </c>
      <c r="G90">
        <f t="array" ref="G90" ca="1">SUM(G88:G89)</f>
        <v>0</v>
      </c>
      <c r="H90">
        <f t="array" ref="H90" ca="1">SUM(H88:H89)</f>
        <v>0</v>
      </c>
      <c r="I90">
        <f t="array" ref="I90" ca="1">SUM(I88:I89)</f>
        <v>0</v>
      </c>
      <c r="K90" s="529" t="s">
        <v>410</v>
      </c>
      <c r="L90" s="529" t="e">
        <f ca="1">L92-L88-L89-L91</f>
        <v>#NAME?</v>
      </c>
      <c r="M90" s="529">
        <f ca="1">M89*M88</f>
        <v>1</v>
      </c>
      <c r="N90" s="529" t="e">
        <f ca="1">L90/M90</f>
        <v>#NAME?</v>
      </c>
      <c r="O90" s="529" t="e">
        <f ca="1">N90/N91</f>
        <v>#NAME?</v>
      </c>
      <c r="P90" s="529" t="e">
        <f ca="1">_xlfn.F.DIST.RT(O90,M90,M91)</f>
        <v>#NAME?</v>
      </c>
      <c r="Q90" s="538" t="e">
        <f ca="1">L90/(L90+L$91)</f>
        <v>#NAME?</v>
      </c>
      <c r="S90" s="344" t="e">
        <f ca="1"/>
        <v>#NAME?</v>
      </c>
      <c r="T90" s="344" t="e">
        <f ca="1"/>
        <v>#NAME?</v>
      </c>
      <c r="U90" s="344" t="e">
        <f ca="1"/>
        <v>#NAME?</v>
      </c>
      <c r="V90" s="344" t="e">
        <f ca="1"/>
        <v>#NAME?</v>
      </c>
    </row>
    <row r="91" spans="1:22" x14ac:dyDescent="0.25">
      <c r="A91" s="522">
        <v>1</v>
      </c>
      <c r="B91" s="522">
        <v>3</v>
      </c>
      <c r="C91" s="522" t="e" cm="1">
        <f t="array" aca="1" ref="C91" ca="1">RANK_AVG(L31,L$25:L$42,1)</f>
        <v>#NAME?</v>
      </c>
      <c r="K91" t="s">
        <v>249</v>
      </c>
      <c r="L91" t="e">
        <f ca="1">SUM(F100:H101)*(F88-1)</f>
        <v>#NAME?</v>
      </c>
      <c r="M91">
        <f ca="1">M92-M88-M89-M90</f>
        <v>0</v>
      </c>
      <c r="N91" t="e">
        <f ca="1">L91/M91</f>
        <v>#NAME?</v>
      </c>
      <c r="S91" s="206" t="e">
        <f ca="1"/>
        <v>#NAME?</v>
      </c>
      <c r="T91" s="206" t="e">
        <f ca="1"/>
        <v>#NAME?</v>
      </c>
      <c r="U91" s="206" t="e">
        <f ca="1"/>
        <v>#NAME?</v>
      </c>
      <c r="V91" s="206" t="e">
        <f ca="1"/>
        <v>#NAME?</v>
      </c>
    </row>
    <row r="92" spans="1:22" x14ac:dyDescent="0.25">
      <c r="A92" s="522">
        <v>1</v>
      </c>
      <c r="B92" s="522">
        <v>3</v>
      </c>
      <c r="C92" s="522" t="e" cm="1">
        <f t="array" aca="1" ref="C92" ca="1">RANK_AVG(L32,L$25:L$42,1)</f>
        <v>#NAME?</v>
      </c>
      <c r="E92" t="s">
        <v>259</v>
      </c>
      <c r="K92" s="516" t="s">
        <v>1</v>
      </c>
      <c r="L92" s="516" t="e">
        <f ca="1">N92*M92</f>
        <v>#NAME?</v>
      </c>
      <c r="M92" s="516">
        <f ca="1">I90-1</f>
        <v>-1</v>
      </c>
      <c r="N92" s="516" t="e">
        <f ca="1">I102</f>
        <v>#NAME?</v>
      </c>
      <c r="O92" s="516"/>
      <c r="P92" s="516"/>
      <c r="Q92" s="516"/>
      <c r="S92" s="467" t="e">
        <f ca="1"/>
        <v>#NAME?</v>
      </c>
      <c r="T92" s="467" t="e">
        <f ca="1"/>
        <v>#NAME?</v>
      </c>
      <c r="U92" s="467" t="e">
        <f ca="1"/>
        <v>#NAME?</v>
      </c>
      <c r="V92" s="467" t="e">
        <f ca="1"/>
        <v>#NAME?</v>
      </c>
    </row>
    <row r="93" spans="1:22" x14ac:dyDescent="0.25">
      <c r="A93" s="522">
        <v>1</v>
      </c>
      <c r="B93" s="522">
        <v>3</v>
      </c>
      <c r="C93" s="522" t="e" cm="1">
        <f t="array" aca="1" ref="C93" ca="1">RANK_AVG(L33,L$25:L$42,1)</f>
        <v>#NAME?</v>
      </c>
      <c r="F93" t="e">
        <f t="array" aca="1" ref="F93:H93" ca="1">TRANSPOSE(SortUnique(B85:B102))</f>
        <v>#NAME?</v>
      </c>
      <c r="G93" t="e">
        <f ca="1"/>
        <v>#NAME?</v>
      </c>
      <c r="H93" t="e">
        <f ca="1"/>
        <v>#NAME?</v>
      </c>
    </row>
    <row r="94" spans="1:22" x14ac:dyDescent="0.25">
      <c r="A94" s="522">
        <v>2</v>
      </c>
      <c r="B94" s="522">
        <v>1</v>
      </c>
      <c r="C94" s="522" t="e" cm="1">
        <f t="array" aca="1" ref="C94" ca="1">RANK_AVG(L34,L$25:L$42,1)</f>
        <v>#NAME?</v>
      </c>
      <c r="E94" t="e">
        <f t="array" aca="1" ref="E94:E95" ca="1">SortUnique(A85:A102)</f>
        <v>#NAME?</v>
      </c>
      <c r="F94" s="380" t="e">
        <f t="array" ref="F94" ca="1">AVERAGEIFS($C$85:$C$102,$A$85:$A$102,$E94,$B$85:$B$102,F$93)</f>
        <v>#DIV/0!</v>
      </c>
      <c r="G94" s="381" t="e">
        <f t="array" ref="G94" ca="1">AVERAGEIFS($C$85:$C$102,$A$85:$A$102,$E94,$B$85:$B$102,G$93)</f>
        <v>#DIV/0!</v>
      </c>
      <c r="H94" s="382" t="e">
        <f t="array" ref="H94" ca="1">AVERAGEIFS($C$85:$C$102,$A$85:$A$102,$E94,$B$85:$B$102,H$93)</f>
        <v>#DIV/0!</v>
      </c>
      <c r="I94" t="e">
        <f t="array" ref="I94" ca="1">AVERAGE(F94:H94)</f>
        <v>#DIV/0!</v>
      </c>
    </row>
    <row r="95" spans="1:22" x14ac:dyDescent="0.25">
      <c r="A95" s="522">
        <v>2</v>
      </c>
      <c r="B95" s="522">
        <v>1</v>
      </c>
      <c r="C95" s="522" t="e" cm="1">
        <f t="array" aca="1" ref="C95" ca="1">RANK_AVG(L35,L$25:L$42,1)</f>
        <v>#NAME?</v>
      </c>
      <c r="E95" t="e">
        <f ca="1"/>
        <v>#NAME?</v>
      </c>
      <c r="F95" s="460" t="e">
        <f t="array" ref="F95" ca="1">AVERAGEIFS($C$85:$C$102,$A$85:$A$102,$E95,$B$85:$B$102,F$93)</f>
        <v>#DIV/0!</v>
      </c>
      <c r="G95" s="461" t="e">
        <f t="array" ref="G95" ca="1">AVERAGEIFS($C$85:$C$102,$A$85:$A$102,$E95,$B$85:$B$102,G$93)</f>
        <v>#DIV/0!</v>
      </c>
      <c r="H95" s="462" t="e">
        <f t="array" ref="H95" ca="1">AVERAGEIFS($C$85:$C$102,$A$85:$A$102,$E95,$B$85:$B$102,H$93)</f>
        <v>#DIV/0!</v>
      </c>
      <c r="I95" t="e">
        <f t="array" ref="I95" ca="1">AVERAGE(F95:H95)</f>
        <v>#DIV/0!</v>
      </c>
    </row>
    <row r="96" spans="1:22" x14ac:dyDescent="0.25">
      <c r="A96" s="522">
        <v>2</v>
      </c>
      <c r="B96" s="522">
        <v>1</v>
      </c>
      <c r="C96" s="522" t="e" cm="1">
        <f t="array" aca="1" ref="C96" ca="1">RANK_AVG(L36,L$25:L$42,1)</f>
        <v>#NAME?</v>
      </c>
      <c r="F96" t="e">
        <f t="array" ref="F96" ca="1">AVERAGE(F94:F95)</f>
        <v>#DIV/0!</v>
      </c>
      <c r="G96" t="e">
        <f t="array" ref="G96" ca="1">AVERAGE(G94:G95)</f>
        <v>#DIV/0!</v>
      </c>
      <c r="H96" t="e">
        <f t="array" ref="H96" ca="1">AVERAGE(H94:H95)</f>
        <v>#DIV/0!</v>
      </c>
      <c r="I96" t="e">
        <f t="array" ref="I96" ca="1">AVERAGE(I94:I95)</f>
        <v>#DIV/0!</v>
      </c>
    </row>
    <row r="97" spans="1:18" x14ac:dyDescent="0.25">
      <c r="A97" s="522">
        <v>2</v>
      </c>
      <c r="B97" s="522">
        <v>2</v>
      </c>
      <c r="C97" s="522" t="e" cm="1">
        <f t="array" aca="1" ref="C97" ca="1">RANK_AVG(L37,L$25:L$42,1)</f>
        <v>#NAME?</v>
      </c>
    </row>
    <row r="98" spans="1:18" x14ac:dyDescent="0.25">
      <c r="A98" s="522">
        <v>2</v>
      </c>
      <c r="B98" s="522">
        <v>2</v>
      </c>
      <c r="C98" s="522" t="e" cm="1">
        <f t="array" aca="1" ref="C98" ca="1">RANK_AVG(L38,L$25:L$42,1)</f>
        <v>#NAME?</v>
      </c>
      <c r="E98" t="s">
        <v>490</v>
      </c>
    </row>
    <row r="99" spans="1:18" x14ac:dyDescent="0.25">
      <c r="A99" s="522">
        <v>2</v>
      </c>
      <c r="B99" s="522">
        <v>2</v>
      </c>
      <c r="C99" s="522" t="e" cm="1">
        <f t="array" aca="1" ref="C99" ca="1">RANK_AVG(L39,L$25:L$42,1)</f>
        <v>#NAME?</v>
      </c>
      <c r="F99" t="e">
        <f t="array" aca="1" ref="F99:H99" ca="1">TRANSPOSE(SortUnique(B85:B102))</f>
        <v>#NAME?</v>
      </c>
      <c r="G99" t="e">
        <f ca="1"/>
        <v>#NAME?</v>
      </c>
      <c r="H99" t="e">
        <f ca="1"/>
        <v>#NAME?</v>
      </c>
    </row>
    <row r="100" spans="1:18" x14ac:dyDescent="0.25">
      <c r="A100" s="522">
        <v>2</v>
      </c>
      <c r="B100" s="522">
        <v>3</v>
      </c>
      <c r="C100" s="522" t="e" cm="1">
        <f t="array" aca="1" ref="C100" ca="1">RANK_AVG(L40,L$25:L$42,1)</f>
        <v>#NAME?</v>
      </c>
      <c r="E100" t="e">
        <f t="array" aca="1" ref="E100:E101" ca="1">SortUnique(A85:A102)</f>
        <v>#NAME?</v>
      </c>
      <c r="F100" s="380" t="e">
        <f t="array" aca="1" ref="F100" ca="1">_xlfn.VAR.S(IF(($A$85:$A$102=$E100)*($B$85:$B$102=F$99),$C$85:$C$102))</f>
        <v>#NAME?</v>
      </c>
      <c r="G100" s="381" t="e">
        <f t="array" aca="1" ref="G100" ca="1">_xlfn.VAR.S(IF(($A$85:$A$102=$E100)*($B$85:$B$102=G$99),$C$85:$C$102))</f>
        <v>#NAME?</v>
      </c>
      <c r="H100" s="382" t="e">
        <f t="array" aca="1" ref="H100" ca="1">_xlfn.VAR.S(IF(($A$85:$A$102=$E100)*($B$85:$B$102=H$99),$C$85:$C$102))</f>
        <v>#NAME?</v>
      </c>
      <c r="I100" t="e">
        <f t="array" aca="1" ref="I100" ca="1">_xlfn.VAR.S(IF($A$85:$A$102=$E100,$C$85:$C$102))</f>
        <v>#NAME?</v>
      </c>
    </row>
    <row r="101" spans="1:18" x14ac:dyDescent="0.25">
      <c r="A101" s="522">
        <v>2</v>
      </c>
      <c r="B101" s="522">
        <v>3</v>
      </c>
      <c r="C101" s="522" t="e" cm="1">
        <f t="array" aca="1" ref="C101" ca="1">RANK_AVG(L41,L$25:L$42,1)</f>
        <v>#NAME?</v>
      </c>
      <c r="E101" t="e">
        <f ca="1"/>
        <v>#NAME?</v>
      </c>
      <c r="F101" s="460" t="e">
        <f t="array" aca="1" ref="F101" ca="1">_xlfn.VAR.S(IF(($A$85:$A$102=$E101)*($B$85:$B$102=F$99),$C$85:$C$102))</f>
        <v>#NAME?</v>
      </c>
      <c r="G101" s="461" t="e">
        <f t="array" aca="1" ref="G101" ca="1">_xlfn.VAR.S(IF(($A$85:$A$102=$E101)*($B$85:$B$102=G$99),$C$85:$C$102))</f>
        <v>#NAME?</v>
      </c>
      <c r="H101" s="462" t="e">
        <f t="array" aca="1" ref="H101" ca="1">_xlfn.VAR.S(IF(($A$85:$A$102=$E101)*($B$85:$B$102=H$99),$C$85:$C$102))</f>
        <v>#NAME?</v>
      </c>
      <c r="I101" t="e">
        <f t="array" aca="1" ref="I101" ca="1">_xlfn.VAR.S(IF($A$85:$A$102=$E101,$C$85:$C$102))</f>
        <v>#NAME?</v>
      </c>
    </row>
    <row r="102" spans="1:18" x14ac:dyDescent="0.25">
      <c r="A102" s="526">
        <v>2</v>
      </c>
      <c r="B102" s="526">
        <v>3</v>
      </c>
      <c r="C102" s="526" t="e" cm="1">
        <f t="array" aca="1" ref="C102" ca="1">RANK_AVG(L42,L$25:L$42,1)</f>
        <v>#NAME?</v>
      </c>
      <c r="F102" t="e">
        <f t="array" aca="1" ref="F102" ca="1">_xlfn.VAR.S(IF($B$85:$B$102=F$99,$C$85:$C$102))</f>
        <v>#NAME?</v>
      </c>
      <c r="G102" t="e">
        <f t="array" aca="1" ref="G102" ca="1">_xlfn.VAR.S(IF($B$85:$B$102=G$99,$C$85:$C$102))</f>
        <v>#NAME?</v>
      </c>
      <c r="H102" t="e">
        <f t="array" aca="1" ref="H102" ca="1">_xlfn.VAR.S(IF($B$85:$B$102=H$99,$C$85:$C$102))</f>
        <v>#NAME?</v>
      </c>
      <c r="I102" t="e">
        <f ca="1">_xlfn.VAR.S(C85:C102)</f>
        <v>#NAME?</v>
      </c>
    </row>
    <row r="104" spans="1:18" x14ac:dyDescent="0.25">
      <c r="K104" t="s">
        <v>873</v>
      </c>
    </row>
    <row r="106" spans="1:18" ht="15.75" thickBot="1" x14ac:dyDescent="0.3">
      <c r="K106" t="s">
        <v>101</v>
      </c>
      <c r="P106" s="522" t="s">
        <v>31</v>
      </c>
      <c r="Q106" s="522">
        <v>0.05</v>
      </c>
    </row>
    <row r="107" spans="1:18" ht="15.75" thickTop="1" x14ac:dyDescent="0.25">
      <c r="K107" s="251"/>
      <c r="L107" s="251" t="s">
        <v>88</v>
      </c>
      <c r="M107" s="251" t="s">
        <v>117</v>
      </c>
      <c r="N107" s="251" t="s">
        <v>118</v>
      </c>
      <c r="O107" s="251" t="s">
        <v>92</v>
      </c>
      <c r="P107" s="251" t="s">
        <v>82</v>
      </c>
      <c r="Q107" s="251" t="s">
        <v>56</v>
      </c>
      <c r="R107" s="251" t="s">
        <v>865</v>
      </c>
    </row>
    <row r="108" spans="1:18" x14ac:dyDescent="0.25">
      <c r="K108" t="s">
        <v>83</v>
      </c>
      <c r="L108" t="e">
        <f ca="1">L48</f>
        <v>#DIV/0!</v>
      </c>
      <c r="M108">
        <f ca="1">M48</f>
        <v>-1</v>
      </c>
      <c r="N108">
        <f ca="1">M91</f>
        <v>0</v>
      </c>
      <c r="O108" t="e">
        <f ca="1">N48</f>
        <v>#DIV/0!</v>
      </c>
      <c r="P108" t="e">
        <f ca="1">O48</f>
        <v>#DIV/0!</v>
      </c>
      <c r="Q108" t="e">
        <f ca="1">P48</f>
        <v>#DIV/0!</v>
      </c>
      <c r="R108" t="e">
        <f ca="1">Q48</f>
        <v>#DIV/0!</v>
      </c>
    </row>
    <row r="109" spans="1:18" x14ac:dyDescent="0.25">
      <c r="K109" t="s">
        <v>238</v>
      </c>
      <c r="L109" t="e">
        <f ca="1">L69</f>
        <v>#DIV/0!</v>
      </c>
      <c r="M109">
        <f ca="1">M69</f>
        <v>-1</v>
      </c>
      <c r="N109">
        <f ca="1">N108</f>
        <v>0</v>
      </c>
      <c r="O109" t="e">
        <f ca="1">N69</f>
        <v>#DIV/0!</v>
      </c>
      <c r="P109" t="e">
        <f ca="1">O69</f>
        <v>#DIV/0!</v>
      </c>
      <c r="Q109" t="e">
        <f ca="1">P69</f>
        <v>#DIV/0!</v>
      </c>
      <c r="R109" t="e">
        <f ca="1">Q69</f>
        <v>#DIV/0!</v>
      </c>
    </row>
    <row r="110" spans="1:18" x14ac:dyDescent="0.25">
      <c r="K110" s="539" t="s">
        <v>410</v>
      </c>
      <c r="L110" s="539" t="e">
        <f ca="1">L90</f>
        <v>#NAME?</v>
      </c>
      <c r="M110" s="539">
        <f ca="1">M90</f>
        <v>1</v>
      </c>
      <c r="N110" s="539">
        <f ca="1">N109</f>
        <v>0</v>
      </c>
      <c r="O110" s="539" t="e">
        <f ca="1">N90</f>
        <v>#NAME?</v>
      </c>
      <c r="P110" s="539" t="e">
        <f ca="1">O90</f>
        <v>#NAME?</v>
      </c>
      <c r="Q110" s="539" t="e">
        <f ca="1">P90</f>
        <v>#NAME?</v>
      </c>
      <c r="R110" s="539" t="e">
        <f ca="1">Q90</f>
        <v>#NAME?</v>
      </c>
    </row>
  </sheetData>
  <mergeCells count="3">
    <mergeCell ref="A23:C23"/>
    <mergeCell ref="E23:H23"/>
    <mergeCell ref="J23:L23"/>
  </mergeCells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R21"/>
  <sheetViews>
    <sheetView workbookViewId="0"/>
  </sheetViews>
  <sheetFormatPr defaultRowHeight="15" x14ac:dyDescent="0.25"/>
  <cols>
    <col min="5" max="9" width="5.5703125" customWidth="1"/>
    <col min="10" max="10" width="3.5703125" customWidth="1"/>
    <col min="13" max="14" width="5.5703125" customWidth="1"/>
  </cols>
  <sheetData>
    <row r="1" spans="1:18" x14ac:dyDescent="0.25">
      <c r="A1" s="541" t="s">
        <v>861</v>
      </c>
    </row>
    <row r="3" spans="1:18" x14ac:dyDescent="0.25">
      <c r="A3" s="524" t="s">
        <v>862</v>
      </c>
      <c r="B3" s="524" t="s">
        <v>863</v>
      </c>
      <c r="C3" s="524" t="s">
        <v>864</v>
      </c>
      <c r="E3" s="524" t="e">
        <f t="array" aca="1" ref="E3:I21" ca="1">Std2Art(A3:C21,TRUE)</f>
        <v>#NAME?</v>
      </c>
      <c r="F3" s="524" t="e">
        <f ca="1"/>
        <v>#NAME?</v>
      </c>
      <c r="G3" s="524" t="e">
        <f ca="1"/>
        <v>#NAME?</v>
      </c>
      <c r="H3" s="524" t="e">
        <f ca="1"/>
        <v>#NAME?</v>
      </c>
      <c r="I3" s="524" t="e">
        <f ca="1"/>
        <v>#NAME?</v>
      </c>
      <c r="K3" t="s">
        <v>873</v>
      </c>
    </row>
    <row r="4" spans="1:18" x14ac:dyDescent="0.25">
      <c r="A4" s="525">
        <v>1</v>
      </c>
      <c r="B4" s="525">
        <v>1</v>
      </c>
      <c r="C4" s="525">
        <v>5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</row>
    <row r="5" spans="1:18" ht="15.75" thickBot="1" x14ac:dyDescent="0.3">
      <c r="A5" s="525">
        <v>1</v>
      </c>
      <c r="B5" s="525">
        <v>1</v>
      </c>
      <c r="C5" s="525">
        <v>4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O5" s="525" t="s">
        <v>31</v>
      </c>
      <c r="P5" s="525">
        <v>0.05</v>
      </c>
    </row>
    <row r="6" spans="1:18" ht="15.75" thickTop="1" x14ac:dyDescent="0.25">
      <c r="A6" s="525">
        <v>1</v>
      </c>
      <c r="B6" s="525">
        <v>1</v>
      </c>
      <c r="C6" s="525">
        <v>3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K6" s="251"/>
      <c r="L6" s="251" t="s">
        <v>88</v>
      </c>
      <c r="M6" s="251" t="s">
        <v>117</v>
      </c>
      <c r="N6" s="251" t="s">
        <v>118</v>
      </c>
      <c r="O6" s="251" t="s">
        <v>92</v>
      </c>
      <c r="P6" s="251" t="s">
        <v>82</v>
      </c>
      <c r="Q6" s="251" t="s">
        <v>56</v>
      </c>
      <c r="R6" s="251" t="s">
        <v>865</v>
      </c>
    </row>
    <row r="7" spans="1:18" x14ac:dyDescent="0.25">
      <c r="A7" s="525">
        <v>1</v>
      </c>
      <c r="B7" s="525">
        <v>2</v>
      </c>
      <c r="C7" s="525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K7" t="s">
        <v>83</v>
      </c>
      <c r="L7" t="e">
        <f ca="1">SSRowStd(E4:G21)</f>
        <v>#NAME?</v>
      </c>
      <c r="M7" t="e">
        <f ca="1">dfRowStd(E4:G21)</f>
        <v>#NAME?</v>
      </c>
      <c r="N7" t="e">
        <f ca="1">dfWFStd(E4:G21)</f>
        <v>#NAME?</v>
      </c>
      <c r="O7" t="e">
        <f ca="1">L7/M7</f>
        <v>#NAME?</v>
      </c>
      <c r="P7" t="e">
        <f ca="1">O7/(SSWFStd(E4:G21)/N7)</f>
        <v>#NAME?</v>
      </c>
      <c r="Q7" t="e">
        <f ca="1">_xlfn.F.DIST.RT(P7,M7,N7)</f>
        <v>#NAME?</v>
      </c>
      <c r="R7" t="e">
        <f ca="1">P7*M7/(N7+P7*M7)</f>
        <v>#NAME?</v>
      </c>
    </row>
    <row r="8" spans="1:18" x14ac:dyDescent="0.25">
      <c r="A8" s="525">
        <v>1</v>
      </c>
      <c r="B8" s="525">
        <v>2</v>
      </c>
      <c r="C8" s="525">
        <v>1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K8" t="s">
        <v>238</v>
      </c>
      <c r="L8" t="e">
        <f ca="1">SSColStd(MERGE(E4:F21,H4:H21))</f>
        <v>#NAME?</v>
      </c>
      <c r="M8" t="e">
        <f ca="1">dfColStd(MERGE(E4:F21,H4:H21))</f>
        <v>#NAME?</v>
      </c>
      <c r="N8" t="e">
        <f ca="1">N7</f>
        <v>#NAME?</v>
      </c>
      <c r="O8" t="e">
        <f ca="1">L8/M8</f>
        <v>#NAME?</v>
      </c>
      <c r="P8" t="e">
        <f ca="1">O8/(SSWFStd(MERGE(E4:F21,H4:H21))/N8)</f>
        <v>#NAME?</v>
      </c>
      <c r="Q8" t="e">
        <f ca="1">_xlfn.F.DIST.RT(P8,M8,N8)</f>
        <v>#NAME?</v>
      </c>
      <c r="R8" t="e">
        <f ca="1">P8*M8/(N8+P8*M8)</f>
        <v>#NAME?</v>
      </c>
    </row>
    <row r="9" spans="1:18" x14ac:dyDescent="0.25">
      <c r="A9" s="525">
        <v>1</v>
      </c>
      <c r="B9" s="525">
        <v>2</v>
      </c>
      <c r="C9" s="525">
        <v>2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K9" s="516" t="s">
        <v>410</v>
      </c>
      <c r="L9" s="516" t="e">
        <f ca="1">SSIntStd(MERGE(E4:F21,I4:I21))</f>
        <v>#NAME?</v>
      </c>
      <c r="M9" s="516" t="e">
        <f ca="1">dfIntStd(MERGE(E4:F21,I4:I21))</f>
        <v>#NAME?</v>
      </c>
      <c r="N9" s="516" t="e">
        <f ca="1">N7</f>
        <v>#NAME?</v>
      </c>
      <c r="O9" s="516" t="e">
        <f ca="1">L9/M9</f>
        <v>#NAME?</v>
      </c>
      <c r="P9" s="516" t="e">
        <f ca="1">O9/(SSWFStd(MERGE(E4:F21,I4:I21))/N9)</f>
        <v>#NAME?</v>
      </c>
      <c r="Q9" s="516" t="e">
        <f ca="1">_xlfn.F.DIST.RT(P9,M9,N9)</f>
        <v>#NAME?</v>
      </c>
      <c r="R9" s="516" t="e">
        <f ca="1">P9*M9/(N9+P9*M9)</f>
        <v>#NAME?</v>
      </c>
    </row>
    <row r="10" spans="1:18" x14ac:dyDescent="0.25">
      <c r="A10" s="525">
        <v>1</v>
      </c>
      <c r="B10" s="525">
        <v>3</v>
      </c>
      <c r="C10" s="525">
        <v>4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</row>
    <row r="11" spans="1:18" x14ac:dyDescent="0.25">
      <c r="A11" s="525">
        <v>1</v>
      </c>
      <c r="B11" s="525">
        <v>3</v>
      </c>
      <c r="C11" s="525">
        <v>3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</row>
    <row r="12" spans="1:18" x14ac:dyDescent="0.25">
      <c r="A12" s="525">
        <v>1</v>
      </c>
      <c r="B12" s="525">
        <v>3</v>
      </c>
      <c r="C12" s="525">
        <v>2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</row>
    <row r="13" spans="1:18" x14ac:dyDescent="0.25">
      <c r="A13" s="525">
        <v>2</v>
      </c>
      <c r="B13" s="525">
        <v>1</v>
      </c>
      <c r="C13" s="525">
        <v>4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</row>
    <row r="14" spans="1:18" x14ac:dyDescent="0.25">
      <c r="A14" s="525">
        <v>2</v>
      </c>
      <c r="B14" s="525">
        <v>1</v>
      </c>
      <c r="C14" s="525">
        <v>3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</row>
    <row r="15" spans="1:18" x14ac:dyDescent="0.25">
      <c r="A15" s="525">
        <v>2</v>
      </c>
      <c r="B15" s="525">
        <v>1</v>
      </c>
      <c r="C15" s="525">
        <v>4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</row>
    <row r="16" spans="1:18" x14ac:dyDescent="0.25">
      <c r="A16" s="525">
        <v>2</v>
      </c>
      <c r="B16" s="525">
        <v>2</v>
      </c>
      <c r="C16" s="525">
        <v>3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</row>
    <row r="17" spans="1:9" x14ac:dyDescent="0.25">
      <c r="A17" s="525">
        <v>2</v>
      </c>
      <c r="B17" s="525">
        <v>2</v>
      </c>
      <c r="C17" s="525">
        <v>2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</row>
    <row r="18" spans="1:9" x14ac:dyDescent="0.25">
      <c r="A18" s="525">
        <v>2</v>
      </c>
      <c r="B18" s="525">
        <v>2</v>
      </c>
      <c r="C18" s="525">
        <v>4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</row>
    <row r="19" spans="1:9" x14ac:dyDescent="0.25">
      <c r="A19" s="525">
        <v>2</v>
      </c>
      <c r="B19" s="525">
        <v>3</v>
      </c>
      <c r="C19" s="525">
        <v>1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</row>
    <row r="20" spans="1:9" x14ac:dyDescent="0.25">
      <c r="A20" s="525">
        <v>2</v>
      </c>
      <c r="B20" s="525">
        <v>3</v>
      </c>
      <c r="C20" s="525">
        <v>3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</row>
    <row r="21" spans="1:9" x14ac:dyDescent="0.25">
      <c r="A21" s="527">
        <v>2</v>
      </c>
      <c r="B21" s="527">
        <v>3</v>
      </c>
      <c r="C21" s="527">
        <v>3</v>
      </c>
      <c r="E21" s="516" t="e">
        <f ca="1"/>
        <v>#NAME?</v>
      </c>
      <c r="F21" s="516" t="e">
        <f ca="1"/>
        <v>#NAME?</v>
      </c>
      <c r="G21" s="516" t="e">
        <f ca="1"/>
        <v>#NAME?</v>
      </c>
      <c r="H21" s="516" t="e">
        <f ca="1"/>
        <v>#NAME?</v>
      </c>
      <c r="I21" s="516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D41"/>
  <sheetViews>
    <sheetView workbookViewId="0"/>
  </sheetViews>
  <sheetFormatPr defaultRowHeight="15" x14ac:dyDescent="0.25"/>
  <cols>
    <col min="1" max="15" width="5.5703125" customWidth="1"/>
    <col min="16" max="16" width="3.85546875" customWidth="1"/>
    <col min="17" max="20" width="5.5703125" customWidth="1"/>
    <col min="23" max="23" width="3.5703125" customWidth="1"/>
    <col min="26" max="26" width="6.140625" customWidth="1"/>
    <col min="30" max="30" width="8.7109375" customWidth="1"/>
  </cols>
  <sheetData>
    <row r="1" spans="1:30" x14ac:dyDescent="0.25">
      <c r="A1" s="1" t="s">
        <v>877</v>
      </c>
    </row>
    <row r="3" spans="1:30" x14ac:dyDescent="0.25">
      <c r="A3" s="520" t="s">
        <v>86</v>
      </c>
      <c r="B3" s="520" t="s">
        <v>78</v>
      </c>
      <c r="C3" s="520" t="s">
        <v>79</v>
      </c>
      <c r="D3" s="520" t="s">
        <v>864</v>
      </c>
      <c r="F3" s="542" t="e">
        <f t="array" aca="1" ref="F3:O39" ca="1">Std3Art(A3:D39,TRUE)</f>
        <v>#NAME?</v>
      </c>
      <c r="G3" s="542" t="e">
        <f ca="1"/>
        <v>#NAME?</v>
      </c>
      <c r="H3" s="542" t="e">
        <f ca="1"/>
        <v>#NAME?</v>
      </c>
      <c r="I3" s="542" t="e">
        <f ca="1"/>
        <v>#NAME?</v>
      </c>
      <c r="J3" s="542" t="e">
        <f ca="1"/>
        <v>#NAME?</v>
      </c>
      <c r="K3" s="542" t="e">
        <f ca="1"/>
        <v>#NAME?</v>
      </c>
      <c r="L3" s="542" t="e">
        <f ca="1"/>
        <v>#NAME?</v>
      </c>
      <c r="M3" s="542" t="e">
        <f ca="1"/>
        <v>#NAME?</v>
      </c>
      <c r="N3" s="542" t="e">
        <f ca="1"/>
        <v>#NAME?</v>
      </c>
      <c r="O3" s="542" t="e">
        <f ca="1"/>
        <v>#NAME?</v>
      </c>
      <c r="Q3" t="s">
        <v>24</v>
      </c>
      <c r="X3" t="s">
        <v>506</v>
      </c>
    </row>
    <row r="4" spans="1:30" x14ac:dyDescent="0.25">
      <c r="A4" s="522">
        <v>1</v>
      </c>
      <c r="B4" s="522">
        <v>1</v>
      </c>
      <c r="C4" s="522">
        <v>1</v>
      </c>
      <c r="D4" s="522">
        <v>5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30" ht="15.75" thickBot="1" x14ac:dyDescent="0.3">
      <c r="A5" s="522">
        <v>1</v>
      </c>
      <c r="B5" s="522">
        <v>1</v>
      </c>
      <c r="C5" s="522">
        <v>1</v>
      </c>
      <c r="D5" s="522">
        <v>4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T5" s="12" t="s">
        <v>19</v>
      </c>
      <c r="U5" s="12" t="s">
        <v>7</v>
      </c>
      <c r="V5" s="12" t="s">
        <v>62</v>
      </c>
      <c r="X5" t="s">
        <v>101</v>
      </c>
      <c r="AB5" s="522" t="s">
        <v>31</v>
      </c>
      <c r="AC5" s="522">
        <v>0.05</v>
      </c>
    </row>
    <row r="6" spans="1:30" ht="15.75" thickTop="1" x14ac:dyDescent="0.25">
      <c r="A6" s="522">
        <v>1</v>
      </c>
      <c r="B6" s="522">
        <v>1</v>
      </c>
      <c r="C6" s="522">
        <v>1</v>
      </c>
      <c r="D6" s="522">
        <v>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Q6" s="380" t="e">
        <f t="array" aca="1" ref="Q6:Q7" ca="1">SortUnique(F4:F39)</f>
        <v>#NAME?</v>
      </c>
      <c r="R6" s="381"/>
      <c r="S6" s="382"/>
      <c r="T6" s="380">
        <f ca="1">SUMIF($Q$29:$Q$40,Q6,$T$29:$T$40)</f>
        <v>432</v>
      </c>
      <c r="U6" s="381" t="e">
        <f ca="1">IF(T6=0,"",AVERAGEIF($F$4:$F$39,$Q6,$I$4:$I$39))</f>
        <v>#NAME?</v>
      </c>
      <c r="V6" s="382" t="e">
        <f t="array" aca="1" ref="V6" ca="1">IF(T6&lt;2,"",VAR(IF($F$4:$F$39=$Q6,$I$4:$I$39,"")))</f>
        <v>#NAME?</v>
      </c>
      <c r="X6" s="251"/>
      <c r="Y6" s="251" t="s">
        <v>88</v>
      </c>
      <c r="Z6" s="251" t="s">
        <v>51</v>
      </c>
      <c r="AA6" s="251" t="s">
        <v>92</v>
      </c>
      <c r="AB6" s="251" t="s">
        <v>82</v>
      </c>
      <c r="AC6" s="251" t="s">
        <v>56</v>
      </c>
      <c r="AD6" s="251" t="s">
        <v>865</v>
      </c>
    </row>
    <row r="7" spans="1:30" x14ac:dyDescent="0.25">
      <c r="A7" s="522">
        <v>1</v>
      </c>
      <c r="B7" s="522">
        <v>2</v>
      </c>
      <c r="C7" s="522">
        <v>1</v>
      </c>
      <c r="D7" s="522">
        <v>1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Q7" s="178" t="e">
        <f ca="1"/>
        <v>#NAME?</v>
      </c>
      <c r="S7" s="40"/>
      <c r="T7" s="178">
        <f ca="1">SUMIF($Q$29:$Q$40,Q7,$T$29:$T$40)</f>
        <v>432</v>
      </c>
      <c r="U7" t="e">
        <f ca="1">IF(T7=0,"",AVERAGEIF($F$4:$F$39,$Q7,$I$4:$I$39))</f>
        <v>#NAME?</v>
      </c>
      <c r="V7" s="40" t="e">
        <f t="array" aca="1" ref="V7" ca="1">IF(T7&lt;2,"",VAR(IF($F$4:$F$39=$Q7,$I$4:$I$39,"")))</f>
        <v>#NAME?</v>
      </c>
      <c r="X7" s="529" t="s">
        <v>86</v>
      </c>
      <c r="Y7" s="529" t="e">
        <f ca="1">DEVSQ(U6:U7)*T6</f>
        <v>#NAME?</v>
      </c>
      <c r="Z7" s="529">
        <f ca="1">COUNT(U6:U7)-1</f>
        <v>-1</v>
      </c>
      <c r="AA7" s="529" t="e">
        <f t="shared" ref="AA7:AA15" ca="1" si="0">Y7/Z7</f>
        <v>#NAME?</v>
      </c>
      <c r="AB7" s="529" t="e">
        <f ca="1">AA7/AA14</f>
        <v>#NAME?</v>
      </c>
      <c r="AC7" s="529" t="e">
        <f ca="1">_xlfn.F.DIST.RT(AB7,Z7,Z14)</f>
        <v>#NAME?</v>
      </c>
      <c r="AD7" s="529" t="e">
        <f ca="1">Y7/(Y7+Y14)</f>
        <v>#NAME?</v>
      </c>
    </row>
    <row r="8" spans="1:30" x14ac:dyDescent="0.25">
      <c r="A8" s="522">
        <v>1</v>
      </c>
      <c r="B8" s="522">
        <v>2</v>
      </c>
      <c r="C8" s="522">
        <v>1</v>
      </c>
      <c r="D8" s="522">
        <v>1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Q8" s="178"/>
      <c r="R8" t="e">
        <f t="array" aca="1" ref="R8:R10" ca="1">SortUnique(G4:G39)</f>
        <v>#NAME?</v>
      </c>
      <c r="S8" s="40"/>
      <c r="T8" s="178">
        <f ca="1">SUMIF($R$29:$R$40,R8,$T$29:$T$40)</f>
        <v>432</v>
      </c>
      <c r="U8" t="e">
        <f ca="1">IF(T8=0,"",AVERAGEIF($G$4:$G$39,$R8,$I$4:$I$39))</f>
        <v>#NAME?</v>
      </c>
      <c r="V8" s="40" t="e">
        <f t="array" aca="1" ref="V8" ca="1">IF(T8&lt;2,"",VAR(IF($G$4:$G$39=$R8,$I$4:$I$39,"")))</f>
        <v>#NAME?</v>
      </c>
      <c r="X8" t="s">
        <v>78</v>
      </c>
      <c r="Y8" t="e">
        <f ca="1">DEVSQ(U8:U10)*T8</f>
        <v>#NAME?</v>
      </c>
      <c r="Z8">
        <f ca="1">COUNT(U8:U10)-1</f>
        <v>-1</v>
      </c>
      <c r="AA8" t="e">
        <f t="shared" ca="1" si="0"/>
        <v>#NAME?</v>
      </c>
      <c r="AB8" t="e">
        <f ca="1">AA8/AA14</f>
        <v>#NAME?</v>
      </c>
      <c r="AC8" t="e">
        <f ca="1">_xlfn.F.DIST.RT(AB8,Z8,Z14)</f>
        <v>#NAME?</v>
      </c>
      <c r="AD8" t="e">
        <f ca="1">Y8/(Y8+Y14)</f>
        <v>#NAME?</v>
      </c>
    </row>
    <row r="9" spans="1:30" x14ac:dyDescent="0.25">
      <c r="A9" s="522">
        <v>1</v>
      </c>
      <c r="B9" s="522">
        <v>2</v>
      </c>
      <c r="C9" s="522">
        <v>1</v>
      </c>
      <c r="D9" s="522">
        <v>2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Q9" s="178"/>
      <c r="R9" t="e">
        <f ca="1"/>
        <v>#NAME?</v>
      </c>
      <c r="S9" s="40"/>
      <c r="T9" s="178">
        <f t="shared" ref="T9:T10" ca="1" si="1">SUMIF($R$29:$R$40,R9,$T$29:$T$40)</f>
        <v>432</v>
      </c>
      <c r="U9" t="e">
        <f t="shared" ref="U9:U10" ca="1" si="2">IF(T9=0,"",AVERAGEIF($G$4:$G$39,$R9,$I$4:$I$39))</f>
        <v>#NAME?</v>
      </c>
      <c r="V9" s="40" t="e">
        <f t="array" aca="1" ref="V9" ca="1">IF(T9&lt;2,"",VAR(IF($G$4:$G$39=$R9,$I$4:$I$39,"")))</f>
        <v>#NAME?</v>
      </c>
      <c r="X9" t="s">
        <v>79</v>
      </c>
      <c r="Y9" t="e">
        <f ca="1">DEVSQ(U11:U12)*T11</f>
        <v>#NAME?</v>
      </c>
      <c r="Z9">
        <f ca="1">COUNT(U11:U12)-1</f>
        <v>-1</v>
      </c>
      <c r="AA9" t="e">
        <f t="shared" ca="1" si="0"/>
        <v>#NAME?</v>
      </c>
      <c r="AB9" t="e">
        <f ca="1">AA9/AA14</f>
        <v>#NAME?</v>
      </c>
      <c r="AC9" t="e">
        <f ca="1">_xlfn.F.DIST.RT(AB9,Z9,Z14)</f>
        <v>#NAME?</v>
      </c>
      <c r="AD9" s="540" t="e">
        <f ca="1">Y9/(Y9+Y14)</f>
        <v>#NAME?</v>
      </c>
    </row>
    <row r="10" spans="1:30" x14ac:dyDescent="0.25">
      <c r="A10" s="522">
        <v>1</v>
      </c>
      <c r="B10" s="522">
        <v>3</v>
      </c>
      <c r="C10" s="522">
        <v>1</v>
      </c>
      <c r="D10" s="522">
        <v>4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Q10" s="178"/>
      <c r="R10" t="e">
        <f ca="1"/>
        <v>#NAME?</v>
      </c>
      <c r="S10" s="40"/>
      <c r="T10" s="178">
        <f t="shared" ca="1" si="1"/>
        <v>432</v>
      </c>
      <c r="U10" t="e">
        <f t="shared" ca="1" si="2"/>
        <v>#NAME?</v>
      </c>
      <c r="V10" s="40" t="e">
        <f t="array" aca="1" ref="V10" ca="1">IF(T10&lt;2,"",VAR(IF($G$4:$G$39=$R10,$I$4:$I$39,"")))</f>
        <v>#NAME?</v>
      </c>
      <c r="X10" t="s">
        <v>271</v>
      </c>
      <c r="Y10" t="e">
        <f ca="1">DEVSQ(U13:U18)*T13-Y7-Y8</f>
        <v>#NAME?</v>
      </c>
      <c r="Z10">
        <f ca="1">Z8*Z7</f>
        <v>1</v>
      </c>
      <c r="AA10" t="e">
        <f t="shared" ca="1" si="0"/>
        <v>#NAME?</v>
      </c>
      <c r="AB10" t="e">
        <f ca="1">AA10/AA14</f>
        <v>#NAME?</v>
      </c>
      <c r="AC10" t="e">
        <f ca="1">_xlfn.F.DIST.RT(AB10,Z10,Z14)</f>
        <v>#NAME?</v>
      </c>
      <c r="AD10" t="e">
        <f ca="1">Y10/(Y10+Y14)</f>
        <v>#NAME?</v>
      </c>
    </row>
    <row r="11" spans="1:30" x14ac:dyDescent="0.25">
      <c r="A11" s="522">
        <v>1</v>
      </c>
      <c r="B11" s="522">
        <v>3</v>
      </c>
      <c r="C11" s="522">
        <v>1</v>
      </c>
      <c r="D11" s="522">
        <v>3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Q11" s="178"/>
      <c r="S11" s="40" t="e">
        <f t="array" aca="1" ref="S11:S12" ca="1">SortUnique(H4:H39)</f>
        <v>#NAME?</v>
      </c>
      <c r="T11" s="178">
        <f ca="1">SUMIF($S$29:$S$40,S11,$T$29:$T$40)</f>
        <v>432</v>
      </c>
      <c r="U11" t="e">
        <f ca="1">IF(T11=0,"",AVERAGEIF($H$4:$H$39,$S11,$I$4:$I$39))</f>
        <v>#NAME?</v>
      </c>
      <c r="V11" s="40" t="e">
        <f t="array" aca="1" ref="V11" ca="1">IF(T11&lt;2,"",VAR(IF($H$4:$H$39=$S11,$I$4:$I$39,"")))</f>
        <v>#NAME?</v>
      </c>
      <c r="X11" t="s">
        <v>273</v>
      </c>
      <c r="Y11" t="e">
        <f ca="1">DEVSQ(U19:U22)*T19-Y7-Y9</f>
        <v>#NAME?</v>
      </c>
      <c r="Z11">
        <f ca="1">Z9*Z7</f>
        <v>1</v>
      </c>
      <c r="AA11" t="e">
        <f t="shared" ca="1" si="0"/>
        <v>#NAME?</v>
      </c>
      <c r="AB11" t="e">
        <f ca="1">AA11/AA14</f>
        <v>#NAME?</v>
      </c>
      <c r="AC11" t="e">
        <f ca="1">_xlfn.F.DIST.RT(AB11,Z11,Z14)</f>
        <v>#NAME?</v>
      </c>
      <c r="AD11" t="e">
        <f ca="1">Y11/(Y11+Y14)</f>
        <v>#NAME?</v>
      </c>
    </row>
    <row r="12" spans="1:30" x14ac:dyDescent="0.25">
      <c r="A12" s="522">
        <v>1</v>
      </c>
      <c r="B12" s="522">
        <v>3</v>
      </c>
      <c r="C12" s="522">
        <v>1</v>
      </c>
      <c r="D12" s="522">
        <v>2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Q12" s="460"/>
      <c r="R12" s="461"/>
      <c r="S12" s="462" t="e">
        <f ca="1"/>
        <v>#NAME?</v>
      </c>
      <c r="T12" s="460">
        <f ca="1">SUMIF($S$29:$S$40,S12,$T$29:$T$40)</f>
        <v>432</v>
      </c>
      <c r="U12" s="461" t="e">
        <f ca="1">IF(T12=0,"",AVERAGEIF($H$4:$H$39,$S12,$I$4:$I$39))</f>
        <v>#NAME?</v>
      </c>
      <c r="V12" s="462" t="e">
        <f t="array" aca="1" ref="V12" ca="1">IF(T12&lt;2,"",VAR(IF($H$4:$H$39=$S12,$I$4:$I$39,"")))</f>
        <v>#NAME?</v>
      </c>
      <c r="X12" t="s">
        <v>275</v>
      </c>
      <c r="Y12" t="e">
        <f ca="1">DEVSQ(U23:U28)*T23-Y8-Y9</f>
        <v>#NAME?</v>
      </c>
      <c r="Z12">
        <f ca="1">Z9*Z8</f>
        <v>1</v>
      </c>
      <c r="AA12" t="e">
        <f t="shared" ca="1" si="0"/>
        <v>#NAME?</v>
      </c>
      <c r="AB12" t="e">
        <f ca="1">AA12/AA14</f>
        <v>#NAME?</v>
      </c>
      <c r="AC12" t="e">
        <f ca="1">_xlfn.F.DIST.RT(AB12,Z12,Z14)</f>
        <v>#NAME?</v>
      </c>
      <c r="AD12" t="e">
        <f ca="1">Y12/(Y12+Y14)</f>
        <v>#NAME?</v>
      </c>
    </row>
    <row r="13" spans="1:30" x14ac:dyDescent="0.25">
      <c r="A13" s="522">
        <v>2</v>
      </c>
      <c r="B13" s="522">
        <v>1</v>
      </c>
      <c r="C13" s="522">
        <v>1</v>
      </c>
      <c r="D13" s="522">
        <v>4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Q13" s="380" t="e">
        <f ca="1">$Q$6</f>
        <v>#NAME?</v>
      </c>
      <c r="R13" s="381" t="e">
        <f ca="1">$R8</f>
        <v>#NAME?</v>
      </c>
      <c r="S13" s="382"/>
      <c r="T13" s="380">
        <f ca="1">SUMIFS($T$29:$T$40,$Q$29:$Q$40,Q13,$R$29:$R$40,R13)</f>
        <v>432</v>
      </c>
      <c r="U13" s="381" t="e">
        <f ca="1">IF(T13=0,"",AVERAGEIFS($I$4:$I$39,$F$4:$F$39,$Q13,$G$4:$G$39,$R13))</f>
        <v>#NAME?</v>
      </c>
      <c r="V13" s="382" t="e">
        <f t="array" aca="1" ref="V13" ca="1">IF(T13&lt;2,"",VAR(IF($F$4:$F$39=$Q13,IF($G$4:$G$39=$R13,$I$4:$I$39,""))))</f>
        <v>#NAME?</v>
      </c>
      <c r="X13" t="s">
        <v>277</v>
      </c>
      <c r="Y13" t="e">
        <f ca="1">DEVSQ(U29:U40)*T29-Y12-Y11-Y10-Y9-Y8-Y7</f>
        <v>#NAME?</v>
      </c>
      <c r="Z13">
        <f ca="1">Z9*Z8*Z7</f>
        <v>-1</v>
      </c>
      <c r="AA13" t="e">
        <f t="shared" ca="1" si="0"/>
        <v>#NAME?</v>
      </c>
      <c r="AB13" t="e">
        <f ca="1">AA13/AA14</f>
        <v>#NAME?</v>
      </c>
      <c r="AC13" t="e">
        <f ca="1">_xlfn.F.DIST.RT(AB13,Z13,Z14)</f>
        <v>#NAME?</v>
      </c>
      <c r="AD13" t="e">
        <f ca="1">Y13/(Y13+Y14)</f>
        <v>#NAME?</v>
      </c>
    </row>
    <row r="14" spans="1:30" x14ac:dyDescent="0.25">
      <c r="A14" s="522">
        <v>2</v>
      </c>
      <c r="B14" s="522">
        <v>1</v>
      </c>
      <c r="C14" s="522">
        <v>1</v>
      </c>
      <c r="D14" s="522">
        <v>3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Q14" s="178" t="e">
        <f t="shared" ref="Q14:Q15" ca="1" si="3">$Q$6</f>
        <v>#NAME?</v>
      </c>
      <c r="R14" t="e">
        <f t="shared" ref="R14:R15" ca="1" si="4">$R9</f>
        <v>#NAME?</v>
      </c>
      <c r="S14" s="40"/>
      <c r="T14" s="178">
        <f t="shared" ref="T14:T18" ca="1" si="5">SUMIFS($T$29:$T$40,$Q$29:$Q$40,Q14,$R$29:$R$40,R14)</f>
        <v>432</v>
      </c>
      <c r="U14" t="e">
        <f t="shared" ref="U14:U18" ca="1" si="6">IF(T14=0,"",AVERAGEIFS($I$4:$I$39,$F$4:$F$39,$Q14,$G$4:$G$39,$R14))</f>
        <v>#NAME?</v>
      </c>
      <c r="V14" s="40" t="e">
        <f t="array" aca="1" ref="V14" ca="1">IF(T14&lt;2,"",VAR(IF($F$4:$F$39=$Q14,IF($G$4:$G$39=$R14,$I$4:$I$39,""))))</f>
        <v>#NAME?</v>
      </c>
      <c r="X14" t="s">
        <v>249</v>
      </c>
      <c r="Y14" t="e">
        <f ca="1">Y15-Y13-Y12-Y11-Y10-Y9-Y8-Y7</f>
        <v>#NAME?</v>
      </c>
      <c r="Z14">
        <f ca="1">T41-(Z7+1)*(Z8+1)*(Z9+1)</f>
        <v>432</v>
      </c>
      <c r="AA14" t="e">
        <f t="shared" ca="1" si="0"/>
        <v>#NAME?</v>
      </c>
    </row>
    <row r="15" spans="1:30" x14ac:dyDescent="0.25">
      <c r="A15" s="522">
        <v>2</v>
      </c>
      <c r="B15" s="522">
        <v>1</v>
      </c>
      <c r="C15" s="522">
        <v>1</v>
      </c>
      <c r="D15" s="522">
        <v>4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Q15" s="178" t="e">
        <f t="shared" ca="1" si="3"/>
        <v>#NAME?</v>
      </c>
      <c r="R15" t="e">
        <f t="shared" ca="1" si="4"/>
        <v>#NAME?</v>
      </c>
      <c r="S15" s="40"/>
      <c r="T15" s="178">
        <f t="shared" ca="1" si="5"/>
        <v>432</v>
      </c>
      <c r="U15" t="e">
        <f t="shared" ca="1" si="6"/>
        <v>#NAME?</v>
      </c>
      <c r="V15" s="40" t="e">
        <f t="array" aca="1" ref="V15" ca="1">IF(T15&lt;2,"",VAR(IF($F$4:$F$39=$Q15,IF($G$4:$G$39=$R15,$I$4:$I$39,""))))</f>
        <v>#NAME?</v>
      </c>
      <c r="X15" s="516" t="s">
        <v>1</v>
      </c>
      <c r="Y15" s="516" t="e">
        <f ca="1">V41*Z15</f>
        <v>#NAME?</v>
      </c>
      <c r="Z15" s="516">
        <f ca="1">T41-1</f>
        <v>431</v>
      </c>
      <c r="AA15" s="516" t="e">
        <f t="shared" ca="1" si="0"/>
        <v>#NAME?</v>
      </c>
      <c r="AB15" s="516"/>
      <c r="AC15" s="516"/>
      <c r="AD15" s="516"/>
    </row>
    <row r="16" spans="1:30" x14ac:dyDescent="0.25">
      <c r="A16" s="522">
        <v>2</v>
      </c>
      <c r="B16" s="522">
        <v>2</v>
      </c>
      <c r="C16" s="522">
        <v>1</v>
      </c>
      <c r="D16" s="522">
        <v>3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Q16" s="178" t="e">
        <f ca="1">$Q$7</f>
        <v>#NAME?</v>
      </c>
      <c r="R16" t="e">
        <f ca="1">$R8</f>
        <v>#NAME?</v>
      </c>
      <c r="S16" s="40"/>
      <c r="T16" s="178">
        <f t="shared" ca="1" si="5"/>
        <v>432</v>
      </c>
      <c r="U16" t="e">
        <f t="shared" ca="1" si="6"/>
        <v>#NAME?</v>
      </c>
      <c r="V16" s="40" t="e">
        <f t="array" aca="1" ref="V16" ca="1">IF(T16&lt;2,"",VAR(IF($F$4:$F$39=$Q16,IF($G$4:$G$39=$R16,$I$4:$I$39,""))))</f>
        <v>#NAME?</v>
      </c>
    </row>
    <row r="17" spans="1:22" x14ac:dyDescent="0.25">
      <c r="A17" s="522">
        <v>2</v>
      </c>
      <c r="B17" s="522">
        <v>2</v>
      </c>
      <c r="C17" s="522">
        <v>1</v>
      </c>
      <c r="D17" s="522">
        <v>2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Q17" s="178" t="e">
        <f t="shared" ref="Q17:Q18" ca="1" si="7">$Q$7</f>
        <v>#NAME?</v>
      </c>
      <c r="R17" t="e">
        <f t="shared" ref="R17:R18" ca="1" si="8">$R9</f>
        <v>#NAME?</v>
      </c>
      <c r="S17" s="40"/>
      <c r="T17" s="178">
        <f t="shared" ca="1" si="5"/>
        <v>432</v>
      </c>
      <c r="U17" t="e">
        <f t="shared" ca="1" si="6"/>
        <v>#NAME?</v>
      </c>
      <c r="V17" s="40" t="e">
        <f t="array" aca="1" ref="V17" ca="1">IF(T17&lt;2,"",VAR(IF($F$4:$F$39=$Q17,IF($G$4:$G$39=$R17,$I$4:$I$39,""))))</f>
        <v>#NAME?</v>
      </c>
    </row>
    <row r="18" spans="1:22" x14ac:dyDescent="0.25">
      <c r="A18" s="522">
        <v>2</v>
      </c>
      <c r="B18" s="522">
        <v>2</v>
      </c>
      <c r="C18" s="522">
        <v>1</v>
      </c>
      <c r="D18" s="522">
        <v>4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Q18" s="460" t="e">
        <f t="shared" ca="1" si="7"/>
        <v>#NAME?</v>
      </c>
      <c r="R18" s="461" t="e">
        <f t="shared" ca="1" si="8"/>
        <v>#NAME?</v>
      </c>
      <c r="S18" s="462"/>
      <c r="T18" s="460">
        <f t="shared" ca="1" si="5"/>
        <v>432</v>
      </c>
      <c r="U18" s="461" t="e">
        <f t="shared" ca="1" si="6"/>
        <v>#NAME?</v>
      </c>
      <c r="V18" s="462" t="e">
        <f t="array" aca="1" ref="V18" ca="1">IF(T18&lt;2,"",VAR(IF($F$4:$F$39=$Q18,IF($G$4:$G$39=$R18,$I$4:$I$39,""))))</f>
        <v>#NAME?</v>
      </c>
    </row>
    <row r="19" spans="1:22" x14ac:dyDescent="0.25">
      <c r="A19" s="522">
        <v>2</v>
      </c>
      <c r="B19" s="522">
        <v>3</v>
      </c>
      <c r="C19" s="522">
        <v>1</v>
      </c>
      <c r="D19" s="522">
        <v>1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Q19" s="380" t="e">
        <f ca="1">$Q$6</f>
        <v>#NAME?</v>
      </c>
      <c r="R19" s="381"/>
      <c r="S19" s="382" t="e">
        <f ca="1">$S11</f>
        <v>#NAME?</v>
      </c>
      <c r="T19" s="380">
        <f ca="1">SUMIFS($T$29:$T$40,$Q$29:$Q$40,Q19,$S$29:$S$40,S19)</f>
        <v>432</v>
      </c>
      <c r="U19" s="381" t="e">
        <f ca="1">IF(T19=0,"",AVERAGEIFS($I$4:$I$39,$F$4:$F$39,$Q19,$H$4:$H$39,$S19))</f>
        <v>#NAME?</v>
      </c>
      <c r="V19" s="382" t="e">
        <f t="array" aca="1" ref="V19" ca="1">IF(T19&lt;2,"",VAR(IF($F$4:$F$39=$Q19,IF($H$4:$H$39=$S19,$I$4:$I$39,""))))</f>
        <v>#NAME?</v>
      </c>
    </row>
    <row r="20" spans="1:22" x14ac:dyDescent="0.25">
      <c r="A20" s="522">
        <v>2</v>
      </c>
      <c r="B20" s="522">
        <v>3</v>
      </c>
      <c r="C20" s="522">
        <v>1</v>
      </c>
      <c r="D20" s="522">
        <v>3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Q20" s="178" t="e">
        <f ca="1">$Q$6</f>
        <v>#NAME?</v>
      </c>
      <c r="S20" s="40" t="e">
        <f ca="1">$S12</f>
        <v>#NAME?</v>
      </c>
      <c r="T20" s="178">
        <f t="shared" ref="T20:T22" ca="1" si="9">SUMIFS($T$29:$T$40,$Q$29:$Q$40,Q20,$S$29:$S$40,S20)</f>
        <v>432</v>
      </c>
      <c r="U20" t="e">
        <f t="shared" ref="U20:U22" ca="1" si="10">IF(T20=0,"",AVERAGEIFS($I$4:$I$39,$F$4:$F$39,$Q20,$H$4:$H$39,$S20))</f>
        <v>#NAME?</v>
      </c>
      <c r="V20" s="40" t="e">
        <f t="array" aca="1" ref="V20" ca="1">IF(T20&lt;2,"",VAR(IF($F$4:$F$39=$Q20,IF($H$4:$H$39=$S20,$I$4:$I$39,""))))</f>
        <v>#NAME?</v>
      </c>
    </row>
    <row r="21" spans="1:22" x14ac:dyDescent="0.25">
      <c r="A21" s="406">
        <v>2</v>
      </c>
      <c r="B21" s="406">
        <v>3</v>
      </c>
      <c r="C21" s="406">
        <v>1</v>
      </c>
      <c r="D21" s="406">
        <v>3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s="178" t="e">
        <f ca="1">$Q$7</f>
        <v>#NAME?</v>
      </c>
      <c r="S21" s="40" t="e">
        <f ca="1">$S11</f>
        <v>#NAME?</v>
      </c>
      <c r="T21" s="178">
        <f t="shared" ca="1" si="9"/>
        <v>432</v>
      </c>
      <c r="U21" t="e">
        <f t="shared" ca="1" si="10"/>
        <v>#NAME?</v>
      </c>
      <c r="V21" s="40" t="e">
        <f t="array" aca="1" ref="V21" ca="1">IF(T21&lt;2,"",VAR(IF($F$4:$F$39=$Q21,IF($H$4:$H$39=$S21,$I$4:$I$39,""))))</f>
        <v>#NAME?</v>
      </c>
    </row>
    <row r="22" spans="1:22" x14ac:dyDescent="0.25">
      <c r="A22" s="406">
        <v>1</v>
      </c>
      <c r="B22" s="406">
        <v>1</v>
      </c>
      <c r="C22" s="406">
        <v>2</v>
      </c>
      <c r="D22" s="406">
        <v>3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s="460" t="e">
        <f ca="1">$Q$7</f>
        <v>#NAME?</v>
      </c>
      <c r="R22" s="461"/>
      <c r="S22" s="462" t="e">
        <f ca="1">$S12</f>
        <v>#NAME?</v>
      </c>
      <c r="T22" s="460">
        <f t="shared" ca="1" si="9"/>
        <v>432</v>
      </c>
      <c r="U22" s="461" t="e">
        <f t="shared" ca="1" si="10"/>
        <v>#NAME?</v>
      </c>
      <c r="V22" s="462" t="e">
        <f t="array" aca="1" ref="V22" ca="1">IF(T22&lt;2,"",VAR(IF($F$4:$F$39=$Q22,IF($H$4:$H$39=$S22,$I$4:$I$39,""))))</f>
        <v>#NAME?</v>
      </c>
    </row>
    <row r="23" spans="1:22" x14ac:dyDescent="0.25">
      <c r="A23" s="406">
        <v>1</v>
      </c>
      <c r="B23" s="406">
        <v>1</v>
      </c>
      <c r="C23" s="406">
        <v>2</v>
      </c>
      <c r="D23" s="406">
        <v>2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  <c r="Q23" s="380"/>
      <c r="R23" s="381" t="e">
        <f ca="1">$R$8</f>
        <v>#NAME?</v>
      </c>
      <c r="S23" s="382" t="e">
        <f ca="1">$S11</f>
        <v>#NAME?</v>
      </c>
      <c r="T23" s="380">
        <f ca="1">SUMIFS($T$29:$T$40,$R$29:$R$40,R23,$S$29:$S$40,S23)</f>
        <v>432</v>
      </c>
      <c r="U23" s="381" t="e">
        <f ca="1">IF(T23=0,"",AVERAGEIFS($I$4:$I$39,$G$4:$G$39,$R23,$H$4:$H$39,$S23))</f>
        <v>#NAME?</v>
      </c>
      <c r="V23" s="382" t="e">
        <f t="array" aca="1" ref="V23" ca="1">IF(T23&lt;2,"",VAR(IF($G$4:$G$39=$R23,IF($H$4:$H$39=$S23,$I$4:$I$39,""))))</f>
        <v>#NAME?</v>
      </c>
    </row>
    <row r="24" spans="1:22" x14ac:dyDescent="0.25">
      <c r="A24" s="522">
        <v>1</v>
      </c>
      <c r="B24" s="522">
        <v>1</v>
      </c>
      <c r="C24" s="522">
        <v>2</v>
      </c>
      <c r="D24" s="522">
        <v>4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  <c r="Q24" s="178"/>
      <c r="R24" t="e">
        <f ca="1">$R$8</f>
        <v>#NAME?</v>
      </c>
      <c r="S24" s="40" t="e">
        <f ca="1">$S12</f>
        <v>#NAME?</v>
      </c>
      <c r="T24" s="178">
        <f t="shared" ref="T24:T28" ca="1" si="11">SUMIFS($T$29:$T$40,$R$29:$R$40,R24,$S$29:$S$40,S24)</f>
        <v>432</v>
      </c>
      <c r="U24" t="e">
        <f t="shared" ref="U24:U28" ca="1" si="12">IF(T24=0,"",AVERAGEIFS($I$4:$I$39,$G$4:$G$39,$R24,$H$4:$H$39,$S24))</f>
        <v>#NAME?</v>
      </c>
      <c r="V24" s="40" t="e">
        <f t="array" aca="1" ref="V24" ca="1">IF(T24&lt;2,"",VAR(IF($G$4:$G$39=$R24,IF($H$4:$H$39=$S24,$I$4:$I$39,""))))</f>
        <v>#NAME?</v>
      </c>
    </row>
    <row r="25" spans="1:22" x14ac:dyDescent="0.25">
      <c r="A25" s="522">
        <v>1</v>
      </c>
      <c r="B25" s="522">
        <v>2</v>
      </c>
      <c r="C25" s="522">
        <v>2</v>
      </c>
      <c r="D25" s="522">
        <v>2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  <c r="Q25" s="178"/>
      <c r="R25" t="e">
        <f ca="1">$R$9</f>
        <v>#NAME?</v>
      </c>
      <c r="S25" s="40" t="e">
        <f ca="1">$S11</f>
        <v>#NAME?</v>
      </c>
      <c r="T25" s="178">
        <f t="shared" ca="1" si="11"/>
        <v>432</v>
      </c>
      <c r="U25" t="e">
        <f t="shared" ca="1" si="12"/>
        <v>#NAME?</v>
      </c>
      <c r="V25" s="40" t="e">
        <f t="array" aca="1" ref="V25" ca="1">IF(T25&lt;2,"",VAR(IF($G$4:$G$39=$R25,IF($H$4:$H$39=$S25,$I$4:$I$39,""))))</f>
        <v>#NAME?</v>
      </c>
    </row>
    <row r="26" spans="1:22" x14ac:dyDescent="0.25">
      <c r="A26" s="522">
        <v>1</v>
      </c>
      <c r="B26" s="522">
        <v>2</v>
      </c>
      <c r="C26" s="522">
        <v>2</v>
      </c>
      <c r="D26" s="522">
        <v>3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  <c r="Q26" s="178"/>
      <c r="R26" t="e">
        <f ca="1">$R$9</f>
        <v>#NAME?</v>
      </c>
      <c r="S26" s="40" t="e">
        <f ca="1">$S12</f>
        <v>#NAME?</v>
      </c>
      <c r="T26" s="178">
        <f t="shared" ca="1" si="11"/>
        <v>432</v>
      </c>
      <c r="U26" t="e">
        <f t="shared" ca="1" si="12"/>
        <v>#NAME?</v>
      </c>
      <c r="V26" s="40" t="e">
        <f t="array" aca="1" ref="V26" ca="1">IF(T26&lt;2,"",VAR(IF($G$4:$G$39=$R26,IF($H$4:$H$39=$S26,$I$4:$I$39,""))))</f>
        <v>#NAME?</v>
      </c>
    </row>
    <row r="27" spans="1:22" x14ac:dyDescent="0.25">
      <c r="A27" s="522">
        <v>1</v>
      </c>
      <c r="B27" s="522">
        <v>2</v>
      </c>
      <c r="C27" s="522">
        <v>2</v>
      </c>
      <c r="D27" s="522">
        <v>1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  <c r="Q27" s="178"/>
      <c r="R27" t="e">
        <f ca="1">$R$10</f>
        <v>#NAME?</v>
      </c>
      <c r="S27" s="40" t="e">
        <f ca="1">$S11</f>
        <v>#NAME?</v>
      </c>
      <c r="T27" s="178">
        <f t="shared" ca="1" si="11"/>
        <v>432</v>
      </c>
      <c r="U27" t="e">
        <f t="shared" ca="1" si="12"/>
        <v>#NAME?</v>
      </c>
      <c r="V27" s="40" t="e">
        <f t="array" aca="1" ref="V27" ca="1">IF(T27&lt;2,"",VAR(IF($G$4:$G$39=$R27,IF($H$4:$H$39=$S27,$I$4:$I$39,""))))</f>
        <v>#NAME?</v>
      </c>
    </row>
    <row r="28" spans="1:22" x14ac:dyDescent="0.25">
      <c r="A28" s="522">
        <v>1</v>
      </c>
      <c r="B28" s="522">
        <v>3</v>
      </c>
      <c r="C28" s="522">
        <v>2</v>
      </c>
      <c r="D28" s="522">
        <v>5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Q28" s="460"/>
      <c r="R28" s="461" t="e">
        <f ca="1">$R$10</f>
        <v>#NAME?</v>
      </c>
      <c r="S28" s="462" t="e">
        <f ca="1">$S12</f>
        <v>#NAME?</v>
      </c>
      <c r="T28" s="460">
        <f t="shared" ca="1" si="11"/>
        <v>432</v>
      </c>
      <c r="U28" s="461" t="e">
        <f t="shared" ca="1" si="12"/>
        <v>#NAME?</v>
      </c>
      <c r="V28" s="462" t="e">
        <f t="array" aca="1" ref="V28" ca="1">IF(T28&lt;2,"",VAR(IF($G$4:$G$39=$R28,IF($H$4:$H$39=$S28,$I$4:$I$39,""))))</f>
        <v>#NAME?</v>
      </c>
    </row>
    <row r="29" spans="1:22" x14ac:dyDescent="0.25">
      <c r="A29" s="522">
        <v>1</v>
      </c>
      <c r="B29" s="522">
        <v>3</v>
      </c>
      <c r="C29" s="522">
        <v>2</v>
      </c>
      <c r="D29" s="522">
        <v>3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Q29" s="380" t="e">
        <f ca="1">$Q$6</f>
        <v>#NAME?</v>
      </c>
      <c r="R29" s="381" t="e">
        <f ca="1">R23</f>
        <v>#NAME?</v>
      </c>
      <c r="S29" s="382" t="e">
        <f ca="1">S23</f>
        <v>#NAME?</v>
      </c>
      <c r="T29" s="380">
        <f ca="1">COUNTIFS($F$4:$F$39,$Q29,$G$4:$G$39,$R29,$H$4:$H$39,$S29)</f>
        <v>36</v>
      </c>
      <c r="U29" s="381" t="e">
        <f ca="1">IF(T29=0,"",AVERAGEIFS($I$4:$I$39,$F$4:$F$39,$Q29,$G$4:$G$39,$R29,$H$4:$H$39,$S29))</f>
        <v>#NAME?</v>
      </c>
      <c r="V29" s="382" t="e">
        <f t="array" aca="1" ref="V29" ca="1">IF(T29&lt;2,"",VAR(IF($F$4:$F$39=$Q29,IF($G$4:$G$39=$R29,IF($H$4:$H$39=$S29,$I$4:$I$39,"")))))</f>
        <v>#NAME?</v>
      </c>
    </row>
    <row r="30" spans="1:22" x14ac:dyDescent="0.25">
      <c r="A30" s="522">
        <v>1</v>
      </c>
      <c r="B30" s="522">
        <v>3</v>
      </c>
      <c r="C30" s="522">
        <v>2</v>
      </c>
      <c r="D30" s="522">
        <v>3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  <c r="Q30" s="178" t="e">
        <f t="shared" ref="Q30:Q34" ca="1" si="13">$Q$6</f>
        <v>#NAME?</v>
      </c>
      <c r="R30" t="e">
        <f t="shared" ref="R30:S40" ca="1" si="14">R24</f>
        <v>#NAME?</v>
      </c>
      <c r="S30" s="40" t="e">
        <f t="shared" ca="1" si="14"/>
        <v>#NAME?</v>
      </c>
      <c r="T30" s="178">
        <f t="shared" ref="T30:T40" ca="1" si="15">COUNTIFS($F$4:$F$39,$Q30,$G$4:$G$39,$R30,$H$4:$H$39,$S30)</f>
        <v>36</v>
      </c>
      <c r="U30" t="e">
        <f t="shared" ref="U30:U40" ca="1" si="16">IF(T30=0,"",AVERAGEIFS($I$4:$I$39,$F$4:$F$39,$Q30,$G$4:$G$39,$R30,$H$4:$H$39,$S30))</f>
        <v>#NAME?</v>
      </c>
      <c r="V30" s="40" t="e">
        <f t="array" aca="1" ref="V30" ca="1">IF(T30&lt;2,"",VAR(IF($F$4:$F$39=$Q30,IF($G$4:$G$39=$R30,IF($H$4:$H$39=$S30,$I$4:$I$39,"")))))</f>
        <v>#NAME?</v>
      </c>
    </row>
    <row r="31" spans="1:22" x14ac:dyDescent="0.25">
      <c r="A31" s="522">
        <v>2</v>
      </c>
      <c r="B31" s="522">
        <v>1</v>
      </c>
      <c r="C31" s="522">
        <v>2</v>
      </c>
      <c r="D31" s="522">
        <v>2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  <c r="Q31" s="178" t="e">
        <f t="shared" ca="1" si="13"/>
        <v>#NAME?</v>
      </c>
      <c r="R31" t="e">
        <f t="shared" ca="1" si="14"/>
        <v>#NAME?</v>
      </c>
      <c r="S31" s="40" t="e">
        <f t="shared" ca="1" si="14"/>
        <v>#NAME?</v>
      </c>
      <c r="T31" s="178">
        <f t="shared" ca="1" si="15"/>
        <v>36</v>
      </c>
      <c r="U31" t="e">
        <f t="shared" ca="1" si="16"/>
        <v>#NAME?</v>
      </c>
      <c r="V31" s="40" t="e">
        <f t="array" aca="1" ref="V31" ca="1">IF(T31&lt;2,"",VAR(IF($F$4:$F$39=$Q31,IF($G$4:$G$39=$R31,IF($H$4:$H$39=$S31,$I$4:$I$39,"")))))</f>
        <v>#NAME?</v>
      </c>
    </row>
    <row r="32" spans="1:22" x14ac:dyDescent="0.25">
      <c r="A32" s="522">
        <v>2</v>
      </c>
      <c r="B32" s="522">
        <v>1</v>
      </c>
      <c r="C32" s="522">
        <v>2</v>
      </c>
      <c r="D32" s="522">
        <v>5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  <c r="Q32" s="178" t="e">
        <f t="shared" ca="1" si="13"/>
        <v>#NAME?</v>
      </c>
      <c r="R32" t="e">
        <f t="shared" ca="1" si="14"/>
        <v>#NAME?</v>
      </c>
      <c r="S32" s="40" t="e">
        <f t="shared" ca="1" si="14"/>
        <v>#NAME?</v>
      </c>
      <c r="T32" s="178">
        <f t="shared" ca="1" si="15"/>
        <v>36</v>
      </c>
      <c r="U32" t="e">
        <f t="shared" ca="1" si="16"/>
        <v>#NAME?</v>
      </c>
      <c r="V32" s="40" t="e">
        <f t="array" aca="1" ref="V32" ca="1">IF(T32&lt;2,"",VAR(IF($F$4:$F$39=$Q32,IF($G$4:$G$39=$R32,IF($H$4:$H$39=$S32,$I$4:$I$39,"")))))</f>
        <v>#NAME?</v>
      </c>
    </row>
    <row r="33" spans="1:22" x14ac:dyDescent="0.25">
      <c r="A33" s="522">
        <v>2</v>
      </c>
      <c r="B33" s="522">
        <v>1</v>
      </c>
      <c r="C33" s="522">
        <v>2</v>
      </c>
      <c r="D33" s="522">
        <v>1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  <c r="Q33" s="178" t="e">
        <f t="shared" ca="1" si="13"/>
        <v>#NAME?</v>
      </c>
      <c r="R33" t="e">
        <f t="shared" ca="1" si="14"/>
        <v>#NAME?</v>
      </c>
      <c r="S33" s="40" t="e">
        <f t="shared" ca="1" si="14"/>
        <v>#NAME?</v>
      </c>
      <c r="T33" s="178">
        <f t="shared" ca="1" si="15"/>
        <v>36</v>
      </c>
      <c r="U33" t="e">
        <f t="shared" ca="1" si="16"/>
        <v>#NAME?</v>
      </c>
      <c r="V33" s="40" t="e">
        <f t="array" aca="1" ref="V33" ca="1">IF(T33&lt;2,"",VAR(IF($F$4:$F$39=$Q33,IF($G$4:$G$39=$R33,IF($H$4:$H$39=$S33,$I$4:$I$39,"")))))</f>
        <v>#NAME?</v>
      </c>
    </row>
    <row r="34" spans="1:22" x14ac:dyDescent="0.25">
      <c r="A34" s="522">
        <v>2</v>
      </c>
      <c r="B34" s="522">
        <v>2</v>
      </c>
      <c r="C34" s="522">
        <v>2</v>
      </c>
      <c r="D34" s="522">
        <v>1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  <c r="Q34" s="178" t="e">
        <f t="shared" ca="1" si="13"/>
        <v>#NAME?</v>
      </c>
      <c r="R34" t="e">
        <f t="shared" ca="1" si="14"/>
        <v>#NAME?</v>
      </c>
      <c r="S34" s="40" t="e">
        <f t="shared" ca="1" si="14"/>
        <v>#NAME?</v>
      </c>
      <c r="T34" s="178">
        <f t="shared" ca="1" si="15"/>
        <v>36</v>
      </c>
      <c r="U34" t="e">
        <f t="shared" ca="1" si="16"/>
        <v>#NAME?</v>
      </c>
      <c r="V34" s="40" t="e">
        <f t="array" aca="1" ref="V34" ca="1">IF(T34&lt;2,"",VAR(IF($F$4:$F$39=$Q34,IF($G$4:$G$39=$R34,IF($H$4:$H$39=$S34,$I$4:$I$39,"")))))</f>
        <v>#NAME?</v>
      </c>
    </row>
    <row r="35" spans="1:22" x14ac:dyDescent="0.25">
      <c r="A35" s="522">
        <v>2</v>
      </c>
      <c r="B35" s="522">
        <v>2</v>
      </c>
      <c r="C35" s="522">
        <v>2</v>
      </c>
      <c r="D35" s="522">
        <v>3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  <c r="Q35" s="178" t="e">
        <f ca="1">$Q$7</f>
        <v>#NAME?</v>
      </c>
      <c r="R35" t="e">
        <f t="shared" ca="1" si="14"/>
        <v>#NAME?</v>
      </c>
      <c r="S35" s="40" t="e">
        <f t="shared" ca="1" si="14"/>
        <v>#NAME?</v>
      </c>
      <c r="T35" s="178">
        <f t="shared" ca="1" si="15"/>
        <v>36</v>
      </c>
      <c r="U35" t="e">
        <f t="shared" ca="1" si="16"/>
        <v>#NAME?</v>
      </c>
      <c r="V35" s="40" t="e">
        <f t="array" aca="1" ref="V35" ca="1">IF(T35&lt;2,"",VAR(IF($F$4:$F$39=$Q35,IF($G$4:$G$39=$R35,IF($H$4:$H$39=$S35,$I$4:$I$39,"")))))</f>
        <v>#NAME?</v>
      </c>
    </row>
    <row r="36" spans="1:22" x14ac:dyDescent="0.25">
      <c r="A36" s="522">
        <v>2</v>
      </c>
      <c r="B36" s="522">
        <v>2</v>
      </c>
      <c r="C36" s="522">
        <v>2</v>
      </c>
      <c r="D36" s="522">
        <v>5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  <c r="Q36" s="178" t="e">
        <f t="shared" ref="Q36:Q40" ca="1" si="17">$Q$7</f>
        <v>#NAME?</v>
      </c>
      <c r="R36" t="e">
        <f t="shared" ca="1" si="14"/>
        <v>#NAME?</v>
      </c>
      <c r="S36" s="40" t="e">
        <f t="shared" ca="1" si="14"/>
        <v>#NAME?</v>
      </c>
      <c r="T36" s="178">
        <f t="shared" ca="1" si="15"/>
        <v>36</v>
      </c>
      <c r="U36" t="e">
        <f t="shared" ca="1" si="16"/>
        <v>#NAME?</v>
      </c>
      <c r="V36" s="40" t="e">
        <f t="array" aca="1" ref="V36" ca="1">IF(T36&lt;2,"",VAR(IF($F$4:$F$39=$Q36,IF($G$4:$G$39=$R36,IF($H$4:$H$39=$S36,$I$4:$I$39,"")))))</f>
        <v>#NAME?</v>
      </c>
    </row>
    <row r="37" spans="1:22" x14ac:dyDescent="0.25">
      <c r="A37" s="522">
        <v>2</v>
      </c>
      <c r="B37" s="522">
        <v>3</v>
      </c>
      <c r="C37" s="522">
        <v>2</v>
      </c>
      <c r="D37" s="522">
        <v>1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  <c r="Q37" s="178" t="e">
        <f t="shared" ca="1" si="17"/>
        <v>#NAME?</v>
      </c>
      <c r="R37" t="e">
        <f t="shared" ca="1" si="14"/>
        <v>#NAME?</v>
      </c>
      <c r="S37" s="40" t="e">
        <f t="shared" ca="1" si="14"/>
        <v>#NAME?</v>
      </c>
      <c r="T37" s="178">
        <f t="shared" ca="1" si="15"/>
        <v>36</v>
      </c>
      <c r="U37" t="e">
        <f t="shared" ca="1" si="16"/>
        <v>#NAME?</v>
      </c>
      <c r="V37" s="40" t="e">
        <f t="array" aca="1" ref="V37" ca="1">IF(T37&lt;2,"",VAR(IF($F$4:$F$39=$Q37,IF($G$4:$G$39=$R37,IF($H$4:$H$39=$S37,$I$4:$I$39,"")))))</f>
        <v>#NAME?</v>
      </c>
    </row>
    <row r="38" spans="1:22" x14ac:dyDescent="0.25">
      <c r="A38" s="522">
        <v>2</v>
      </c>
      <c r="B38" s="522">
        <v>3</v>
      </c>
      <c r="C38" s="522">
        <v>2</v>
      </c>
      <c r="D38" s="522">
        <v>2</v>
      </c>
      <c r="F38" s="7" t="e">
        <f ca="1"/>
        <v>#NAME?</v>
      </c>
      <c r="G38" s="7" t="e">
        <f ca="1"/>
        <v>#NAME?</v>
      </c>
      <c r="H38" s="7" t="e">
        <f ca="1"/>
        <v>#NAME?</v>
      </c>
      <c r="I38" s="7" t="e">
        <f ca="1"/>
        <v>#NAME?</v>
      </c>
      <c r="J38" s="7" t="e">
        <f ca="1"/>
        <v>#NAME?</v>
      </c>
      <c r="K38" s="7" t="e">
        <f ca="1"/>
        <v>#NAME?</v>
      </c>
      <c r="L38" s="7" t="e">
        <f ca="1"/>
        <v>#NAME?</v>
      </c>
      <c r="M38" s="7" t="e">
        <f ca="1"/>
        <v>#NAME?</v>
      </c>
      <c r="N38" s="7" t="e">
        <f ca="1"/>
        <v>#NAME?</v>
      </c>
      <c r="O38" s="7" t="e">
        <f ca="1"/>
        <v>#NAME?</v>
      </c>
      <c r="Q38" s="178" t="e">
        <f t="shared" ca="1" si="17"/>
        <v>#NAME?</v>
      </c>
      <c r="R38" t="e">
        <f t="shared" ca="1" si="14"/>
        <v>#NAME?</v>
      </c>
      <c r="S38" s="40" t="e">
        <f t="shared" ca="1" si="14"/>
        <v>#NAME?</v>
      </c>
      <c r="T38" s="178">
        <f t="shared" ca="1" si="15"/>
        <v>36</v>
      </c>
      <c r="U38" t="e">
        <f t="shared" ca="1" si="16"/>
        <v>#NAME?</v>
      </c>
      <c r="V38" s="40" t="e">
        <f t="array" aca="1" ref="V38" ca="1">IF(T38&lt;2,"",VAR(IF($F$4:$F$39=$Q38,IF($G$4:$G$39=$R38,IF($H$4:$H$39=$S38,$I$4:$I$39,"")))))</f>
        <v>#NAME?</v>
      </c>
    </row>
    <row r="39" spans="1:22" x14ac:dyDescent="0.25">
      <c r="A39" s="526">
        <v>2</v>
      </c>
      <c r="B39" s="526">
        <v>3</v>
      </c>
      <c r="C39" s="526">
        <v>2</v>
      </c>
      <c r="D39" s="526">
        <v>5</v>
      </c>
      <c r="F39" s="516" t="e">
        <f ca="1"/>
        <v>#NAME?</v>
      </c>
      <c r="G39" s="516" t="e">
        <f ca="1"/>
        <v>#NAME?</v>
      </c>
      <c r="H39" s="516" t="e">
        <f ca="1"/>
        <v>#NAME?</v>
      </c>
      <c r="I39" s="516" t="e">
        <f ca="1"/>
        <v>#NAME?</v>
      </c>
      <c r="J39" s="516" t="e">
        <f ca="1"/>
        <v>#NAME?</v>
      </c>
      <c r="K39" s="516" t="e">
        <f ca="1"/>
        <v>#NAME?</v>
      </c>
      <c r="L39" s="516" t="e">
        <f ca="1"/>
        <v>#NAME?</v>
      </c>
      <c r="M39" s="516" t="e">
        <f ca="1"/>
        <v>#NAME?</v>
      </c>
      <c r="N39" s="516" t="e">
        <f ca="1"/>
        <v>#NAME?</v>
      </c>
      <c r="O39" s="516" t="e">
        <f ca="1"/>
        <v>#NAME?</v>
      </c>
      <c r="Q39" s="178" t="e">
        <f t="shared" ca="1" si="17"/>
        <v>#NAME?</v>
      </c>
      <c r="R39" t="e">
        <f t="shared" ca="1" si="14"/>
        <v>#NAME?</v>
      </c>
      <c r="S39" s="40" t="e">
        <f t="shared" ca="1" si="14"/>
        <v>#NAME?</v>
      </c>
      <c r="T39" s="178">
        <f t="shared" ca="1" si="15"/>
        <v>36</v>
      </c>
      <c r="U39" t="e">
        <f t="shared" ca="1" si="16"/>
        <v>#NAME?</v>
      </c>
      <c r="V39" s="40" t="e">
        <f t="array" aca="1" ref="V39" ca="1">IF(T39&lt;2,"",VAR(IF($F$4:$F$39=$Q39,IF($G$4:$G$39=$R39,IF($H$4:$H$39=$S39,$I$4:$I$39,"")))))</f>
        <v>#NAME?</v>
      </c>
    </row>
    <row r="40" spans="1:22" x14ac:dyDescent="0.25">
      <c r="Q40" s="460" t="e">
        <f t="shared" ca="1" si="17"/>
        <v>#NAME?</v>
      </c>
      <c r="R40" s="461" t="e">
        <f t="shared" ca="1" si="14"/>
        <v>#NAME?</v>
      </c>
      <c r="S40" s="462" t="e">
        <f t="shared" ca="1" si="14"/>
        <v>#NAME?</v>
      </c>
      <c r="T40" s="460">
        <f t="shared" ca="1" si="15"/>
        <v>36</v>
      </c>
      <c r="U40" s="461" t="e">
        <f t="shared" ca="1" si="16"/>
        <v>#NAME?</v>
      </c>
      <c r="V40" s="462" t="e">
        <f t="array" aca="1" ref="V40" ca="1">IF(T40&lt;2,"",VAR(IF($F$4:$F$39=$Q40,IF($G$4:$G$39=$R40,IF($H$4:$H$39=$S40,$I$4:$I$39,"")))))</f>
        <v>#NAME?</v>
      </c>
    </row>
    <row r="41" spans="1:22" x14ac:dyDescent="0.25">
      <c r="T41">
        <f ca="1">SUM(T29:T40)</f>
        <v>432</v>
      </c>
      <c r="U41" t="e">
        <f ca="1">AVERAGE(I4:I39)</f>
        <v>#NAME?</v>
      </c>
      <c r="V41" t="e">
        <f ca="1">_xlfn.VAR.S(I4:I39)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R37"/>
  <sheetViews>
    <sheetView workbookViewId="0"/>
  </sheetViews>
  <sheetFormatPr defaultRowHeight="15" x14ac:dyDescent="0.25"/>
  <cols>
    <col min="1" max="3" width="8.140625" customWidth="1"/>
    <col min="4" max="4" width="5.85546875" customWidth="1"/>
    <col min="8" max="8" width="7.140625" customWidth="1"/>
    <col min="9" max="9" width="17.85546875" customWidth="1"/>
    <col min="10" max="10" width="10.5703125" customWidth="1"/>
    <col min="11" max="11" width="14.7109375" customWidth="1"/>
    <col min="12" max="13" width="10.5703125" customWidth="1"/>
    <col min="14" max="14" width="12.140625" customWidth="1"/>
    <col min="15" max="15" width="11.140625" customWidth="1"/>
  </cols>
  <sheetData>
    <row r="1" spans="1:18" x14ac:dyDescent="0.25">
      <c r="A1" s="1" t="s">
        <v>215</v>
      </c>
    </row>
    <row r="2" spans="1:18" x14ac:dyDescent="0.25">
      <c r="E2" s="587" t="s">
        <v>216</v>
      </c>
      <c r="F2" s="587"/>
      <c r="G2" s="587"/>
      <c r="I2" t="s">
        <v>97</v>
      </c>
      <c r="Q2" t="s">
        <v>76</v>
      </c>
    </row>
    <row r="3" spans="1:18" ht="15.75" thickBot="1" x14ac:dyDescent="0.3">
      <c r="A3" s="48" t="s">
        <v>122</v>
      </c>
      <c r="B3" s="48" t="s">
        <v>123</v>
      </c>
      <c r="C3" s="48" t="s">
        <v>124</v>
      </c>
      <c r="E3" s="89" t="s">
        <v>32</v>
      </c>
      <c r="F3" s="89" t="s">
        <v>217</v>
      </c>
      <c r="G3" s="89" t="s">
        <v>218</v>
      </c>
    </row>
    <row r="4" spans="1:18" ht="17.25" x14ac:dyDescent="0.25">
      <c r="A4" s="37">
        <v>16</v>
      </c>
      <c r="B4" s="37">
        <v>7</v>
      </c>
      <c r="C4" s="85">
        <v>15</v>
      </c>
      <c r="E4" s="37">
        <v>16</v>
      </c>
      <c r="F4" s="104">
        <v>1</v>
      </c>
      <c r="G4" s="104">
        <v>0</v>
      </c>
      <c r="I4" s="19" t="s">
        <v>98</v>
      </c>
      <c r="J4" s="19"/>
      <c r="Q4" s="27" t="s">
        <v>227</v>
      </c>
      <c r="R4" s="184">
        <f>(K13-J13*L14)/(K15+L14)</f>
        <v>-3.888213851761859E-2</v>
      </c>
    </row>
    <row r="5" spans="1:18" x14ac:dyDescent="0.25">
      <c r="A5" s="37">
        <v>8</v>
      </c>
      <c r="B5" s="37">
        <v>14</v>
      </c>
      <c r="C5" s="85">
        <v>12</v>
      </c>
      <c r="E5" s="37">
        <v>8</v>
      </c>
      <c r="F5" s="104">
        <v>1</v>
      </c>
      <c r="G5" s="104">
        <v>0</v>
      </c>
      <c r="I5" s="17" t="s">
        <v>99</v>
      </c>
      <c r="J5" s="17">
        <v>0.28502265002126576</v>
      </c>
      <c r="Q5" s="27" t="s">
        <v>362</v>
      </c>
      <c r="R5" s="175">
        <f>SQRT(ABS(R4))</f>
        <v>0.19718554337886587</v>
      </c>
    </row>
    <row r="6" spans="1:18" x14ac:dyDescent="0.25">
      <c r="A6" s="37">
        <v>14</v>
      </c>
      <c r="B6" s="37">
        <v>10</v>
      </c>
      <c r="C6" s="85">
        <v>11</v>
      </c>
      <c r="E6" s="37">
        <v>14</v>
      </c>
      <c r="F6" s="104">
        <v>1</v>
      </c>
      <c r="G6" s="104">
        <v>0</v>
      </c>
      <c r="I6" s="17" t="s">
        <v>96</v>
      </c>
      <c r="J6" s="17">
        <v>8.1237911025144952E-2</v>
      </c>
    </row>
    <row r="7" spans="1:18" x14ac:dyDescent="0.25">
      <c r="A7" s="37">
        <v>12</v>
      </c>
      <c r="B7" s="37">
        <v>12</v>
      </c>
      <c r="C7" s="85">
        <v>17</v>
      </c>
      <c r="E7" s="37">
        <v>12</v>
      </c>
      <c r="F7" s="104">
        <v>1</v>
      </c>
      <c r="G7" s="104">
        <v>0</v>
      </c>
      <c r="I7" s="17" t="s">
        <v>100</v>
      </c>
      <c r="J7" s="17">
        <v>-4.1263700838169062E-2</v>
      </c>
    </row>
    <row r="8" spans="1:18" x14ac:dyDescent="0.25">
      <c r="A8" s="37">
        <v>15</v>
      </c>
      <c r="B8" s="37">
        <v>8</v>
      </c>
      <c r="C8" s="85">
        <v>20</v>
      </c>
      <c r="E8" s="37">
        <v>15</v>
      </c>
      <c r="F8" s="104">
        <v>1</v>
      </c>
      <c r="G8" s="104">
        <v>0</v>
      </c>
      <c r="I8" s="17" t="s">
        <v>8</v>
      </c>
      <c r="J8" s="17">
        <v>3.9791121287711078</v>
      </c>
    </row>
    <row r="9" spans="1:18" ht="15.75" thickBot="1" x14ac:dyDescent="0.3">
      <c r="A9" s="86">
        <v>7</v>
      </c>
      <c r="B9" s="86">
        <v>18</v>
      </c>
      <c r="C9" s="86">
        <v>9</v>
      </c>
      <c r="E9" s="37">
        <v>7</v>
      </c>
      <c r="F9" s="104">
        <v>1</v>
      </c>
      <c r="G9" s="104">
        <v>0</v>
      </c>
      <c r="I9" s="18" t="s">
        <v>63</v>
      </c>
      <c r="J9" s="18">
        <v>18</v>
      </c>
    </row>
    <row r="10" spans="1:18" x14ac:dyDescent="0.25">
      <c r="A10" s="37"/>
      <c r="B10" s="37"/>
      <c r="C10" s="85"/>
      <c r="E10" s="37">
        <v>7</v>
      </c>
      <c r="F10" s="104">
        <v>0</v>
      </c>
      <c r="G10" s="104">
        <v>1</v>
      </c>
    </row>
    <row r="11" spans="1:18" ht="15.75" thickBot="1" x14ac:dyDescent="0.3">
      <c r="A11" s="37"/>
      <c r="B11" s="37"/>
      <c r="C11" s="85"/>
      <c r="E11" s="37">
        <v>14</v>
      </c>
      <c r="F11" s="104">
        <v>0</v>
      </c>
      <c r="G11" s="104">
        <v>1</v>
      </c>
      <c r="I11" t="s">
        <v>101</v>
      </c>
    </row>
    <row r="12" spans="1:18" x14ac:dyDescent="0.25">
      <c r="A12" s="37"/>
      <c r="B12" s="37"/>
      <c r="C12" s="85"/>
      <c r="E12" s="37">
        <v>10</v>
      </c>
      <c r="F12" s="104">
        <v>0</v>
      </c>
      <c r="G12" s="104">
        <v>1</v>
      </c>
      <c r="I12" s="87"/>
      <c r="J12" s="87" t="s">
        <v>51</v>
      </c>
      <c r="K12" s="87" t="s">
        <v>88</v>
      </c>
      <c r="L12" s="87" t="s">
        <v>92</v>
      </c>
      <c r="M12" s="87" t="s">
        <v>82</v>
      </c>
      <c r="N12" s="87" t="s">
        <v>104</v>
      </c>
    </row>
    <row r="13" spans="1:18" x14ac:dyDescent="0.25">
      <c r="A13" s="37"/>
      <c r="B13" s="37"/>
      <c r="C13" s="85"/>
      <c r="E13" s="37">
        <v>12</v>
      </c>
      <c r="F13" s="104">
        <v>0</v>
      </c>
      <c r="G13" s="104">
        <v>1</v>
      </c>
      <c r="I13" s="17" t="s">
        <v>91</v>
      </c>
      <c r="J13" s="17">
        <v>2</v>
      </c>
      <c r="K13" s="17">
        <v>20.999999999999972</v>
      </c>
      <c r="L13" s="17">
        <v>10.499999999999986</v>
      </c>
      <c r="M13" s="17">
        <v>0.66315789473684106</v>
      </c>
      <c r="N13" s="17">
        <v>0.52969149408120253</v>
      </c>
    </row>
    <row r="14" spans="1:18" x14ac:dyDescent="0.25">
      <c r="A14" s="37"/>
      <c r="B14" s="37"/>
      <c r="C14" s="85"/>
      <c r="E14" s="37">
        <v>8</v>
      </c>
      <c r="F14" s="104">
        <v>0</v>
      </c>
      <c r="G14" s="104">
        <v>1</v>
      </c>
      <c r="I14" s="17" t="s">
        <v>102</v>
      </c>
      <c r="J14" s="17">
        <v>15</v>
      </c>
      <c r="K14" s="17">
        <v>237.50000000000003</v>
      </c>
      <c r="L14" s="17">
        <v>15.833333333333336</v>
      </c>
      <c r="M14" s="17"/>
      <c r="N14" s="17"/>
    </row>
    <row r="15" spans="1:18" ht="15.75" thickBot="1" x14ac:dyDescent="0.3">
      <c r="A15" s="37"/>
      <c r="B15" s="37"/>
      <c r="C15" s="85"/>
      <c r="E15" s="37">
        <v>18</v>
      </c>
      <c r="F15" s="104">
        <v>0</v>
      </c>
      <c r="G15" s="104">
        <v>1</v>
      </c>
      <c r="I15" s="18" t="s">
        <v>1</v>
      </c>
      <c r="J15" s="18">
        <v>17</v>
      </c>
      <c r="K15" s="18">
        <v>258.5</v>
      </c>
      <c r="L15" s="18"/>
      <c r="M15" s="18"/>
      <c r="N15" s="18"/>
    </row>
    <row r="16" spans="1:18" ht="15.75" thickBot="1" x14ac:dyDescent="0.3">
      <c r="A16" s="37"/>
      <c r="B16" s="37"/>
      <c r="C16" s="85"/>
      <c r="E16" s="85">
        <v>15</v>
      </c>
      <c r="F16" s="105">
        <v>0</v>
      </c>
      <c r="G16" s="105">
        <v>0</v>
      </c>
    </row>
    <row r="17" spans="1:15" x14ac:dyDescent="0.25">
      <c r="A17" s="37"/>
      <c r="B17" s="37"/>
      <c r="C17" s="85"/>
      <c r="E17" s="85">
        <v>12</v>
      </c>
      <c r="F17" s="105">
        <v>0</v>
      </c>
      <c r="G17" s="105">
        <v>0</v>
      </c>
      <c r="I17" s="87"/>
      <c r="J17" s="87" t="s">
        <v>105</v>
      </c>
      <c r="K17" s="87" t="s">
        <v>8</v>
      </c>
      <c r="L17" s="87" t="s">
        <v>64</v>
      </c>
      <c r="M17" s="87" t="s">
        <v>74</v>
      </c>
      <c r="N17" s="87" t="s">
        <v>106</v>
      </c>
      <c r="O17" s="87" t="s">
        <v>107</v>
      </c>
    </row>
    <row r="18" spans="1:15" x14ac:dyDescent="0.25">
      <c r="E18" s="85">
        <v>11</v>
      </c>
      <c r="F18" s="105">
        <v>0</v>
      </c>
      <c r="G18" s="105">
        <v>0</v>
      </c>
      <c r="I18" s="17" t="s">
        <v>103</v>
      </c>
      <c r="J18" s="17">
        <v>14</v>
      </c>
      <c r="K18" s="17">
        <v>1.6244657241348277</v>
      </c>
      <c r="L18" s="17">
        <v>8.6182181575152921</v>
      </c>
      <c r="M18" s="17">
        <v>3.4027731523469263E-7</v>
      </c>
      <c r="N18" s="17">
        <v>10.537533270515393</v>
      </c>
      <c r="O18" s="17">
        <v>17.462466729484607</v>
      </c>
    </row>
    <row r="19" spans="1:15" x14ac:dyDescent="0.25">
      <c r="E19" s="85">
        <v>17</v>
      </c>
      <c r="F19" s="105">
        <v>0</v>
      </c>
      <c r="G19" s="105">
        <v>0</v>
      </c>
      <c r="I19" s="17" t="s">
        <v>217</v>
      </c>
      <c r="J19" s="17">
        <v>-1.9999999999999998</v>
      </c>
      <c r="K19" s="17">
        <v>2.2973414586817031</v>
      </c>
      <c r="L19" s="17">
        <v>-0.87057150013201412</v>
      </c>
      <c r="M19" s="17">
        <v>0.39770691285569448</v>
      </c>
      <c r="N19" s="17">
        <v>-6.8966674081027453</v>
      </c>
      <c r="O19" s="17">
        <v>2.8966674081027453</v>
      </c>
    </row>
    <row r="20" spans="1:15" ht="15.75" thickBot="1" x14ac:dyDescent="0.3">
      <c r="E20" s="85">
        <v>20</v>
      </c>
      <c r="F20" s="105">
        <v>0</v>
      </c>
      <c r="G20" s="105">
        <v>0</v>
      </c>
      <c r="I20" s="18" t="s">
        <v>218</v>
      </c>
      <c r="J20" s="18">
        <v>-2.5</v>
      </c>
      <c r="K20" s="18">
        <v>2.297341458681704</v>
      </c>
      <c r="L20" s="18">
        <v>-1.0882143751650173</v>
      </c>
      <c r="M20" s="18">
        <v>0.29367674527164767</v>
      </c>
      <c r="N20" s="18">
        <v>-7.396667408102747</v>
      </c>
      <c r="O20" s="18">
        <v>2.396667408102747</v>
      </c>
    </row>
    <row r="21" spans="1:15" x14ac:dyDescent="0.25">
      <c r="E21" s="86">
        <v>9</v>
      </c>
      <c r="F21" s="106">
        <v>0</v>
      </c>
      <c r="G21" s="106">
        <v>0</v>
      </c>
    </row>
    <row r="23" spans="1:15" x14ac:dyDescent="0.25">
      <c r="I23" t="s">
        <v>133</v>
      </c>
    </row>
    <row r="25" spans="1:15" ht="15.75" thickBot="1" x14ac:dyDescent="0.3">
      <c r="I25" t="s">
        <v>52</v>
      </c>
    </row>
    <row r="26" spans="1:15" x14ac:dyDescent="0.25">
      <c r="I26" s="87" t="s">
        <v>61</v>
      </c>
      <c r="J26" s="87" t="s">
        <v>19</v>
      </c>
      <c r="K26" s="87" t="s">
        <v>18</v>
      </c>
      <c r="L26" s="87" t="s">
        <v>134</v>
      </c>
      <c r="M26" s="87" t="s">
        <v>62</v>
      </c>
    </row>
    <row r="27" spans="1:15" x14ac:dyDescent="0.25">
      <c r="I27" s="17" t="s">
        <v>122</v>
      </c>
      <c r="J27" s="17">
        <v>6</v>
      </c>
      <c r="K27" s="17">
        <v>72</v>
      </c>
      <c r="L27" s="17">
        <v>12</v>
      </c>
      <c r="M27" s="17">
        <v>14</v>
      </c>
    </row>
    <row r="28" spans="1:15" x14ac:dyDescent="0.25">
      <c r="I28" s="17" t="s">
        <v>123</v>
      </c>
      <c r="J28" s="17">
        <v>6</v>
      </c>
      <c r="K28" s="17">
        <v>69</v>
      </c>
      <c r="L28" s="17">
        <v>11.5</v>
      </c>
      <c r="M28" s="17">
        <v>16.7</v>
      </c>
    </row>
    <row r="29" spans="1:15" ht="15.75" thickBot="1" x14ac:dyDescent="0.3">
      <c r="I29" s="18" t="s">
        <v>124</v>
      </c>
      <c r="J29" s="18">
        <v>6</v>
      </c>
      <c r="K29" s="18">
        <v>84</v>
      </c>
      <c r="L29" s="18">
        <v>14</v>
      </c>
      <c r="M29" s="18">
        <v>16.8</v>
      </c>
    </row>
    <row r="32" spans="1:15" ht="15.75" thickBot="1" x14ac:dyDescent="0.3">
      <c r="I32" t="s">
        <v>101</v>
      </c>
    </row>
    <row r="33" spans="9:15" x14ac:dyDescent="0.25">
      <c r="I33" s="87" t="s">
        <v>135</v>
      </c>
      <c r="J33" s="87" t="s">
        <v>88</v>
      </c>
      <c r="K33" s="87" t="s">
        <v>51</v>
      </c>
      <c r="L33" s="87" t="s">
        <v>92</v>
      </c>
      <c r="M33" s="87" t="s">
        <v>82</v>
      </c>
      <c r="N33" s="87" t="s">
        <v>74</v>
      </c>
      <c r="O33" s="87" t="s">
        <v>136</v>
      </c>
    </row>
    <row r="34" spans="9:15" x14ac:dyDescent="0.25">
      <c r="I34" s="17" t="s">
        <v>131</v>
      </c>
      <c r="J34" s="17">
        <v>21</v>
      </c>
      <c r="K34" s="17">
        <v>2</v>
      </c>
      <c r="L34" s="17">
        <v>10.5</v>
      </c>
      <c r="M34" s="17">
        <v>0.66315789473684206</v>
      </c>
      <c r="N34" s="17">
        <v>0.52969149408120197</v>
      </c>
      <c r="O34" s="17">
        <v>3.6823203436732408</v>
      </c>
    </row>
    <row r="35" spans="9:15" x14ac:dyDescent="0.25">
      <c r="I35" s="17" t="s">
        <v>132</v>
      </c>
      <c r="J35" s="17">
        <v>237.5</v>
      </c>
      <c r="K35" s="17">
        <v>15</v>
      </c>
      <c r="L35" s="17">
        <v>15.833333333333334</v>
      </c>
      <c r="M35" s="17"/>
      <c r="N35" s="17"/>
      <c r="O35" s="17"/>
    </row>
    <row r="36" spans="9:15" x14ac:dyDescent="0.25">
      <c r="I36" s="17"/>
      <c r="J36" s="17"/>
      <c r="K36" s="17"/>
      <c r="L36" s="17"/>
      <c r="M36" s="17"/>
      <c r="N36" s="17"/>
      <c r="O36" s="17"/>
    </row>
    <row r="37" spans="9:15" ht="15.75" thickBot="1" x14ac:dyDescent="0.3">
      <c r="I37" s="18" t="s">
        <v>1</v>
      </c>
      <c r="J37" s="18">
        <v>258.5</v>
      </c>
      <c r="K37" s="18">
        <v>17</v>
      </c>
      <c r="L37" s="18"/>
      <c r="M37" s="18"/>
      <c r="N37" s="18"/>
      <c r="O37" s="18"/>
    </row>
  </sheetData>
  <mergeCells count="1">
    <mergeCell ref="E2:G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U37"/>
  <sheetViews>
    <sheetView workbookViewId="0"/>
  </sheetViews>
  <sheetFormatPr defaultRowHeight="15" x14ac:dyDescent="0.25"/>
  <cols>
    <col min="1" max="3" width="8.140625" customWidth="1"/>
    <col min="4" max="4" width="5.85546875" customWidth="1"/>
    <col min="8" max="8" width="7.140625" customWidth="1"/>
    <col min="9" max="9" width="17.85546875" customWidth="1"/>
    <col min="10" max="10" width="10.5703125" customWidth="1"/>
    <col min="11" max="11" width="14.7109375" customWidth="1"/>
    <col min="12" max="13" width="10.5703125" customWidth="1"/>
    <col min="14" max="14" width="12.140625" customWidth="1"/>
    <col min="15" max="16" width="11.140625" customWidth="1"/>
  </cols>
  <sheetData>
    <row r="1" spans="1:21" x14ac:dyDescent="0.25">
      <c r="A1" s="1" t="s">
        <v>215</v>
      </c>
    </row>
    <row r="2" spans="1:21" x14ac:dyDescent="0.25">
      <c r="E2" s="587" t="s">
        <v>216</v>
      </c>
      <c r="F2" s="587"/>
      <c r="G2" s="587"/>
      <c r="I2" t="s">
        <v>97</v>
      </c>
      <c r="R2" t="s">
        <v>219</v>
      </c>
    </row>
    <row r="3" spans="1:21" ht="15.75" thickBot="1" x14ac:dyDescent="0.3">
      <c r="A3" s="48" t="s">
        <v>122</v>
      </c>
      <c r="B3" s="48" t="s">
        <v>123</v>
      </c>
      <c r="C3" s="48" t="s">
        <v>124</v>
      </c>
      <c r="E3" s="89" t="s">
        <v>32</v>
      </c>
      <c r="F3" s="89" t="s">
        <v>217</v>
      </c>
      <c r="G3" s="89" t="s">
        <v>218</v>
      </c>
    </row>
    <row r="4" spans="1:21" x14ac:dyDescent="0.25">
      <c r="A4" s="37">
        <v>16</v>
      </c>
      <c r="B4" s="37">
        <v>7</v>
      </c>
      <c r="C4" s="85">
        <v>15</v>
      </c>
      <c r="E4" s="37">
        <v>16</v>
      </c>
      <c r="F4" s="104">
        <v>1</v>
      </c>
      <c r="G4" s="104">
        <v>0</v>
      </c>
      <c r="I4" s="19" t="s">
        <v>98</v>
      </c>
      <c r="J4" s="19"/>
      <c r="R4" s="37" t="s">
        <v>122</v>
      </c>
      <c r="S4" s="37" t="s">
        <v>123</v>
      </c>
      <c r="T4" s="37" t="s">
        <v>124</v>
      </c>
      <c r="U4" s="7"/>
    </row>
    <row r="5" spans="1:21" x14ac:dyDescent="0.25">
      <c r="A5" s="37">
        <v>8</v>
      </c>
      <c r="B5" s="37">
        <v>14</v>
      </c>
      <c r="C5" s="85">
        <v>12</v>
      </c>
      <c r="E5" s="37">
        <v>8</v>
      </c>
      <c r="F5" s="104">
        <v>1</v>
      </c>
      <c r="G5" s="104">
        <v>0</v>
      </c>
      <c r="I5" s="17" t="s">
        <v>99</v>
      </c>
      <c r="J5" s="17">
        <v>0.28502265002126614</v>
      </c>
      <c r="R5" s="91">
        <v>16</v>
      </c>
      <c r="S5" s="92">
        <v>7</v>
      </c>
      <c r="T5" s="93">
        <v>15</v>
      </c>
      <c r="U5" s="7"/>
    </row>
    <row r="6" spans="1:21" x14ac:dyDescent="0.25">
      <c r="A6" s="37">
        <v>14</v>
      </c>
      <c r="B6" s="37">
        <v>10</v>
      </c>
      <c r="C6" s="85">
        <v>11</v>
      </c>
      <c r="E6" s="37">
        <v>14</v>
      </c>
      <c r="F6" s="104">
        <v>1</v>
      </c>
      <c r="G6" s="104">
        <v>0</v>
      </c>
      <c r="I6" s="17" t="s">
        <v>96</v>
      </c>
      <c r="J6" s="17">
        <v>8.1237911025145174E-2</v>
      </c>
      <c r="R6" s="107">
        <v>8</v>
      </c>
      <c r="S6" s="37">
        <v>14</v>
      </c>
      <c r="T6" s="33">
        <v>12</v>
      </c>
      <c r="U6" s="7"/>
    </row>
    <row r="7" spans="1:21" x14ac:dyDescent="0.25">
      <c r="A7" s="37">
        <v>12</v>
      </c>
      <c r="B7" s="37">
        <v>12</v>
      </c>
      <c r="C7" s="85">
        <v>17</v>
      </c>
      <c r="E7" s="37">
        <v>12</v>
      </c>
      <c r="F7" s="104">
        <v>1</v>
      </c>
      <c r="G7" s="104">
        <v>0</v>
      </c>
      <c r="I7" s="17" t="s">
        <v>100</v>
      </c>
      <c r="J7" s="17">
        <v>-4.1263700838168806E-2</v>
      </c>
      <c r="R7" s="107">
        <v>14</v>
      </c>
      <c r="S7" s="37">
        <v>10</v>
      </c>
      <c r="T7" s="33">
        <v>11</v>
      </c>
      <c r="U7" s="7"/>
    </row>
    <row r="8" spans="1:21" x14ac:dyDescent="0.25">
      <c r="A8" s="37">
        <v>15</v>
      </c>
      <c r="B8" s="37">
        <v>8</v>
      </c>
      <c r="C8" s="85">
        <v>20</v>
      </c>
      <c r="E8" s="37">
        <v>15</v>
      </c>
      <c r="F8" s="104">
        <v>1</v>
      </c>
      <c r="G8" s="104">
        <v>0</v>
      </c>
      <c r="I8" s="17" t="s">
        <v>8</v>
      </c>
      <c r="J8" s="17">
        <v>3.9791121287711073</v>
      </c>
      <c r="R8" s="107">
        <v>12</v>
      </c>
      <c r="S8" s="37">
        <v>12</v>
      </c>
      <c r="T8" s="33">
        <v>17</v>
      </c>
      <c r="U8" s="7"/>
    </row>
    <row r="9" spans="1:21" ht="15.75" thickBot="1" x14ac:dyDescent="0.3">
      <c r="A9" s="86">
        <v>7</v>
      </c>
      <c r="B9" s="86">
        <v>18</v>
      </c>
      <c r="C9" s="86">
        <v>9</v>
      </c>
      <c r="E9" s="37">
        <v>7</v>
      </c>
      <c r="F9" s="104">
        <v>1</v>
      </c>
      <c r="G9" s="104">
        <v>0</v>
      </c>
      <c r="I9" s="18" t="s">
        <v>63</v>
      </c>
      <c r="J9" s="18">
        <v>18</v>
      </c>
      <c r="R9" s="107">
        <v>15</v>
      </c>
      <c r="S9" s="37">
        <v>8</v>
      </c>
      <c r="T9" s="33">
        <v>20</v>
      </c>
      <c r="U9" s="7"/>
    </row>
    <row r="10" spans="1:21" x14ac:dyDescent="0.25">
      <c r="A10" s="37"/>
      <c r="B10" s="37"/>
      <c r="C10" s="85"/>
      <c r="E10" s="37">
        <v>7</v>
      </c>
      <c r="F10" s="104">
        <v>0</v>
      </c>
      <c r="G10" s="104">
        <v>1</v>
      </c>
      <c r="R10" s="61">
        <v>7</v>
      </c>
      <c r="S10" s="86">
        <v>18</v>
      </c>
      <c r="T10" s="62">
        <v>9</v>
      </c>
      <c r="U10" s="7"/>
    </row>
    <row r="11" spans="1:21" ht="15.75" thickBot="1" x14ac:dyDescent="0.3">
      <c r="A11" s="37"/>
      <c r="B11" s="37"/>
      <c r="C11" s="85"/>
      <c r="E11" s="37">
        <v>14</v>
      </c>
      <c r="F11" s="104">
        <v>0</v>
      </c>
      <c r="G11" s="104">
        <v>1</v>
      </c>
      <c r="I11" t="s">
        <v>101</v>
      </c>
      <c r="Q11" t="s">
        <v>4</v>
      </c>
      <c r="R11" s="37">
        <f>AVERAGE(R5:R10)</f>
        <v>12</v>
      </c>
      <c r="S11" s="37">
        <f>AVERAGE(S5:S10)</f>
        <v>11.5</v>
      </c>
      <c r="T11" s="37">
        <f>AVERAGE(T5:T10)</f>
        <v>14</v>
      </c>
      <c r="U11" s="37">
        <f>AVERAGE(R11:T11)</f>
        <v>12.5</v>
      </c>
    </row>
    <row r="12" spans="1:21" x14ac:dyDescent="0.25">
      <c r="A12" s="37"/>
      <c r="B12" s="37"/>
      <c r="C12" s="85"/>
      <c r="E12" s="37">
        <v>10</v>
      </c>
      <c r="F12" s="104">
        <v>0</v>
      </c>
      <c r="G12" s="104">
        <v>1</v>
      </c>
      <c r="I12" s="87"/>
      <c r="J12" s="87" t="s">
        <v>51</v>
      </c>
      <c r="K12" s="87" t="s">
        <v>88</v>
      </c>
      <c r="L12" s="87" t="s">
        <v>92</v>
      </c>
      <c r="M12" s="87" t="s">
        <v>82</v>
      </c>
      <c r="N12" s="87" t="s">
        <v>104</v>
      </c>
      <c r="Q12" s="108" t="s">
        <v>220</v>
      </c>
      <c r="R12" s="37">
        <f>R11-$U$11</f>
        <v>-0.5</v>
      </c>
      <c r="S12" s="37">
        <f>S11-$U$11</f>
        <v>-1</v>
      </c>
      <c r="T12" s="37">
        <f>T11-$U$11</f>
        <v>1.5</v>
      </c>
      <c r="U12" s="7"/>
    </row>
    <row r="13" spans="1:21" x14ac:dyDescent="0.25">
      <c r="A13" s="37"/>
      <c r="B13" s="37"/>
      <c r="C13" s="85"/>
      <c r="E13" s="37">
        <v>12</v>
      </c>
      <c r="F13" s="104">
        <v>0</v>
      </c>
      <c r="G13" s="104">
        <v>1</v>
      </c>
      <c r="I13" s="17" t="s">
        <v>91</v>
      </c>
      <c r="J13" s="17">
        <v>2</v>
      </c>
      <c r="K13" s="17">
        <v>21.000000000000028</v>
      </c>
      <c r="L13" s="17">
        <v>10.500000000000014</v>
      </c>
      <c r="M13" s="17">
        <v>0.66315789473684306</v>
      </c>
      <c r="N13" s="17">
        <v>0.52969149408120164</v>
      </c>
    </row>
    <row r="14" spans="1:21" x14ac:dyDescent="0.25">
      <c r="A14" s="37"/>
      <c r="B14" s="37"/>
      <c r="C14" s="85"/>
      <c r="E14" s="37">
        <v>8</v>
      </c>
      <c r="F14" s="104">
        <v>0</v>
      </c>
      <c r="G14" s="104">
        <v>1</v>
      </c>
      <c r="I14" s="17" t="s">
        <v>102</v>
      </c>
      <c r="J14" s="17">
        <v>15</v>
      </c>
      <c r="K14" s="17">
        <v>237.49999999999997</v>
      </c>
      <c r="L14" s="17">
        <v>15.833333333333332</v>
      </c>
      <c r="M14" s="17"/>
      <c r="N14" s="17"/>
    </row>
    <row r="15" spans="1:21" ht="15.75" thickBot="1" x14ac:dyDescent="0.3">
      <c r="A15" s="37"/>
      <c r="B15" s="37"/>
      <c r="C15" s="85"/>
      <c r="E15" s="37">
        <v>18</v>
      </c>
      <c r="F15" s="104">
        <v>0</v>
      </c>
      <c r="G15" s="104">
        <v>1</v>
      </c>
      <c r="I15" s="18" t="s">
        <v>1</v>
      </c>
      <c r="J15" s="18">
        <v>17</v>
      </c>
      <c r="K15" s="18">
        <v>258.5</v>
      </c>
      <c r="L15" s="18"/>
      <c r="M15" s="18"/>
      <c r="N15" s="18"/>
    </row>
    <row r="16" spans="1:21" ht="15.75" thickBot="1" x14ac:dyDescent="0.3">
      <c r="A16" s="37"/>
      <c r="B16" s="37"/>
      <c r="C16" s="85"/>
      <c r="E16" s="85">
        <v>15</v>
      </c>
      <c r="F16" s="105">
        <v>-1</v>
      </c>
      <c r="G16" s="105">
        <v>-1</v>
      </c>
    </row>
    <row r="17" spans="1:16" x14ac:dyDescent="0.25">
      <c r="A17" s="37"/>
      <c r="B17" s="37"/>
      <c r="C17" s="85"/>
      <c r="E17" s="85">
        <v>12</v>
      </c>
      <c r="F17" s="105">
        <v>-1</v>
      </c>
      <c r="G17" s="105">
        <v>-1</v>
      </c>
      <c r="I17" s="87"/>
      <c r="J17" s="87" t="s">
        <v>105</v>
      </c>
      <c r="K17" s="87" t="s">
        <v>8</v>
      </c>
      <c r="L17" s="87" t="s">
        <v>64</v>
      </c>
      <c r="M17" s="87" t="s">
        <v>74</v>
      </c>
      <c r="N17" s="87" t="s">
        <v>106</v>
      </c>
      <c r="O17" s="87" t="s">
        <v>107</v>
      </c>
      <c r="P17" s="35"/>
    </row>
    <row r="18" spans="1:16" x14ac:dyDescent="0.25">
      <c r="E18" s="85">
        <v>11</v>
      </c>
      <c r="F18" s="105">
        <v>-1</v>
      </c>
      <c r="G18" s="105">
        <v>-1</v>
      </c>
      <c r="I18" s="17" t="s">
        <v>103</v>
      </c>
      <c r="J18" s="17">
        <v>12.5</v>
      </c>
      <c r="K18" s="17">
        <v>0.93788572311856289</v>
      </c>
      <c r="L18" s="17">
        <v>13.327849749579578</v>
      </c>
      <c r="M18" s="17">
        <v>1.0170895024375537E-9</v>
      </c>
      <c r="N18" s="17">
        <v>10.500943901671938</v>
      </c>
      <c r="O18" s="17">
        <v>14.499056098328062</v>
      </c>
      <c r="P18" s="17"/>
    </row>
    <row r="19" spans="1:16" x14ac:dyDescent="0.25">
      <c r="E19" s="85">
        <v>17</v>
      </c>
      <c r="F19" s="105">
        <v>-1</v>
      </c>
      <c r="G19" s="105">
        <v>-1</v>
      </c>
      <c r="I19" s="17" t="s">
        <v>217</v>
      </c>
      <c r="J19" s="17">
        <v>-0.49999999999999994</v>
      </c>
      <c r="K19" s="17">
        <v>1.326370709590369</v>
      </c>
      <c r="L19" s="17">
        <v>-0.37696851746252596</v>
      </c>
      <c r="M19" s="17">
        <v>0.71147657623552352</v>
      </c>
      <c r="N19" s="17">
        <v>-3.3270922462001873</v>
      </c>
      <c r="O19" s="17">
        <v>2.3270922462001873</v>
      </c>
      <c r="P19" s="17"/>
    </row>
    <row r="20" spans="1:16" ht="15.75" thickBot="1" x14ac:dyDescent="0.3">
      <c r="E20" s="85">
        <v>20</v>
      </c>
      <c r="F20" s="105">
        <v>-1</v>
      </c>
      <c r="G20" s="105">
        <v>-1</v>
      </c>
      <c r="I20" s="18" t="s">
        <v>218</v>
      </c>
      <c r="J20" s="18">
        <v>-1.0000000000000002</v>
      </c>
      <c r="K20" s="18">
        <v>1.3263707095903692</v>
      </c>
      <c r="L20" s="18">
        <v>-0.75393703492505204</v>
      </c>
      <c r="M20" s="18">
        <v>0.46255887733323142</v>
      </c>
      <c r="N20" s="18">
        <v>-3.8270922462001877</v>
      </c>
      <c r="O20" s="18">
        <v>1.8270922462001875</v>
      </c>
      <c r="P20" s="17"/>
    </row>
    <row r="21" spans="1:16" x14ac:dyDescent="0.25">
      <c r="E21" s="86">
        <v>9</v>
      </c>
      <c r="F21" s="86">
        <v>-1</v>
      </c>
      <c r="G21" s="86">
        <v>-1</v>
      </c>
    </row>
    <row r="23" spans="1:16" x14ac:dyDescent="0.25">
      <c r="I23" t="s">
        <v>133</v>
      </c>
    </row>
    <row r="25" spans="1:16" ht="15.75" thickBot="1" x14ac:dyDescent="0.3">
      <c r="I25" t="s">
        <v>52</v>
      </c>
    </row>
    <row r="26" spans="1:16" x14ac:dyDescent="0.25">
      <c r="I26" s="189" t="s">
        <v>61</v>
      </c>
      <c r="J26" s="189" t="s">
        <v>19</v>
      </c>
      <c r="K26" s="189" t="s">
        <v>18</v>
      </c>
      <c r="L26" s="189" t="s">
        <v>134</v>
      </c>
      <c r="M26" s="189" t="s">
        <v>62</v>
      </c>
    </row>
    <row r="27" spans="1:16" x14ac:dyDescent="0.25">
      <c r="I27" s="17" t="s">
        <v>122</v>
      </c>
      <c r="J27" s="17">
        <v>6</v>
      </c>
      <c r="K27" s="17">
        <v>72</v>
      </c>
      <c r="L27" s="17">
        <v>12</v>
      </c>
      <c r="M27" s="17">
        <v>14</v>
      </c>
    </row>
    <row r="28" spans="1:16" x14ac:dyDescent="0.25">
      <c r="I28" s="17" t="s">
        <v>123</v>
      </c>
      <c r="J28" s="17">
        <v>6</v>
      </c>
      <c r="K28" s="17">
        <v>69</v>
      </c>
      <c r="L28" s="17">
        <v>11.5</v>
      </c>
      <c r="M28" s="17">
        <v>16.7</v>
      </c>
    </row>
    <row r="29" spans="1:16" ht="15.75" thickBot="1" x14ac:dyDescent="0.3">
      <c r="I29" s="18" t="s">
        <v>124</v>
      </c>
      <c r="J29" s="18">
        <v>6</v>
      </c>
      <c r="K29" s="18">
        <v>84</v>
      </c>
      <c r="L29" s="18">
        <v>14</v>
      </c>
      <c r="M29" s="18">
        <v>16.8</v>
      </c>
    </row>
    <row r="32" spans="1:16" ht="15.75" thickBot="1" x14ac:dyDescent="0.3">
      <c r="I32" t="s">
        <v>101</v>
      </c>
    </row>
    <row r="33" spans="9:16" x14ac:dyDescent="0.25">
      <c r="I33" s="189" t="s">
        <v>135</v>
      </c>
      <c r="J33" s="189" t="s">
        <v>88</v>
      </c>
      <c r="K33" s="189" t="s">
        <v>51</v>
      </c>
      <c r="L33" s="189" t="s">
        <v>92</v>
      </c>
      <c r="M33" s="189" t="s">
        <v>82</v>
      </c>
      <c r="N33" s="189" t="s">
        <v>74</v>
      </c>
      <c r="O33" s="189" t="s">
        <v>136</v>
      </c>
      <c r="P33" s="35"/>
    </row>
    <row r="34" spans="9:16" x14ac:dyDescent="0.25">
      <c r="I34" s="17" t="s">
        <v>131</v>
      </c>
      <c r="J34" s="17">
        <v>21</v>
      </c>
      <c r="K34" s="17">
        <v>2</v>
      </c>
      <c r="L34" s="17">
        <v>10.5</v>
      </c>
      <c r="M34" s="17">
        <v>0.66315789473684206</v>
      </c>
      <c r="N34" s="17">
        <v>0.52969149408120197</v>
      </c>
      <c r="O34" s="17">
        <v>3.6823203436732408</v>
      </c>
      <c r="P34" s="17"/>
    </row>
    <row r="35" spans="9:16" x14ac:dyDescent="0.25">
      <c r="I35" s="17" t="s">
        <v>132</v>
      </c>
      <c r="J35" s="17">
        <v>237.5</v>
      </c>
      <c r="K35" s="17">
        <v>15</v>
      </c>
      <c r="L35" s="17">
        <v>15.833333333333334</v>
      </c>
      <c r="M35" s="17"/>
      <c r="N35" s="17"/>
      <c r="O35" s="17"/>
      <c r="P35" s="17"/>
    </row>
    <row r="36" spans="9:16" x14ac:dyDescent="0.25">
      <c r="I36" s="17"/>
      <c r="J36" s="17"/>
      <c r="K36" s="17"/>
      <c r="L36" s="17"/>
      <c r="M36" s="17"/>
      <c r="N36" s="17"/>
      <c r="O36" s="17"/>
      <c r="P36" s="17"/>
    </row>
    <row r="37" spans="9:16" ht="15.75" thickBot="1" x14ac:dyDescent="0.3">
      <c r="I37" s="18" t="s">
        <v>1</v>
      </c>
      <c r="J37" s="18">
        <v>258.5</v>
      </c>
      <c r="K37" s="18">
        <v>17</v>
      </c>
      <c r="L37" s="18"/>
      <c r="M37" s="18"/>
      <c r="N37" s="18"/>
      <c r="O37" s="18"/>
      <c r="P37" s="17"/>
    </row>
  </sheetData>
  <mergeCells count="1">
    <mergeCell ref="E2:G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AB69"/>
  <sheetViews>
    <sheetView workbookViewId="0"/>
  </sheetViews>
  <sheetFormatPr defaultRowHeight="15" x14ac:dyDescent="0.25"/>
  <cols>
    <col min="6" max="11" width="7.42578125" customWidth="1"/>
    <col min="14" max="14" width="19.5703125" customWidth="1"/>
    <col min="22" max="22" width="18" customWidth="1"/>
    <col min="23" max="23" width="11.5703125" customWidth="1"/>
    <col min="24" max="24" width="14.140625" customWidth="1"/>
    <col min="25" max="26" width="11.5703125" customWidth="1"/>
    <col min="27" max="27" width="12.28515625" customWidth="1"/>
    <col min="28" max="28" width="11.5703125" customWidth="1"/>
  </cols>
  <sheetData>
    <row r="1" spans="1:27" x14ac:dyDescent="0.25">
      <c r="A1" s="1" t="s">
        <v>311</v>
      </c>
    </row>
    <row r="3" spans="1:27" x14ac:dyDescent="0.25">
      <c r="A3" s="11"/>
      <c r="B3" s="574" t="s">
        <v>250</v>
      </c>
      <c r="C3" s="575"/>
      <c r="D3" s="576"/>
      <c r="F3" s="12" t="s">
        <v>217</v>
      </c>
      <c r="G3" s="12" t="s">
        <v>218</v>
      </c>
      <c r="H3" s="12" t="s">
        <v>312</v>
      </c>
      <c r="I3" s="24" t="s">
        <v>313</v>
      </c>
      <c r="J3" s="24" t="s">
        <v>314</v>
      </c>
      <c r="K3" s="24" t="s">
        <v>84</v>
      </c>
      <c r="N3" t="s">
        <v>248</v>
      </c>
      <c r="V3" t="s">
        <v>97</v>
      </c>
    </row>
    <row r="4" spans="1:27" ht="15.75" thickBot="1" x14ac:dyDescent="0.3">
      <c r="A4" s="135" t="s">
        <v>251</v>
      </c>
      <c r="B4" s="121" t="s">
        <v>240</v>
      </c>
      <c r="C4" s="121" t="s">
        <v>241</v>
      </c>
      <c r="D4" s="121" t="s">
        <v>245</v>
      </c>
      <c r="F4" s="140">
        <v>1</v>
      </c>
      <c r="G4" s="138">
        <v>1</v>
      </c>
      <c r="H4" s="139">
        <v>0</v>
      </c>
      <c r="I4" s="140">
        <f t="shared" ref="I4:I33" si="0">F4*G4</f>
        <v>1</v>
      </c>
      <c r="J4" s="139">
        <f t="shared" ref="J4:J33" si="1">F4*H4</f>
        <v>0</v>
      </c>
      <c r="K4" s="122">
        <v>128</v>
      </c>
    </row>
    <row r="5" spans="1:27" x14ac:dyDescent="0.25">
      <c r="A5" s="147" t="s">
        <v>242</v>
      </c>
      <c r="B5" s="122">
        <v>128</v>
      </c>
      <c r="C5" s="122">
        <v>166</v>
      </c>
      <c r="D5" s="122">
        <v>151</v>
      </c>
      <c r="F5" s="124">
        <v>1</v>
      </c>
      <c r="G5" s="7">
        <v>1</v>
      </c>
      <c r="H5" s="8">
        <v>0</v>
      </c>
      <c r="I5">
        <f t="shared" si="0"/>
        <v>1</v>
      </c>
      <c r="J5">
        <f t="shared" si="1"/>
        <v>0</v>
      </c>
      <c r="K5" s="123">
        <v>150</v>
      </c>
      <c r="N5" t="s">
        <v>52</v>
      </c>
      <c r="O5" t="s">
        <v>240</v>
      </c>
      <c r="P5" t="s">
        <v>241</v>
      </c>
      <c r="Q5" t="s">
        <v>245</v>
      </c>
      <c r="R5" t="s">
        <v>1</v>
      </c>
      <c r="V5" s="19" t="s">
        <v>98</v>
      </c>
      <c r="W5" s="19"/>
    </row>
    <row r="6" spans="1:27" ht="15.75" thickBot="1" x14ac:dyDescent="0.3">
      <c r="A6" s="123"/>
      <c r="B6" s="123">
        <v>150</v>
      </c>
      <c r="C6" s="123">
        <v>178</v>
      </c>
      <c r="D6" s="123">
        <v>125</v>
      </c>
      <c r="F6" s="124">
        <v>1</v>
      </c>
      <c r="G6" s="7">
        <v>1</v>
      </c>
      <c r="H6" s="8">
        <v>0</v>
      </c>
      <c r="I6">
        <f t="shared" si="0"/>
        <v>1</v>
      </c>
      <c r="J6">
        <f t="shared" si="1"/>
        <v>0</v>
      </c>
      <c r="K6" s="123">
        <v>174</v>
      </c>
      <c r="N6" s="125" t="s">
        <v>242</v>
      </c>
      <c r="O6" s="125"/>
      <c r="P6" s="125"/>
      <c r="Q6" s="125"/>
      <c r="R6" s="125"/>
      <c r="V6" s="17" t="s">
        <v>99</v>
      </c>
      <c r="W6" s="17">
        <v>0.61717863365297299</v>
      </c>
    </row>
    <row r="7" spans="1:27" x14ac:dyDescent="0.25">
      <c r="A7" s="123"/>
      <c r="B7" s="123">
        <v>174</v>
      </c>
      <c r="C7" s="123">
        <v>187</v>
      </c>
      <c r="D7" s="123">
        <v>117</v>
      </c>
      <c r="F7" s="124">
        <v>1</v>
      </c>
      <c r="G7" s="7">
        <v>1</v>
      </c>
      <c r="H7" s="8">
        <v>0</v>
      </c>
      <c r="I7">
        <f t="shared" si="0"/>
        <v>1</v>
      </c>
      <c r="J7">
        <f t="shared" si="1"/>
        <v>0</v>
      </c>
      <c r="K7" s="123">
        <v>116</v>
      </c>
      <c r="N7" s="17" t="s">
        <v>19</v>
      </c>
      <c r="O7" s="17">
        <v>5</v>
      </c>
      <c r="P7" s="17">
        <v>5</v>
      </c>
      <c r="Q7" s="17">
        <v>5</v>
      </c>
      <c r="R7" s="17">
        <v>15</v>
      </c>
      <c r="V7" s="17" t="s">
        <v>96</v>
      </c>
      <c r="W7" s="17">
        <v>0.38090946583775059</v>
      </c>
    </row>
    <row r="8" spans="1:27" x14ac:dyDescent="0.25">
      <c r="A8" s="123"/>
      <c r="B8" s="123">
        <v>116</v>
      </c>
      <c r="C8" s="123">
        <v>153</v>
      </c>
      <c r="D8" s="123">
        <v>155</v>
      </c>
      <c r="F8" s="9">
        <v>1</v>
      </c>
      <c r="G8" s="10">
        <v>1</v>
      </c>
      <c r="H8" s="11">
        <v>0</v>
      </c>
      <c r="I8">
        <f t="shared" si="0"/>
        <v>1</v>
      </c>
      <c r="J8">
        <f t="shared" si="1"/>
        <v>0</v>
      </c>
      <c r="K8" s="22">
        <v>109</v>
      </c>
      <c r="N8" s="17" t="s">
        <v>18</v>
      </c>
      <c r="O8" s="17">
        <v>677</v>
      </c>
      <c r="P8" s="17">
        <v>879</v>
      </c>
      <c r="Q8" s="17">
        <v>706</v>
      </c>
      <c r="R8" s="17">
        <v>2262</v>
      </c>
      <c r="V8" s="17" t="s">
        <v>100</v>
      </c>
      <c r="W8" s="17">
        <v>0.25193227122061529</v>
      </c>
    </row>
    <row r="9" spans="1:27" x14ac:dyDescent="0.25">
      <c r="A9" s="123"/>
      <c r="B9" s="22">
        <v>109</v>
      </c>
      <c r="C9" s="22">
        <v>195</v>
      </c>
      <c r="D9" s="22">
        <v>158</v>
      </c>
      <c r="F9" s="140">
        <v>0</v>
      </c>
      <c r="G9" s="138">
        <v>1</v>
      </c>
      <c r="H9" s="139">
        <v>0</v>
      </c>
      <c r="I9" s="140">
        <f t="shared" si="0"/>
        <v>0</v>
      </c>
      <c r="J9" s="139">
        <f t="shared" si="1"/>
        <v>0</v>
      </c>
      <c r="K9" s="122">
        <v>175</v>
      </c>
      <c r="N9" s="17" t="s">
        <v>134</v>
      </c>
      <c r="O9" s="17">
        <v>135.4</v>
      </c>
      <c r="P9" s="17">
        <v>175.8</v>
      </c>
      <c r="Q9" s="17">
        <v>141.19999999999999</v>
      </c>
      <c r="R9" s="17">
        <v>150.80000000000001</v>
      </c>
      <c r="V9" s="17" t="s">
        <v>8</v>
      </c>
      <c r="W9" s="17">
        <v>21.221058723196002</v>
      </c>
    </row>
    <row r="10" spans="1:27" ht="15.75" thickBot="1" x14ac:dyDescent="0.3">
      <c r="A10" s="147" t="s">
        <v>243</v>
      </c>
      <c r="B10" s="122">
        <v>175</v>
      </c>
      <c r="C10" s="122">
        <v>140</v>
      </c>
      <c r="D10" s="122">
        <v>167</v>
      </c>
      <c r="F10" s="124">
        <v>0</v>
      </c>
      <c r="G10" s="7">
        <v>1</v>
      </c>
      <c r="H10" s="8">
        <v>0</v>
      </c>
      <c r="I10">
        <f t="shared" si="0"/>
        <v>0</v>
      </c>
      <c r="J10">
        <f t="shared" si="1"/>
        <v>0</v>
      </c>
      <c r="K10" s="123">
        <v>132</v>
      </c>
      <c r="N10" s="17" t="s">
        <v>62</v>
      </c>
      <c r="O10" s="17">
        <v>707.79999999999927</v>
      </c>
      <c r="P10" s="17">
        <v>278.7</v>
      </c>
      <c r="Q10" s="17">
        <v>354.20000000000073</v>
      </c>
      <c r="R10" s="17">
        <v>723.88571428571595</v>
      </c>
      <c r="V10" s="18" t="s">
        <v>63</v>
      </c>
      <c r="W10" s="18">
        <v>30</v>
      </c>
    </row>
    <row r="11" spans="1:27" x14ac:dyDescent="0.25">
      <c r="A11" s="123"/>
      <c r="B11" s="123">
        <v>132</v>
      </c>
      <c r="C11" s="123">
        <v>145</v>
      </c>
      <c r="D11" s="123">
        <v>183</v>
      </c>
      <c r="F11" s="124">
        <v>0</v>
      </c>
      <c r="G11" s="7">
        <v>1</v>
      </c>
      <c r="H11" s="8">
        <v>0</v>
      </c>
      <c r="I11">
        <f t="shared" si="0"/>
        <v>0</v>
      </c>
      <c r="J11">
        <f t="shared" si="1"/>
        <v>0</v>
      </c>
      <c r="K11" s="123">
        <v>120</v>
      </c>
      <c r="N11" s="17"/>
      <c r="O11" s="17"/>
      <c r="P11" s="17"/>
      <c r="Q11" s="17"/>
      <c r="R11" s="17"/>
    </row>
    <row r="12" spans="1:27" ht="15.75" thickBot="1" x14ac:dyDescent="0.3">
      <c r="A12" s="123"/>
      <c r="B12" s="123">
        <v>120</v>
      </c>
      <c r="C12" s="123">
        <v>159</v>
      </c>
      <c r="D12" s="123">
        <v>142</v>
      </c>
      <c r="F12" s="124">
        <v>0</v>
      </c>
      <c r="G12" s="7">
        <v>1</v>
      </c>
      <c r="H12" s="8">
        <v>0</v>
      </c>
      <c r="I12">
        <f t="shared" si="0"/>
        <v>0</v>
      </c>
      <c r="J12">
        <f t="shared" si="1"/>
        <v>0</v>
      </c>
      <c r="K12" s="123">
        <v>187</v>
      </c>
      <c r="N12" s="125" t="s">
        <v>243</v>
      </c>
      <c r="O12" s="125"/>
      <c r="P12" s="125"/>
      <c r="Q12" s="125"/>
      <c r="R12" s="125"/>
      <c r="V12" t="s">
        <v>101</v>
      </c>
    </row>
    <row r="13" spans="1:27" x14ac:dyDescent="0.25">
      <c r="A13" s="123"/>
      <c r="B13" s="123">
        <v>187</v>
      </c>
      <c r="C13" s="123">
        <v>131</v>
      </c>
      <c r="D13" s="123">
        <v>167</v>
      </c>
      <c r="F13" s="9">
        <v>0</v>
      </c>
      <c r="G13" s="10">
        <v>1</v>
      </c>
      <c r="H13" s="11">
        <v>0</v>
      </c>
      <c r="I13">
        <f t="shared" si="0"/>
        <v>0</v>
      </c>
      <c r="J13">
        <f t="shared" si="1"/>
        <v>0</v>
      </c>
      <c r="K13" s="22">
        <v>184</v>
      </c>
      <c r="N13" s="17" t="s">
        <v>19</v>
      </c>
      <c r="O13" s="17">
        <v>5</v>
      </c>
      <c r="P13" s="17">
        <v>5</v>
      </c>
      <c r="Q13" s="17">
        <v>5</v>
      </c>
      <c r="R13" s="17">
        <v>15</v>
      </c>
      <c r="V13" s="116"/>
      <c r="W13" s="116" t="s">
        <v>51</v>
      </c>
      <c r="X13" s="116" t="s">
        <v>88</v>
      </c>
      <c r="Y13" s="116" t="s">
        <v>92</v>
      </c>
      <c r="Z13" s="116" t="s">
        <v>82</v>
      </c>
      <c r="AA13" s="116" t="s">
        <v>104</v>
      </c>
    </row>
    <row r="14" spans="1:27" x14ac:dyDescent="0.25">
      <c r="A14" s="58"/>
      <c r="B14" s="22">
        <v>184</v>
      </c>
      <c r="C14" s="22">
        <v>126</v>
      </c>
      <c r="D14" s="22">
        <v>168</v>
      </c>
      <c r="F14" s="140">
        <v>1</v>
      </c>
      <c r="G14" s="149">
        <v>0</v>
      </c>
      <c r="H14" s="139">
        <v>1</v>
      </c>
      <c r="I14" s="140">
        <f t="shared" si="0"/>
        <v>0</v>
      </c>
      <c r="J14" s="139">
        <f t="shared" si="1"/>
        <v>1</v>
      </c>
      <c r="K14" s="122">
        <v>166</v>
      </c>
      <c r="N14" s="17" t="s">
        <v>18</v>
      </c>
      <c r="O14" s="17">
        <v>798</v>
      </c>
      <c r="P14" s="17">
        <v>701</v>
      </c>
      <c r="Q14" s="17">
        <v>827</v>
      </c>
      <c r="R14" s="17">
        <v>2326</v>
      </c>
      <c r="V14" s="17" t="s">
        <v>91</v>
      </c>
      <c r="W14" s="17">
        <v>5</v>
      </c>
      <c r="X14" s="17">
        <v>6649.8666666666722</v>
      </c>
      <c r="Y14" s="17">
        <v>1329.9733333333345</v>
      </c>
      <c r="Z14" s="17">
        <v>2.9533086602516687</v>
      </c>
      <c r="AA14" s="17">
        <v>3.237417922643393E-2</v>
      </c>
    </row>
    <row r="15" spans="1:27" x14ac:dyDescent="0.25">
      <c r="F15" s="124">
        <v>1</v>
      </c>
      <c r="G15" s="28">
        <v>0</v>
      </c>
      <c r="H15" s="8">
        <v>1</v>
      </c>
      <c r="I15">
        <f t="shared" si="0"/>
        <v>0</v>
      </c>
      <c r="J15">
        <f t="shared" si="1"/>
        <v>1</v>
      </c>
      <c r="K15" s="123">
        <v>178</v>
      </c>
      <c r="N15" s="17" t="s">
        <v>134</v>
      </c>
      <c r="O15" s="17">
        <v>159.6</v>
      </c>
      <c r="P15" s="17">
        <v>140.19999999999999</v>
      </c>
      <c r="Q15" s="17">
        <v>165.4</v>
      </c>
      <c r="R15" s="17">
        <v>155.06666666666666</v>
      </c>
      <c r="V15" s="17" t="s">
        <v>102</v>
      </c>
      <c r="W15" s="17">
        <v>24</v>
      </c>
      <c r="X15" s="17">
        <v>10807.999999999996</v>
      </c>
      <c r="Y15" s="17">
        <v>450.3333333333332</v>
      </c>
      <c r="Z15" s="17"/>
      <c r="AA15" s="17"/>
    </row>
    <row r="16" spans="1:27" ht="15.75" thickBot="1" x14ac:dyDescent="0.3">
      <c r="A16" t="s">
        <v>315</v>
      </c>
      <c r="F16" s="124">
        <v>1</v>
      </c>
      <c r="G16" s="28">
        <v>0</v>
      </c>
      <c r="H16" s="8">
        <v>1</v>
      </c>
      <c r="I16">
        <f t="shared" si="0"/>
        <v>0</v>
      </c>
      <c r="J16">
        <f t="shared" si="1"/>
        <v>1</v>
      </c>
      <c r="K16" s="123">
        <v>187</v>
      </c>
      <c r="N16" s="17" t="s">
        <v>62</v>
      </c>
      <c r="O16" s="17">
        <v>978.29999999999927</v>
      </c>
      <c r="P16" s="17">
        <v>165.7</v>
      </c>
      <c r="Q16" s="17">
        <v>217.3</v>
      </c>
      <c r="R16" s="17">
        <v>513.35238095238208</v>
      </c>
      <c r="V16" s="18" t="s">
        <v>1</v>
      </c>
      <c r="W16" s="18">
        <v>29</v>
      </c>
      <c r="X16" s="18">
        <v>17457.866666666669</v>
      </c>
      <c r="Y16" s="18"/>
      <c r="Z16" s="18"/>
      <c r="AA16" s="18"/>
    </row>
    <row r="17" spans="1:28" ht="15.75" thickBot="1" x14ac:dyDescent="0.3">
      <c r="A17" t="s">
        <v>316</v>
      </c>
      <c r="F17" s="124">
        <v>1</v>
      </c>
      <c r="G17" s="28">
        <v>0</v>
      </c>
      <c r="H17" s="8">
        <v>1</v>
      </c>
      <c r="I17">
        <f t="shared" si="0"/>
        <v>0</v>
      </c>
      <c r="J17">
        <f t="shared" si="1"/>
        <v>1</v>
      </c>
      <c r="K17" s="123">
        <v>153</v>
      </c>
      <c r="N17" s="17"/>
      <c r="O17" s="17"/>
      <c r="P17" s="17"/>
      <c r="Q17" s="17"/>
      <c r="R17" s="17"/>
    </row>
    <row r="18" spans="1:28" ht="15.75" thickBot="1" x14ac:dyDescent="0.3">
      <c r="A18" t="s">
        <v>317</v>
      </c>
      <c r="F18" s="9">
        <v>1</v>
      </c>
      <c r="G18" s="150">
        <v>0</v>
      </c>
      <c r="H18" s="11">
        <v>1</v>
      </c>
      <c r="I18">
        <f t="shared" si="0"/>
        <v>0</v>
      </c>
      <c r="J18">
        <f t="shared" si="1"/>
        <v>1</v>
      </c>
      <c r="K18" s="22">
        <v>195</v>
      </c>
      <c r="N18" s="125" t="s">
        <v>1</v>
      </c>
      <c r="O18" s="125"/>
      <c r="P18" s="125"/>
      <c r="Q18" s="125"/>
      <c r="V18" s="116"/>
      <c r="W18" s="116" t="s">
        <v>105</v>
      </c>
      <c r="X18" s="116" t="s">
        <v>8</v>
      </c>
      <c r="Y18" s="116" t="s">
        <v>64</v>
      </c>
      <c r="Z18" s="116" t="s">
        <v>74</v>
      </c>
      <c r="AA18" s="116" t="s">
        <v>106</v>
      </c>
      <c r="AB18" s="116" t="s">
        <v>107</v>
      </c>
    </row>
    <row r="19" spans="1:28" x14ac:dyDescent="0.25">
      <c r="F19" s="140">
        <v>0</v>
      </c>
      <c r="G19" s="149">
        <v>0</v>
      </c>
      <c r="H19" s="139">
        <v>1</v>
      </c>
      <c r="I19" s="140">
        <f t="shared" si="0"/>
        <v>0</v>
      </c>
      <c r="J19" s="139">
        <f t="shared" si="1"/>
        <v>0</v>
      </c>
      <c r="K19" s="122">
        <v>140</v>
      </c>
      <c r="N19" s="17" t="s">
        <v>19</v>
      </c>
      <c r="O19" s="17">
        <v>10</v>
      </c>
      <c r="P19" s="17">
        <v>10</v>
      </c>
      <c r="Q19" s="17">
        <v>10</v>
      </c>
      <c r="V19" s="17" t="s">
        <v>103</v>
      </c>
      <c r="W19" s="17">
        <v>165.4</v>
      </c>
      <c r="X19" s="17">
        <v>9.4903459719162306</v>
      </c>
      <c r="Y19" s="17">
        <v>17.42823712533248</v>
      </c>
      <c r="Z19" s="17">
        <v>3.9686361709731235E-15</v>
      </c>
      <c r="AA19" s="17">
        <v>145.81288859920977</v>
      </c>
      <c r="AB19" s="17">
        <v>184.98711140079024</v>
      </c>
    </row>
    <row r="20" spans="1:28" x14ac:dyDescent="0.25">
      <c r="F20" s="124">
        <v>0</v>
      </c>
      <c r="G20" s="28">
        <v>0</v>
      </c>
      <c r="H20" s="8">
        <v>1</v>
      </c>
      <c r="I20">
        <f t="shared" si="0"/>
        <v>0</v>
      </c>
      <c r="J20">
        <f t="shared" si="1"/>
        <v>0</v>
      </c>
      <c r="K20" s="123">
        <v>145</v>
      </c>
      <c r="N20" s="17" t="s">
        <v>18</v>
      </c>
      <c r="O20" s="17">
        <v>1475</v>
      </c>
      <c r="P20" s="17">
        <v>1580</v>
      </c>
      <c r="Q20" s="17">
        <v>1533</v>
      </c>
      <c r="V20" s="17" t="s">
        <v>217</v>
      </c>
      <c r="W20" s="17">
        <v>-24.200000000000003</v>
      </c>
      <c r="X20" s="17">
        <v>13.421375985096804</v>
      </c>
      <c r="Y20" s="17">
        <v>-1.8030938129497203</v>
      </c>
      <c r="Z20" s="17">
        <v>8.3944409308501486E-2</v>
      </c>
      <c r="AA20" s="17">
        <v>-51.900358590710219</v>
      </c>
      <c r="AB20" s="17">
        <v>3.5003585907102135</v>
      </c>
    </row>
    <row r="21" spans="1:28" x14ac:dyDescent="0.25">
      <c r="F21" s="124">
        <v>0</v>
      </c>
      <c r="G21" s="28">
        <v>0</v>
      </c>
      <c r="H21" s="8">
        <v>1</v>
      </c>
      <c r="I21">
        <f t="shared" si="0"/>
        <v>0</v>
      </c>
      <c r="J21">
        <f t="shared" si="1"/>
        <v>0</v>
      </c>
      <c r="K21" s="123">
        <v>159</v>
      </c>
      <c r="N21" s="17" t="s">
        <v>134</v>
      </c>
      <c r="O21" s="17">
        <v>147.5</v>
      </c>
      <c r="P21" s="17">
        <v>158</v>
      </c>
      <c r="Q21" s="17">
        <v>153.30000000000001</v>
      </c>
      <c r="V21" s="17" t="s">
        <v>218</v>
      </c>
      <c r="W21" s="17">
        <v>-5.800000000000014</v>
      </c>
      <c r="X21" s="17">
        <v>13.421375985096805</v>
      </c>
      <c r="Y21" s="17">
        <v>-0.43214645103753718</v>
      </c>
      <c r="Z21" s="17">
        <v>0.66949292622206347</v>
      </c>
      <c r="AA21" s="17">
        <v>-33.500358590710235</v>
      </c>
      <c r="AB21" s="17">
        <v>21.900358590710205</v>
      </c>
    </row>
    <row r="22" spans="1:28" x14ac:dyDescent="0.25">
      <c r="F22" s="124">
        <v>0</v>
      </c>
      <c r="G22" s="28">
        <v>0</v>
      </c>
      <c r="H22" s="8">
        <v>1</v>
      </c>
      <c r="I22">
        <f t="shared" si="0"/>
        <v>0</v>
      </c>
      <c r="J22">
        <f t="shared" si="1"/>
        <v>0</v>
      </c>
      <c r="K22" s="123">
        <v>131</v>
      </c>
      <c r="N22" s="17" t="s">
        <v>62</v>
      </c>
      <c r="O22" s="17">
        <v>912.05555555555554</v>
      </c>
      <c r="P22" s="17">
        <v>549.55555555555554</v>
      </c>
      <c r="Q22" s="17">
        <v>416.67777777777843</v>
      </c>
      <c r="V22" s="17" t="s">
        <v>312</v>
      </c>
      <c r="W22" s="17">
        <v>-25.199999999999978</v>
      </c>
      <c r="X22" s="17">
        <v>13.421375985096804</v>
      </c>
      <c r="Y22" s="17">
        <v>-1.8776018217492936</v>
      </c>
      <c r="Z22" s="17">
        <v>7.2641419078709163E-2</v>
      </c>
      <c r="AA22" s="17">
        <v>-52.900358590710198</v>
      </c>
      <c r="AB22" s="17">
        <v>2.5003585907102384</v>
      </c>
    </row>
    <row r="23" spans="1:28" x14ac:dyDescent="0.25">
      <c r="F23" s="9">
        <v>0</v>
      </c>
      <c r="G23" s="150">
        <v>0</v>
      </c>
      <c r="H23" s="11">
        <v>1</v>
      </c>
      <c r="I23">
        <f t="shared" si="0"/>
        <v>0</v>
      </c>
      <c r="J23">
        <f t="shared" si="1"/>
        <v>0</v>
      </c>
      <c r="K23" s="22">
        <v>126</v>
      </c>
      <c r="N23" s="17"/>
      <c r="O23" s="17"/>
      <c r="P23" s="17"/>
      <c r="Q23" s="17"/>
      <c r="V23" s="17" t="s">
        <v>313</v>
      </c>
      <c r="W23" s="17">
        <v>3.3365259019643346E-14</v>
      </c>
      <c r="X23" s="17">
        <v>18.980691943832461</v>
      </c>
      <c r="Y23" s="17">
        <v>1.7578526177221358E-15</v>
      </c>
      <c r="Z23" s="17">
        <v>1</v>
      </c>
      <c r="AA23" s="17">
        <v>-39.174222801580434</v>
      </c>
      <c r="AB23" s="17">
        <v>39.174222801580505</v>
      </c>
    </row>
    <row r="24" spans="1:28" ht="15.75" thickBot="1" x14ac:dyDescent="0.3">
      <c r="F24" s="140">
        <v>1</v>
      </c>
      <c r="G24" s="149">
        <v>0</v>
      </c>
      <c r="H24" s="151">
        <v>0</v>
      </c>
      <c r="I24" s="140">
        <f t="shared" si="0"/>
        <v>0</v>
      </c>
      <c r="J24" s="139">
        <f t="shared" si="1"/>
        <v>0</v>
      </c>
      <c r="K24" s="122">
        <v>151</v>
      </c>
      <c r="V24" s="18" t="s">
        <v>314</v>
      </c>
      <c r="W24" s="18">
        <v>59.79999999999999</v>
      </c>
      <c r="X24" s="18">
        <v>18.980691943832458</v>
      </c>
      <c r="Y24" s="18">
        <v>3.1505700728382173</v>
      </c>
      <c r="Z24" s="18">
        <v>4.3278128988797253E-3</v>
      </c>
      <c r="AA24" s="18">
        <v>20.625777198419527</v>
      </c>
      <c r="AB24" s="18">
        <v>98.974222801580453</v>
      </c>
    </row>
    <row r="25" spans="1:28" ht="15.75" thickBot="1" x14ac:dyDescent="0.3">
      <c r="F25" s="124">
        <v>1</v>
      </c>
      <c r="G25" s="28">
        <v>0</v>
      </c>
      <c r="H25" s="114">
        <v>0</v>
      </c>
      <c r="I25">
        <f t="shared" si="0"/>
        <v>0</v>
      </c>
      <c r="J25">
        <f t="shared" si="1"/>
        <v>0</v>
      </c>
      <c r="K25" s="123">
        <v>125</v>
      </c>
      <c r="N25" t="s">
        <v>101</v>
      </c>
    </row>
    <row r="26" spans="1:28" x14ac:dyDescent="0.25">
      <c r="F26" s="124">
        <v>1</v>
      </c>
      <c r="G26" s="28">
        <v>0</v>
      </c>
      <c r="H26" s="114">
        <v>0</v>
      </c>
      <c r="I26">
        <f t="shared" si="0"/>
        <v>0</v>
      </c>
      <c r="J26">
        <f t="shared" si="1"/>
        <v>0</v>
      </c>
      <c r="K26" s="123">
        <v>117</v>
      </c>
      <c r="N26" s="116" t="s">
        <v>135</v>
      </c>
      <c r="O26" s="116" t="s">
        <v>88</v>
      </c>
      <c r="P26" s="116" t="s">
        <v>51</v>
      </c>
      <c r="Q26" s="116" t="s">
        <v>92</v>
      </c>
      <c r="R26" s="116" t="s">
        <v>82</v>
      </c>
      <c r="S26" s="116" t="s">
        <v>74</v>
      </c>
      <c r="T26" s="116" t="s">
        <v>136</v>
      </c>
      <c r="V26" t="s">
        <v>339</v>
      </c>
      <c r="W26" s="187">
        <f>X14/X16</f>
        <v>0.38090946583775059</v>
      </c>
    </row>
    <row r="27" spans="1:28" x14ac:dyDescent="0.25">
      <c r="F27" s="124">
        <v>1</v>
      </c>
      <c r="G27" s="28">
        <v>0</v>
      </c>
      <c r="H27" s="114">
        <v>0</v>
      </c>
      <c r="I27">
        <f t="shared" si="0"/>
        <v>0</v>
      </c>
      <c r="J27">
        <f t="shared" si="1"/>
        <v>0</v>
      </c>
      <c r="K27" s="123">
        <v>155</v>
      </c>
      <c r="N27" s="17" t="s">
        <v>83</v>
      </c>
      <c r="O27" s="17">
        <v>136.53333333333285</v>
      </c>
      <c r="P27" s="17">
        <v>1</v>
      </c>
      <c r="Q27" s="17">
        <v>136.53333333333285</v>
      </c>
      <c r="R27" s="17">
        <v>0.30318282753515807</v>
      </c>
      <c r="S27" s="17">
        <v>0.58698317897716845</v>
      </c>
      <c r="T27" s="17">
        <v>4.2596772726902348</v>
      </c>
    </row>
    <row r="28" spans="1:28" x14ac:dyDescent="0.25">
      <c r="F28" s="9">
        <v>1</v>
      </c>
      <c r="G28" s="150">
        <v>0</v>
      </c>
      <c r="H28" s="152">
        <v>0</v>
      </c>
      <c r="I28">
        <f t="shared" si="0"/>
        <v>0</v>
      </c>
      <c r="J28">
        <f t="shared" si="1"/>
        <v>0</v>
      </c>
      <c r="K28" s="22">
        <v>158</v>
      </c>
      <c r="N28" s="17" t="s">
        <v>238</v>
      </c>
      <c r="O28" s="17">
        <v>553.26666666666642</v>
      </c>
      <c r="P28" s="17">
        <v>2</v>
      </c>
      <c r="Q28" s="17">
        <v>276.63333333333321</v>
      </c>
      <c r="R28" s="17">
        <v>0.61428571428571399</v>
      </c>
      <c r="S28" s="17">
        <v>0.54931693706660334</v>
      </c>
      <c r="T28" s="17">
        <v>3.4028261053501945</v>
      </c>
      <c r="V28" t="s">
        <v>340</v>
      </c>
    </row>
    <row r="29" spans="1:28" x14ac:dyDescent="0.25">
      <c r="F29" s="140">
        <v>0</v>
      </c>
      <c r="G29" s="149">
        <v>0</v>
      </c>
      <c r="H29" s="151">
        <v>0</v>
      </c>
      <c r="I29" s="140">
        <f t="shared" si="0"/>
        <v>0</v>
      </c>
      <c r="J29" s="139">
        <f t="shared" si="1"/>
        <v>0</v>
      </c>
      <c r="K29" s="122">
        <v>167</v>
      </c>
      <c r="N29" s="17" t="s">
        <v>120</v>
      </c>
      <c r="O29" s="17">
        <v>5960.0666666666657</v>
      </c>
      <c r="P29" s="17">
        <v>2</v>
      </c>
      <c r="Q29" s="17">
        <v>2980.0333333333328</v>
      </c>
      <c r="R29" s="17">
        <v>6.6173945225758688</v>
      </c>
      <c r="S29" s="17">
        <v>5.1421901060349955E-3</v>
      </c>
      <c r="T29" s="17">
        <v>3.4028261053501945</v>
      </c>
    </row>
    <row r="30" spans="1:28" x14ac:dyDescent="0.25">
      <c r="F30" s="124">
        <v>0</v>
      </c>
      <c r="G30" s="28">
        <v>0</v>
      </c>
      <c r="H30" s="114">
        <v>0</v>
      </c>
      <c r="I30" s="124">
        <f t="shared" si="0"/>
        <v>0</v>
      </c>
      <c r="J30" s="8">
        <f t="shared" si="1"/>
        <v>0</v>
      </c>
      <c r="K30" s="123">
        <v>183</v>
      </c>
      <c r="N30" s="17" t="s">
        <v>249</v>
      </c>
      <c r="O30" s="17">
        <v>10808</v>
      </c>
      <c r="P30" s="17">
        <v>24</v>
      </c>
      <c r="Q30" s="17">
        <v>450.33333333333331</v>
      </c>
      <c r="R30" s="17"/>
      <c r="S30" s="17"/>
      <c r="T30" s="17"/>
      <c r="V30" t="s">
        <v>97</v>
      </c>
    </row>
    <row r="31" spans="1:28" ht="15.75" thickBot="1" x14ac:dyDescent="0.3">
      <c r="F31" s="124">
        <v>0</v>
      </c>
      <c r="G31" s="28">
        <v>0</v>
      </c>
      <c r="H31" s="114">
        <v>0</v>
      </c>
      <c r="I31" s="124">
        <f t="shared" si="0"/>
        <v>0</v>
      </c>
      <c r="J31" s="8">
        <f t="shared" si="1"/>
        <v>0</v>
      </c>
      <c r="K31" s="123">
        <v>142</v>
      </c>
      <c r="N31" s="17"/>
      <c r="O31" s="17"/>
      <c r="P31" s="17"/>
      <c r="Q31" s="17"/>
      <c r="R31" s="17"/>
      <c r="S31" s="17"/>
      <c r="T31" s="17"/>
    </row>
    <row r="32" spans="1:28" ht="15.75" thickBot="1" x14ac:dyDescent="0.3">
      <c r="F32" s="124">
        <v>0</v>
      </c>
      <c r="G32" s="28">
        <v>0</v>
      </c>
      <c r="H32" s="114">
        <v>0</v>
      </c>
      <c r="I32" s="124">
        <f t="shared" si="0"/>
        <v>0</v>
      </c>
      <c r="J32" s="8">
        <f t="shared" si="1"/>
        <v>0</v>
      </c>
      <c r="K32" s="123">
        <v>167</v>
      </c>
      <c r="N32" s="18" t="s">
        <v>1</v>
      </c>
      <c r="O32" s="18">
        <v>17457.866666666665</v>
      </c>
      <c r="P32" s="18">
        <v>29</v>
      </c>
      <c r="Q32" s="18"/>
      <c r="R32" s="18"/>
      <c r="S32" s="18"/>
      <c r="T32" s="18"/>
      <c r="V32" s="19" t="s">
        <v>98</v>
      </c>
      <c r="W32" s="19"/>
    </row>
    <row r="33" spans="6:28" x14ac:dyDescent="0.25">
      <c r="F33" s="9">
        <v>0</v>
      </c>
      <c r="G33" s="150">
        <v>0</v>
      </c>
      <c r="H33" s="152">
        <v>0</v>
      </c>
      <c r="I33" s="9">
        <f t="shared" si="0"/>
        <v>0</v>
      </c>
      <c r="J33" s="11">
        <f t="shared" si="1"/>
        <v>0</v>
      </c>
      <c r="K33" s="22">
        <v>168</v>
      </c>
      <c r="V33" s="17" t="s">
        <v>99</v>
      </c>
      <c r="W33" s="17">
        <v>8.8434914543495211E-2</v>
      </c>
    </row>
    <row r="34" spans="6:28" x14ac:dyDescent="0.25">
      <c r="V34" s="17" t="s">
        <v>96</v>
      </c>
      <c r="W34" s="17">
        <v>7.8207341103152996E-3</v>
      </c>
    </row>
    <row r="35" spans="6:28" x14ac:dyDescent="0.25">
      <c r="F35" t="s">
        <v>335</v>
      </c>
      <c r="N35" t="s">
        <v>388</v>
      </c>
      <c r="V35" s="17" t="s">
        <v>100</v>
      </c>
      <c r="W35" s="17">
        <v>-2.7614239671459154E-2</v>
      </c>
    </row>
    <row r="36" spans="6:28" x14ac:dyDescent="0.25">
      <c r="V36" s="17" t="s">
        <v>8</v>
      </c>
      <c r="W36" s="17">
        <v>24.872053546481592</v>
      </c>
    </row>
    <row r="37" spans="6:28" ht="15.75" thickBot="1" x14ac:dyDescent="0.3">
      <c r="F37" s="12" t="s">
        <v>217</v>
      </c>
      <c r="G37" s="12" t="s">
        <v>218</v>
      </c>
      <c r="H37" s="12" t="s">
        <v>312</v>
      </c>
      <c r="I37" s="12" t="s">
        <v>313</v>
      </c>
      <c r="J37" s="12" t="s">
        <v>314</v>
      </c>
      <c r="K37" s="12" t="s">
        <v>4</v>
      </c>
      <c r="N37" t="s">
        <v>338</v>
      </c>
      <c r="O37" s="184">
        <f>O32/P32</f>
        <v>601.99540229885054</v>
      </c>
      <c r="V37" s="18" t="s">
        <v>63</v>
      </c>
      <c r="W37" s="18">
        <v>30</v>
      </c>
    </row>
    <row r="38" spans="6:28" x14ac:dyDescent="0.25">
      <c r="F38" s="154">
        <v>0</v>
      </c>
      <c r="G38" s="155">
        <v>0</v>
      </c>
      <c r="H38" s="155">
        <v>0</v>
      </c>
      <c r="I38" s="156">
        <f t="shared" ref="I38:I43" si="2">F38*G38</f>
        <v>0</v>
      </c>
      <c r="J38" s="157">
        <f t="shared" ref="J38:J43" si="3">F38*H38</f>
        <v>0</v>
      </c>
      <c r="K38" s="159">
        <f t="shared" ref="K38:K43" si="4">AVERAGEIFS($K$4:$K$33,$F$4:$F$33,F38,$G$4:$G$33,G38,$H$4:$H$33,H38)</f>
        <v>165.4</v>
      </c>
      <c r="N38" t="s">
        <v>339</v>
      </c>
      <c r="O38" s="175">
        <f>1-O30/O32</f>
        <v>0.38090946583775021</v>
      </c>
    </row>
    <row r="39" spans="6:28" ht="15.75" thickBot="1" x14ac:dyDescent="0.3">
      <c r="F39" s="141">
        <v>0</v>
      </c>
      <c r="G39" s="7">
        <v>0</v>
      </c>
      <c r="H39" s="7">
        <v>1</v>
      </c>
      <c r="I39" s="6">
        <f t="shared" si="2"/>
        <v>0</v>
      </c>
      <c r="J39" s="8">
        <f t="shared" si="3"/>
        <v>0</v>
      </c>
      <c r="K39" s="123">
        <f t="shared" si="4"/>
        <v>140.19999999999999</v>
      </c>
      <c r="V39" t="s">
        <v>101</v>
      </c>
    </row>
    <row r="40" spans="6:28" x14ac:dyDescent="0.25">
      <c r="F40" s="158">
        <v>0</v>
      </c>
      <c r="G40" s="7">
        <v>1</v>
      </c>
      <c r="H40" s="7">
        <v>0</v>
      </c>
      <c r="I40" s="6">
        <f t="shared" si="2"/>
        <v>0</v>
      </c>
      <c r="J40" s="8">
        <f t="shared" si="3"/>
        <v>0</v>
      </c>
      <c r="K40" s="123">
        <f t="shared" si="4"/>
        <v>159.6</v>
      </c>
      <c r="N40" t="s">
        <v>389</v>
      </c>
      <c r="V40" s="160"/>
      <c r="W40" s="160" t="s">
        <v>51</v>
      </c>
      <c r="X40" s="160" t="s">
        <v>88</v>
      </c>
      <c r="Y40" s="160" t="s">
        <v>92</v>
      </c>
      <c r="Z40" s="160" t="s">
        <v>82</v>
      </c>
      <c r="AA40" s="160" t="s">
        <v>104</v>
      </c>
    </row>
    <row r="41" spans="6:28" x14ac:dyDescent="0.25">
      <c r="F41" s="158">
        <v>1</v>
      </c>
      <c r="G41" s="7">
        <v>0</v>
      </c>
      <c r="H41" s="7">
        <v>0</v>
      </c>
      <c r="I41" s="6">
        <f t="shared" si="2"/>
        <v>0</v>
      </c>
      <c r="J41" s="8">
        <f t="shared" si="3"/>
        <v>0</v>
      </c>
      <c r="K41" s="123">
        <f t="shared" si="4"/>
        <v>141.19999999999999</v>
      </c>
      <c r="V41" s="17" t="s">
        <v>91</v>
      </c>
      <c r="W41" s="17">
        <v>1</v>
      </c>
      <c r="X41" s="17">
        <v>136.53333333333649</v>
      </c>
      <c r="Y41" s="17">
        <v>136.53333333333649</v>
      </c>
      <c r="Z41" s="17">
        <v>0.22070664306058552</v>
      </c>
      <c r="AA41" s="17">
        <v>0.64214034280893406</v>
      </c>
    </row>
    <row r="42" spans="6:28" ht="17.25" x14ac:dyDescent="0.25">
      <c r="F42" s="158">
        <v>1</v>
      </c>
      <c r="G42" s="7">
        <v>0</v>
      </c>
      <c r="H42" s="7">
        <v>1</v>
      </c>
      <c r="I42" s="6">
        <f t="shared" si="2"/>
        <v>0</v>
      </c>
      <c r="J42" s="8">
        <f t="shared" si="3"/>
        <v>1</v>
      </c>
      <c r="K42" s="123">
        <f t="shared" si="4"/>
        <v>175.8</v>
      </c>
      <c r="N42" s="27" t="s">
        <v>390</v>
      </c>
      <c r="O42" s="187">
        <f>(O32-P32*Q30)/(O32+Q30)</f>
        <v>0.24559698908879729</v>
      </c>
      <c r="V42" s="17" t="s">
        <v>102</v>
      </c>
      <c r="W42" s="17">
        <v>28</v>
      </c>
      <c r="X42" s="17">
        <v>17321.333333333332</v>
      </c>
      <c r="Y42" s="17">
        <v>618.61904761904759</v>
      </c>
      <c r="Z42" s="17"/>
      <c r="AA42" s="17"/>
    </row>
    <row r="43" spans="6:28" ht="15.75" thickBot="1" x14ac:dyDescent="0.3">
      <c r="F43" s="142">
        <v>1</v>
      </c>
      <c r="G43" s="10">
        <v>1</v>
      </c>
      <c r="H43" s="10">
        <v>0</v>
      </c>
      <c r="I43" s="9">
        <f t="shared" si="2"/>
        <v>1</v>
      </c>
      <c r="J43" s="11">
        <f t="shared" si="3"/>
        <v>0</v>
      </c>
      <c r="K43" s="58">
        <f t="shared" si="4"/>
        <v>135.4</v>
      </c>
      <c r="V43" s="18" t="s">
        <v>1</v>
      </c>
      <c r="W43" s="18">
        <v>29</v>
      </c>
      <c r="X43" s="18">
        <v>17457.866666666669</v>
      </c>
      <c r="Y43" s="18"/>
      <c r="Z43" s="18"/>
      <c r="AA43" s="18"/>
    </row>
    <row r="44" spans="6:28" ht="15.75" thickBot="1" x14ac:dyDescent="0.3"/>
    <row r="45" spans="6:28" x14ac:dyDescent="0.25">
      <c r="F45" t="s">
        <v>115</v>
      </c>
      <c r="G45" s="184">
        <f>K38</f>
        <v>165.4</v>
      </c>
      <c r="V45" s="160"/>
      <c r="W45" s="160" t="s">
        <v>105</v>
      </c>
      <c r="X45" s="160" t="s">
        <v>8</v>
      </c>
      <c r="Y45" s="160" t="s">
        <v>64</v>
      </c>
      <c r="Z45" s="160" t="s">
        <v>74</v>
      </c>
      <c r="AA45" s="160" t="s">
        <v>106</v>
      </c>
      <c r="AB45" s="160" t="s">
        <v>107</v>
      </c>
    </row>
    <row r="46" spans="6:28" x14ac:dyDescent="0.25">
      <c r="F46" t="s">
        <v>116</v>
      </c>
      <c r="G46" s="179">
        <f>K39-G45</f>
        <v>-25.200000000000017</v>
      </c>
      <c r="V46" s="17" t="s">
        <v>103</v>
      </c>
      <c r="W46" s="17">
        <v>155.06666666666666</v>
      </c>
      <c r="X46" s="17">
        <v>6.4219366114334884</v>
      </c>
      <c r="Y46" s="17">
        <v>24.146402565012718</v>
      </c>
      <c r="Z46" s="17">
        <v>2.7487004367434417E-20</v>
      </c>
      <c r="AA46" s="17">
        <v>141.91192584764997</v>
      </c>
      <c r="AB46" s="17">
        <v>168.22140748568336</v>
      </c>
    </row>
    <row r="47" spans="6:28" ht="15.75" thickBot="1" x14ac:dyDescent="0.3">
      <c r="F47" t="s">
        <v>114</v>
      </c>
      <c r="G47" s="179">
        <f>K40-K38</f>
        <v>-5.8000000000000114</v>
      </c>
      <c r="V47" s="18" t="s">
        <v>217</v>
      </c>
      <c r="W47" s="18">
        <v>-4.2666666666666675</v>
      </c>
      <c r="X47" s="18">
        <v>9.0819898525895564</v>
      </c>
      <c r="Y47" s="18">
        <v>-0.46979425609577274</v>
      </c>
      <c r="Z47" s="18">
        <v>0.64214034280893784</v>
      </c>
      <c r="AA47" s="18">
        <v>-22.870279542423056</v>
      </c>
      <c r="AB47" s="18">
        <v>14.336946209089719</v>
      </c>
    </row>
    <row r="48" spans="6:28" x14ac:dyDescent="0.25">
      <c r="F48" t="s">
        <v>113</v>
      </c>
      <c r="G48" s="179">
        <f>K41-K38</f>
        <v>-24.200000000000017</v>
      </c>
    </row>
    <row r="49" spans="6:27" x14ac:dyDescent="0.25">
      <c r="F49" t="s">
        <v>336</v>
      </c>
      <c r="G49" s="179">
        <f>K42-G44-G45-G48-G46</f>
        <v>59.80000000000004</v>
      </c>
      <c r="V49" t="s">
        <v>341</v>
      </c>
    </row>
    <row r="50" spans="6:27" x14ac:dyDescent="0.25">
      <c r="F50" t="s">
        <v>337</v>
      </c>
      <c r="G50" s="175">
        <f>K43-G45-G48-G47</f>
        <v>2.8421709430404007E-14</v>
      </c>
    </row>
    <row r="51" spans="6:27" x14ac:dyDescent="0.25">
      <c r="V51" t="s">
        <v>97</v>
      </c>
    </row>
    <row r="52" spans="6:27" ht="15.75" thickBot="1" x14ac:dyDescent="0.3"/>
    <row r="53" spans="6:27" x14ac:dyDescent="0.25">
      <c r="V53" s="19" t="s">
        <v>98</v>
      </c>
      <c r="W53" s="19"/>
    </row>
    <row r="54" spans="6:27" x14ac:dyDescent="0.25">
      <c r="V54" s="17" t="s">
        <v>99</v>
      </c>
      <c r="W54" s="17">
        <v>0.17802117640545412</v>
      </c>
    </row>
    <row r="55" spans="6:27" x14ac:dyDescent="0.25">
      <c r="V55" s="17" t="s">
        <v>96</v>
      </c>
      <c r="W55" s="17">
        <v>3.1691539248781812E-2</v>
      </c>
    </row>
    <row r="56" spans="6:27" x14ac:dyDescent="0.25">
      <c r="V56" s="17" t="s">
        <v>100</v>
      </c>
      <c r="W56" s="17">
        <v>-4.0035013399456566E-2</v>
      </c>
    </row>
    <row r="57" spans="6:27" x14ac:dyDescent="0.25">
      <c r="V57" s="17" t="s">
        <v>8</v>
      </c>
      <c r="W57" s="17">
        <v>25.021916319424786</v>
      </c>
    </row>
    <row r="58" spans="6:27" ht="15.75" thickBot="1" x14ac:dyDescent="0.3">
      <c r="V58" s="18" t="s">
        <v>63</v>
      </c>
      <c r="W58" s="18">
        <v>30</v>
      </c>
    </row>
    <row r="60" spans="6:27" ht="15.75" thickBot="1" x14ac:dyDescent="0.3">
      <c r="V60" t="s">
        <v>101</v>
      </c>
    </row>
    <row r="61" spans="6:27" x14ac:dyDescent="0.25">
      <c r="V61" s="160"/>
      <c r="W61" s="160" t="s">
        <v>51</v>
      </c>
      <c r="X61" s="160" t="s">
        <v>88</v>
      </c>
      <c r="Y61" s="160" t="s">
        <v>92</v>
      </c>
      <c r="Z61" s="160" t="s">
        <v>82</v>
      </c>
      <c r="AA61" s="160" t="s">
        <v>104</v>
      </c>
    </row>
    <row r="62" spans="6:27" x14ac:dyDescent="0.25">
      <c r="V62" s="17" t="s">
        <v>91</v>
      </c>
      <c r="W62" s="17">
        <v>2</v>
      </c>
      <c r="X62" s="17">
        <v>553.26666666666642</v>
      </c>
      <c r="Y62" s="17">
        <v>276.63333333333321</v>
      </c>
      <c r="Z62" s="17">
        <v>0.44183831619795771</v>
      </c>
      <c r="AA62" s="17">
        <v>0.64741880368758675</v>
      </c>
    </row>
    <row r="63" spans="6:27" x14ac:dyDescent="0.25">
      <c r="V63" s="17" t="s">
        <v>102</v>
      </c>
      <c r="W63" s="17">
        <v>27</v>
      </c>
      <c r="X63" s="17">
        <v>16904.600000000002</v>
      </c>
      <c r="Y63" s="17">
        <v>626.09629629629637</v>
      </c>
      <c r="Z63" s="17"/>
      <c r="AA63" s="17"/>
    </row>
    <row r="64" spans="6:27" ht="15.75" thickBot="1" x14ac:dyDescent="0.3">
      <c r="V64" s="18" t="s">
        <v>1</v>
      </c>
      <c r="W64" s="18">
        <v>29</v>
      </c>
      <c r="X64" s="18">
        <v>17457.866666666669</v>
      </c>
      <c r="Y64" s="18"/>
      <c r="Z64" s="18"/>
      <c r="AA64" s="18"/>
    </row>
    <row r="65" spans="22:28" ht="15.75" thickBot="1" x14ac:dyDescent="0.3"/>
    <row r="66" spans="22:28" x14ac:dyDescent="0.25">
      <c r="V66" s="160"/>
      <c r="W66" s="160" t="s">
        <v>105</v>
      </c>
      <c r="X66" s="160" t="s">
        <v>8</v>
      </c>
      <c r="Y66" s="160" t="s">
        <v>64</v>
      </c>
      <c r="Z66" s="160" t="s">
        <v>74</v>
      </c>
      <c r="AA66" s="160" t="s">
        <v>106</v>
      </c>
      <c r="AB66" s="160" t="s">
        <v>107</v>
      </c>
    </row>
    <row r="67" spans="22:28" x14ac:dyDescent="0.25">
      <c r="V67" s="17" t="s">
        <v>103</v>
      </c>
      <c r="W67" s="17">
        <v>153.30000000000001</v>
      </c>
      <c r="X67" s="17">
        <v>7.9126246991519587</v>
      </c>
      <c r="Y67" s="17">
        <v>19.374102251611916</v>
      </c>
      <c r="Z67" s="17">
        <v>2.2773089840122635E-17</v>
      </c>
      <c r="AA67" s="17">
        <v>137.06463517682437</v>
      </c>
      <c r="AB67" s="17">
        <v>169.53536482317566</v>
      </c>
    </row>
    <row r="68" spans="22:28" x14ac:dyDescent="0.25">
      <c r="V68" s="17" t="s">
        <v>218</v>
      </c>
      <c r="W68" s="17">
        <v>-5.8000000000000025</v>
      </c>
      <c r="X68" s="17">
        <v>11.190141163509033</v>
      </c>
      <c r="Y68" s="17">
        <v>-0.51831338990733733</v>
      </c>
      <c r="Z68" s="17">
        <v>0.60846147622121627</v>
      </c>
      <c r="AA68" s="17">
        <v>-28.760273123010052</v>
      </c>
      <c r="AB68" s="17">
        <v>17.160273123010043</v>
      </c>
    </row>
    <row r="69" spans="22:28" ht="15.75" thickBot="1" x14ac:dyDescent="0.3">
      <c r="V69" s="18" t="s">
        <v>312</v>
      </c>
      <c r="W69" s="18">
        <v>4.6999999999999984</v>
      </c>
      <c r="X69" s="18">
        <v>11.190141163509031</v>
      </c>
      <c r="Y69" s="18">
        <v>0.42001257458008345</v>
      </c>
      <c r="Z69" s="18">
        <v>0.67779993734881439</v>
      </c>
      <c r="AA69" s="18">
        <v>-18.260273123010045</v>
      </c>
      <c r="AB69" s="18">
        <v>27.660273123010043</v>
      </c>
    </row>
  </sheetData>
  <mergeCells count="1"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AA119"/>
  <sheetViews>
    <sheetView zoomScaleNormal="100" workbookViewId="0"/>
  </sheetViews>
  <sheetFormatPr defaultRowHeight="15" x14ac:dyDescent="0.25"/>
  <cols>
    <col min="6" max="11" width="7.42578125" customWidth="1"/>
    <col min="13" max="13" width="18" customWidth="1"/>
    <col min="14" max="14" width="11.5703125" customWidth="1"/>
    <col min="15" max="15" width="14.140625" customWidth="1"/>
    <col min="16" max="17" width="11.5703125" customWidth="1"/>
    <col min="18" max="18" width="12.28515625" customWidth="1"/>
    <col min="19" max="19" width="11.5703125" customWidth="1"/>
    <col min="21" max="21" width="19.5703125" customWidth="1"/>
  </cols>
  <sheetData>
    <row r="1" spans="1:25" x14ac:dyDescent="0.25">
      <c r="A1" s="1" t="s">
        <v>311</v>
      </c>
    </row>
    <row r="2" spans="1:25" x14ac:dyDescent="0.25">
      <c r="M2" t="s">
        <v>97</v>
      </c>
    </row>
    <row r="3" spans="1:25" ht="15.75" thickBot="1" x14ac:dyDescent="0.3">
      <c r="A3" s="11"/>
      <c r="B3" s="574" t="s">
        <v>250</v>
      </c>
      <c r="C3" s="575"/>
      <c r="D3" s="576"/>
      <c r="F3" s="12" t="s">
        <v>217</v>
      </c>
      <c r="G3" s="12" t="s">
        <v>218</v>
      </c>
      <c r="H3" s="12" t="s">
        <v>312</v>
      </c>
      <c r="I3" s="24" t="s">
        <v>313</v>
      </c>
      <c r="J3" s="24" t="s">
        <v>314</v>
      </c>
      <c r="K3" s="24" t="s">
        <v>84</v>
      </c>
      <c r="U3" t="s">
        <v>248</v>
      </c>
    </row>
    <row r="4" spans="1:25" x14ac:dyDescent="0.25">
      <c r="A4" s="135" t="s">
        <v>251</v>
      </c>
      <c r="B4" s="121" t="s">
        <v>240</v>
      </c>
      <c r="C4" s="121" t="s">
        <v>241</v>
      </c>
      <c r="D4" s="121" t="s">
        <v>245</v>
      </c>
      <c r="F4" s="140">
        <v>1</v>
      </c>
      <c r="G4" s="138">
        <v>1</v>
      </c>
      <c r="H4" s="139">
        <v>0</v>
      </c>
      <c r="I4" s="140">
        <f>F4*G4</f>
        <v>1</v>
      </c>
      <c r="J4" s="139">
        <f>F4*H4</f>
        <v>0</v>
      </c>
      <c r="K4" s="122">
        <v>128</v>
      </c>
      <c r="M4" s="19" t="s">
        <v>98</v>
      </c>
      <c r="N4" s="19"/>
    </row>
    <row r="5" spans="1:25" x14ac:dyDescent="0.25">
      <c r="A5" s="147" t="s">
        <v>242</v>
      </c>
      <c r="B5" s="122">
        <v>128</v>
      </c>
      <c r="C5" s="122">
        <v>166</v>
      </c>
      <c r="D5" s="122">
        <v>151</v>
      </c>
      <c r="F5" s="124">
        <v>1</v>
      </c>
      <c r="G5" s="7">
        <v>1</v>
      </c>
      <c r="H5" s="8">
        <v>0</v>
      </c>
      <c r="I5">
        <f>F5*G5</f>
        <v>1</v>
      </c>
      <c r="J5">
        <f>F5*H5</f>
        <v>0</v>
      </c>
      <c r="K5" s="123">
        <v>150</v>
      </c>
      <c r="M5" s="17" t="s">
        <v>99</v>
      </c>
      <c r="N5" s="17">
        <v>0.56029164944145027</v>
      </c>
      <c r="U5" t="s">
        <v>52</v>
      </c>
      <c r="V5" t="s">
        <v>240</v>
      </c>
      <c r="W5" t="s">
        <v>241</v>
      </c>
      <c r="X5" t="s">
        <v>245</v>
      </c>
      <c r="Y5" t="s">
        <v>1</v>
      </c>
    </row>
    <row r="6" spans="1:25" ht="15.75" thickBot="1" x14ac:dyDescent="0.3">
      <c r="A6" s="123"/>
      <c r="B6" s="123">
        <v>150</v>
      </c>
      <c r="C6" s="123">
        <v>178</v>
      </c>
      <c r="D6" s="123">
        <v>125</v>
      </c>
      <c r="F6" s="124">
        <v>1</v>
      </c>
      <c r="G6" s="7">
        <v>1</v>
      </c>
      <c r="H6" s="8">
        <v>0</v>
      </c>
      <c r="I6">
        <f>F6*G6</f>
        <v>1</v>
      </c>
      <c r="J6">
        <f>F6*H6</f>
        <v>0</v>
      </c>
      <c r="K6" s="123">
        <v>174</v>
      </c>
      <c r="M6" s="17" t="s">
        <v>96</v>
      </c>
      <c r="N6" s="17">
        <v>0.31392673243382097</v>
      </c>
      <c r="U6" s="125" t="s">
        <v>242</v>
      </c>
      <c r="V6" s="125"/>
      <c r="W6" s="125"/>
      <c r="X6" s="125"/>
      <c r="Y6" s="125"/>
    </row>
    <row r="7" spans="1:25" x14ac:dyDescent="0.25">
      <c r="A7" s="123"/>
      <c r="B7" s="123">
        <v>174</v>
      </c>
      <c r="C7" s="123">
        <v>187</v>
      </c>
      <c r="D7" s="123">
        <v>117</v>
      </c>
      <c r="F7" s="124">
        <v>1</v>
      </c>
      <c r="G7" s="7">
        <v>1</v>
      </c>
      <c r="H7" s="8">
        <v>0</v>
      </c>
      <c r="I7">
        <f>F7*G7</f>
        <v>1</v>
      </c>
      <c r="J7">
        <f>F7*H7</f>
        <v>0</v>
      </c>
      <c r="K7" s="123">
        <v>116</v>
      </c>
      <c r="M7" s="17" t="s">
        <v>100</v>
      </c>
      <c r="N7" s="17">
        <v>0.15057595444187358</v>
      </c>
      <c r="U7" s="17" t="s">
        <v>19</v>
      </c>
      <c r="V7" s="17">
        <v>5</v>
      </c>
      <c r="W7" s="17">
        <v>5</v>
      </c>
      <c r="X7" s="17">
        <v>5</v>
      </c>
      <c r="Y7" s="17">
        <v>15</v>
      </c>
    </row>
    <row r="8" spans="1:25" x14ac:dyDescent="0.25">
      <c r="A8" s="123"/>
      <c r="B8" s="123">
        <v>116</v>
      </c>
      <c r="C8" s="123">
        <v>153</v>
      </c>
      <c r="D8" s="123">
        <v>155</v>
      </c>
      <c r="F8" s="9">
        <v>1</v>
      </c>
      <c r="G8" s="10">
        <v>1</v>
      </c>
      <c r="H8" s="11">
        <v>0</v>
      </c>
      <c r="I8">
        <f>F8*G8</f>
        <v>1</v>
      </c>
      <c r="J8">
        <f>F8*H8</f>
        <v>0</v>
      </c>
      <c r="K8" s="22">
        <v>109</v>
      </c>
      <c r="M8" s="17" t="s">
        <v>8</v>
      </c>
      <c r="N8" s="17">
        <v>21.916182323092858</v>
      </c>
      <c r="U8" s="17" t="s">
        <v>18</v>
      </c>
      <c r="V8" s="17">
        <v>677</v>
      </c>
      <c r="W8" s="17">
        <v>879</v>
      </c>
      <c r="X8" s="17">
        <v>706</v>
      </c>
      <c r="Y8" s="17">
        <v>2262</v>
      </c>
    </row>
    <row r="9" spans="1:25" ht="15.75" thickBot="1" x14ac:dyDescent="0.3">
      <c r="A9" s="123"/>
      <c r="B9" s="22">
        <v>109</v>
      </c>
      <c r="C9" s="22"/>
      <c r="D9" s="22">
        <v>158</v>
      </c>
      <c r="F9" s="140">
        <v>-1</v>
      </c>
      <c r="G9" s="138">
        <v>1</v>
      </c>
      <c r="H9" s="139">
        <v>0</v>
      </c>
      <c r="I9" s="140">
        <f t="shared" ref="I9:I30" si="0">F9*G9</f>
        <v>-1</v>
      </c>
      <c r="J9" s="139">
        <f t="shared" ref="J9:J30" si="1">F9*H9</f>
        <v>0</v>
      </c>
      <c r="K9" s="122">
        <v>175</v>
      </c>
      <c r="M9" s="18" t="s">
        <v>63</v>
      </c>
      <c r="N9" s="18">
        <v>27</v>
      </c>
      <c r="U9" s="17" t="s">
        <v>134</v>
      </c>
      <c r="V9" s="17">
        <v>135.4</v>
      </c>
      <c r="W9" s="17">
        <v>175.8</v>
      </c>
      <c r="X9" s="17">
        <v>141.19999999999999</v>
      </c>
      <c r="Y9" s="17">
        <v>150.80000000000001</v>
      </c>
    </row>
    <row r="10" spans="1:25" x14ac:dyDescent="0.25">
      <c r="A10" s="147" t="s">
        <v>243</v>
      </c>
      <c r="B10" s="122">
        <v>175</v>
      </c>
      <c r="C10" s="122">
        <v>140</v>
      </c>
      <c r="D10" s="122">
        <v>167</v>
      </c>
      <c r="F10" s="124">
        <v>-1</v>
      </c>
      <c r="G10" s="7">
        <v>1</v>
      </c>
      <c r="H10" s="8">
        <v>0</v>
      </c>
      <c r="I10">
        <f t="shared" si="0"/>
        <v>-1</v>
      </c>
      <c r="J10">
        <f t="shared" si="1"/>
        <v>0</v>
      </c>
      <c r="K10" s="123">
        <v>132</v>
      </c>
      <c r="U10" s="17" t="s">
        <v>62</v>
      </c>
      <c r="V10" s="17">
        <v>707.79999999999927</v>
      </c>
      <c r="W10" s="17">
        <v>278.7</v>
      </c>
      <c r="X10" s="17">
        <v>354.20000000000073</v>
      </c>
      <c r="Y10" s="17">
        <v>723.88571428571595</v>
      </c>
    </row>
    <row r="11" spans="1:25" ht="15.75" thickBot="1" x14ac:dyDescent="0.3">
      <c r="A11" s="123"/>
      <c r="B11" s="123">
        <v>132</v>
      </c>
      <c r="C11" s="123">
        <v>145</v>
      </c>
      <c r="D11" s="123">
        <v>183</v>
      </c>
      <c r="F11" s="124">
        <v>-1</v>
      </c>
      <c r="G11" s="7">
        <v>1</v>
      </c>
      <c r="H11" s="8">
        <v>0</v>
      </c>
      <c r="I11">
        <f t="shared" si="0"/>
        <v>-1</v>
      </c>
      <c r="J11">
        <f t="shared" si="1"/>
        <v>0</v>
      </c>
      <c r="K11" s="123">
        <v>120</v>
      </c>
      <c r="M11" t="s">
        <v>101</v>
      </c>
      <c r="U11" s="17"/>
      <c r="V11" s="17"/>
      <c r="W11" s="17"/>
      <c r="X11" s="17"/>
      <c r="Y11" s="17"/>
    </row>
    <row r="12" spans="1:25" ht="15.75" thickBot="1" x14ac:dyDescent="0.3">
      <c r="A12" s="123"/>
      <c r="B12" s="123">
        <v>120</v>
      </c>
      <c r="C12" s="123">
        <v>159</v>
      </c>
      <c r="D12" s="123">
        <v>142</v>
      </c>
      <c r="F12" s="124">
        <v>-1</v>
      </c>
      <c r="G12" s="7">
        <v>1</v>
      </c>
      <c r="H12" s="8">
        <v>0</v>
      </c>
      <c r="I12">
        <f t="shared" si="0"/>
        <v>-1</v>
      </c>
      <c r="J12">
        <f t="shared" si="1"/>
        <v>0</v>
      </c>
      <c r="K12" s="123">
        <v>187</v>
      </c>
      <c r="M12" s="160"/>
      <c r="N12" s="160" t="s">
        <v>51</v>
      </c>
      <c r="O12" s="160" t="s">
        <v>88</v>
      </c>
      <c r="P12" s="160" t="s">
        <v>92</v>
      </c>
      <c r="Q12" s="160" t="s">
        <v>82</v>
      </c>
      <c r="R12" s="160" t="s">
        <v>104</v>
      </c>
      <c r="U12" s="125" t="s">
        <v>243</v>
      </c>
      <c r="V12" s="125"/>
      <c r="W12" s="125"/>
      <c r="X12" s="125"/>
      <c r="Y12" s="125"/>
    </row>
    <row r="13" spans="1:25" x14ac:dyDescent="0.25">
      <c r="A13" s="123"/>
      <c r="B13" s="123">
        <v>187</v>
      </c>
      <c r="C13" s="123">
        <v>131</v>
      </c>
      <c r="D13" s="123">
        <v>167</v>
      </c>
      <c r="F13" s="9">
        <v>-1</v>
      </c>
      <c r="G13" s="10">
        <v>1</v>
      </c>
      <c r="H13" s="11">
        <v>0</v>
      </c>
      <c r="I13">
        <f t="shared" si="0"/>
        <v>-1</v>
      </c>
      <c r="J13">
        <f t="shared" si="1"/>
        <v>0</v>
      </c>
      <c r="K13" s="22">
        <v>184</v>
      </c>
      <c r="M13" s="17" t="s">
        <v>91</v>
      </c>
      <c r="N13" s="17">
        <v>5</v>
      </c>
      <c r="O13" s="17">
        <v>4615.3740740740668</v>
      </c>
      <c r="P13" s="17">
        <v>923.07481481481341</v>
      </c>
      <c r="Q13" s="17">
        <v>1.9217951471850134</v>
      </c>
      <c r="R13" s="17">
        <v>0.13335730785056746</v>
      </c>
      <c r="U13" s="17" t="s">
        <v>19</v>
      </c>
      <c r="V13" s="17">
        <v>5</v>
      </c>
      <c r="W13" s="17">
        <v>5</v>
      </c>
      <c r="X13" s="17">
        <v>5</v>
      </c>
      <c r="Y13" s="17">
        <v>15</v>
      </c>
    </row>
    <row r="14" spans="1:25" x14ac:dyDescent="0.25">
      <c r="A14" s="58"/>
      <c r="B14" s="22">
        <v>184</v>
      </c>
      <c r="C14" s="22"/>
      <c r="D14" s="22"/>
      <c r="F14" s="140">
        <v>1</v>
      </c>
      <c r="G14" s="149">
        <v>0</v>
      </c>
      <c r="H14" s="139">
        <v>1</v>
      </c>
      <c r="I14" s="140">
        <f t="shared" si="0"/>
        <v>0</v>
      </c>
      <c r="J14" s="139">
        <f t="shared" si="1"/>
        <v>1</v>
      </c>
      <c r="K14" s="122">
        <v>166</v>
      </c>
      <c r="M14" s="17" t="s">
        <v>102</v>
      </c>
      <c r="N14" s="17">
        <v>21</v>
      </c>
      <c r="O14" s="17">
        <v>10086.700000000004</v>
      </c>
      <c r="P14" s="17">
        <v>480.31904761904781</v>
      </c>
      <c r="Q14" s="17"/>
      <c r="R14" s="17"/>
      <c r="U14" s="17" t="s">
        <v>18</v>
      </c>
      <c r="V14" s="17">
        <v>798</v>
      </c>
      <c r="W14" s="17">
        <v>701</v>
      </c>
      <c r="X14" s="17">
        <v>827</v>
      </c>
      <c r="Y14" s="17">
        <v>2326</v>
      </c>
    </row>
    <row r="15" spans="1:25" ht="15.75" thickBot="1" x14ac:dyDescent="0.3">
      <c r="F15" s="124">
        <v>1</v>
      </c>
      <c r="G15" s="28">
        <v>0</v>
      </c>
      <c r="H15" s="8">
        <v>1</v>
      </c>
      <c r="I15">
        <f t="shared" si="0"/>
        <v>0</v>
      </c>
      <c r="J15">
        <f t="shared" si="1"/>
        <v>1</v>
      </c>
      <c r="K15" s="123">
        <v>178</v>
      </c>
      <c r="M15" s="18" t="s">
        <v>1</v>
      </c>
      <c r="N15" s="18">
        <v>26</v>
      </c>
      <c r="O15" s="18">
        <v>14702.074074074071</v>
      </c>
      <c r="P15" s="18"/>
      <c r="Q15" s="18"/>
      <c r="R15" s="18"/>
      <c r="U15" s="17" t="s">
        <v>134</v>
      </c>
      <c r="V15" s="17">
        <v>159.6</v>
      </c>
      <c r="W15" s="17">
        <v>140.19999999999999</v>
      </c>
      <c r="X15" s="17">
        <v>165.4</v>
      </c>
      <c r="Y15" s="17">
        <v>155.06666666666666</v>
      </c>
    </row>
    <row r="16" spans="1:25" ht="15.75" thickBot="1" x14ac:dyDescent="0.3">
      <c r="A16" t="s">
        <v>342</v>
      </c>
      <c r="F16" s="124">
        <v>1</v>
      </c>
      <c r="G16" s="28">
        <v>0</v>
      </c>
      <c r="H16" s="8">
        <v>1</v>
      </c>
      <c r="I16">
        <f t="shared" si="0"/>
        <v>0</v>
      </c>
      <c r="J16">
        <f t="shared" si="1"/>
        <v>1</v>
      </c>
      <c r="K16" s="123">
        <v>187</v>
      </c>
      <c r="U16" s="17" t="s">
        <v>62</v>
      </c>
      <c r="V16" s="17">
        <v>978.29999999999927</v>
      </c>
      <c r="W16" s="17">
        <v>165.7</v>
      </c>
      <c r="X16" s="17">
        <v>217.3</v>
      </c>
      <c r="Y16" s="17">
        <v>513.35238095238208</v>
      </c>
    </row>
    <row r="17" spans="1:27" x14ac:dyDescent="0.25">
      <c r="A17" t="s">
        <v>343</v>
      </c>
      <c r="F17" s="124">
        <v>1</v>
      </c>
      <c r="G17" s="28">
        <v>0</v>
      </c>
      <c r="H17" s="8">
        <v>1</v>
      </c>
      <c r="I17">
        <f t="shared" si="0"/>
        <v>0</v>
      </c>
      <c r="J17">
        <f t="shared" si="1"/>
        <v>1</v>
      </c>
      <c r="K17" s="123">
        <v>153</v>
      </c>
      <c r="M17" s="160"/>
      <c r="N17" s="160" t="s">
        <v>105</v>
      </c>
      <c r="O17" s="160" t="s">
        <v>8</v>
      </c>
      <c r="P17" s="160" t="s">
        <v>64</v>
      </c>
      <c r="Q17" s="160" t="s">
        <v>74</v>
      </c>
      <c r="R17" s="160" t="s">
        <v>106</v>
      </c>
      <c r="S17" s="160" t="s">
        <v>107</v>
      </c>
      <c r="U17" s="17"/>
      <c r="V17" s="17"/>
      <c r="W17" s="17"/>
      <c r="X17" s="17"/>
      <c r="Y17" s="17"/>
    </row>
    <row r="18" spans="1:27" ht="15.75" thickBot="1" x14ac:dyDescent="0.3">
      <c r="A18" t="s">
        <v>344</v>
      </c>
      <c r="F18" s="140">
        <v>-1</v>
      </c>
      <c r="G18" s="149">
        <v>0</v>
      </c>
      <c r="H18" s="139">
        <v>1</v>
      </c>
      <c r="I18" s="140">
        <f t="shared" si="0"/>
        <v>0</v>
      </c>
      <c r="J18" s="139">
        <f t="shared" si="1"/>
        <v>-1</v>
      </c>
      <c r="K18" s="122">
        <v>140</v>
      </c>
      <c r="M18" s="17" t="s">
        <v>103</v>
      </c>
      <c r="N18" s="17">
        <v>152.61666666666667</v>
      </c>
      <c r="O18" s="17">
        <v>4.2440504574892008</v>
      </c>
      <c r="P18" s="17">
        <v>35.960144252609894</v>
      </c>
      <c r="Q18" s="17">
        <v>2.3792900077186923E-20</v>
      </c>
      <c r="R18" s="17">
        <v>143.7906805775493</v>
      </c>
      <c r="S18" s="17">
        <v>161.44265275578405</v>
      </c>
      <c r="U18" s="125" t="s">
        <v>1</v>
      </c>
      <c r="V18" s="125"/>
      <c r="W18" s="125"/>
      <c r="X18" s="125"/>
    </row>
    <row r="19" spans="1:27" x14ac:dyDescent="0.25">
      <c r="F19" s="124">
        <v>-1</v>
      </c>
      <c r="G19" s="28">
        <v>0</v>
      </c>
      <c r="H19" s="8">
        <v>1</v>
      </c>
      <c r="I19">
        <f t="shared" si="0"/>
        <v>0</v>
      </c>
      <c r="J19">
        <f t="shared" si="1"/>
        <v>-1</v>
      </c>
      <c r="K19" s="123">
        <v>145</v>
      </c>
      <c r="M19" s="17" t="s">
        <v>217</v>
      </c>
      <c r="N19" s="17">
        <v>-3.4166666666666652</v>
      </c>
      <c r="O19" s="17">
        <v>4.2440504574892017</v>
      </c>
      <c r="P19" s="17">
        <v>-0.80504854993830111</v>
      </c>
      <c r="Q19" s="17">
        <v>0.42981280716326731</v>
      </c>
      <c r="R19" s="17">
        <v>-12.242652755784054</v>
      </c>
      <c r="S19" s="17">
        <v>5.4093194224507224</v>
      </c>
      <c r="U19" s="17" t="s">
        <v>19</v>
      </c>
      <c r="V19" s="17">
        <v>10</v>
      </c>
      <c r="W19" s="17">
        <v>10</v>
      </c>
      <c r="X19" s="17">
        <v>10</v>
      </c>
    </row>
    <row r="20" spans="1:27" x14ac:dyDescent="0.25">
      <c r="F20" s="124">
        <v>-1</v>
      </c>
      <c r="G20" s="28">
        <v>0</v>
      </c>
      <c r="H20" s="8">
        <v>1</v>
      </c>
      <c r="I20">
        <f t="shared" si="0"/>
        <v>0</v>
      </c>
      <c r="J20">
        <f t="shared" si="1"/>
        <v>-1</v>
      </c>
      <c r="K20" s="123">
        <v>159</v>
      </c>
      <c r="M20" s="17" t="s">
        <v>218</v>
      </c>
      <c r="N20" s="17">
        <v>-5.1166666666666645</v>
      </c>
      <c r="O20" s="17">
        <v>5.8328894388929777</v>
      </c>
      <c r="P20" s="17">
        <v>-0.87720960945177029</v>
      </c>
      <c r="Q20" s="17">
        <v>0.39029810809252885</v>
      </c>
      <c r="R20" s="17">
        <v>-17.246824298554369</v>
      </c>
      <c r="S20" s="17">
        <v>7.0134909652210409</v>
      </c>
      <c r="U20" s="17" t="s">
        <v>18</v>
      </c>
      <c r="V20" s="17">
        <v>1475</v>
      </c>
      <c r="W20" s="17">
        <v>1580</v>
      </c>
      <c r="X20" s="17">
        <v>1533</v>
      </c>
    </row>
    <row r="21" spans="1:27" x14ac:dyDescent="0.25">
      <c r="F21" s="124">
        <v>-1</v>
      </c>
      <c r="G21" s="28">
        <v>0</v>
      </c>
      <c r="H21" s="8">
        <v>1</v>
      </c>
      <c r="I21">
        <f t="shared" si="0"/>
        <v>0</v>
      </c>
      <c r="J21">
        <f t="shared" si="1"/>
        <v>-1</v>
      </c>
      <c r="K21" s="123">
        <v>131</v>
      </c>
      <c r="M21" s="17" t="s">
        <v>312</v>
      </c>
      <c r="N21" s="17">
        <v>4.7583333333333293</v>
      </c>
      <c r="O21" s="17">
        <v>6.1664623518276622</v>
      </c>
      <c r="P21" s="17">
        <v>0.7716471879412381</v>
      </c>
      <c r="Q21" s="17">
        <v>0.44892011727768966</v>
      </c>
      <c r="R21" s="17">
        <v>-8.0655271465194875</v>
      </c>
      <c r="S21" s="17">
        <v>17.582193813186144</v>
      </c>
      <c r="U21" s="17" t="s">
        <v>134</v>
      </c>
      <c r="V21" s="17">
        <v>147.5</v>
      </c>
      <c r="W21" s="17">
        <v>158</v>
      </c>
      <c r="X21" s="17">
        <v>153.30000000000001</v>
      </c>
    </row>
    <row r="22" spans="1:27" x14ac:dyDescent="0.25">
      <c r="F22" s="140">
        <v>1</v>
      </c>
      <c r="G22" s="149">
        <v>-1</v>
      </c>
      <c r="H22" s="151">
        <v>-1</v>
      </c>
      <c r="I22" s="140">
        <f t="shared" si="0"/>
        <v>-1</v>
      </c>
      <c r="J22" s="139">
        <f t="shared" si="1"/>
        <v>-1</v>
      </c>
      <c r="K22" s="122">
        <v>151</v>
      </c>
      <c r="M22" s="17" t="s">
        <v>313</v>
      </c>
      <c r="N22" s="17">
        <v>-8.6833333333333318</v>
      </c>
      <c r="O22" s="17">
        <v>5.832889438892976</v>
      </c>
      <c r="P22" s="17">
        <v>-1.4886847118057738</v>
      </c>
      <c r="Q22" s="17">
        <v>0.15143508092319719</v>
      </c>
      <c r="R22" s="17">
        <v>-20.813490965221035</v>
      </c>
      <c r="S22" s="17">
        <v>3.44682429855437</v>
      </c>
      <c r="U22" s="17" t="s">
        <v>62</v>
      </c>
      <c r="V22" s="17">
        <v>912.05555555555554</v>
      </c>
      <c r="W22" s="17">
        <v>549.55555555555554</v>
      </c>
      <c r="X22" s="17">
        <v>416.67777777777843</v>
      </c>
    </row>
    <row r="23" spans="1:27" ht="15.75" thickBot="1" x14ac:dyDescent="0.3">
      <c r="F23" s="124">
        <v>1</v>
      </c>
      <c r="G23" s="28">
        <v>-1</v>
      </c>
      <c r="H23" s="114">
        <v>-1</v>
      </c>
      <c r="I23">
        <f t="shared" si="0"/>
        <v>-1</v>
      </c>
      <c r="J23">
        <f t="shared" si="1"/>
        <v>-1</v>
      </c>
      <c r="K23" s="123">
        <v>125</v>
      </c>
      <c r="M23" s="18" t="s">
        <v>314</v>
      </c>
      <c r="N23" s="18">
        <v>17.041666666666668</v>
      </c>
      <c r="O23" s="18">
        <v>6.1664623518276622</v>
      </c>
      <c r="P23" s="18">
        <v>2.7636050776529482</v>
      </c>
      <c r="Q23" s="18">
        <v>1.1640056661955401E-2</v>
      </c>
      <c r="R23" s="18">
        <v>4.217806186813851</v>
      </c>
      <c r="S23" s="18">
        <v>29.865527146519483</v>
      </c>
      <c r="U23" s="17"/>
      <c r="V23" s="17"/>
      <c r="W23" s="17"/>
      <c r="X23" s="17"/>
    </row>
    <row r="24" spans="1:27" x14ac:dyDescent="0.25">
      <c r="F24" s="124">
        <v>1</v>
      </c>
      <c r="G24" s="28">
        <v>-1</v>
      </c>
      <c r="H24" s="114">
        <v>-1</v>
      </c>
      <c r="I24">
        <f t="shared" si="0"/>
        <v>-1</v>
      </c>
      <c r="J24">
        <f t="shared" si="1"/>
        <v>-1</v>
      </c>
      <c r="K24" s="123">
        <v>117</v>
      </c>
    </row>
    <row r="25" spans="1:27" ht="15.75" thickBot="1" x14ac:dyDescent="0.3">
      <c r="F25" s="124">
        <v>1</v>
      </c>
      <c r="G25" s="28">
        <v>-1</v>
      </c>
      <c r="H25" s="114">
        <v>-1</v>
      </c>
      <c r="I25">
        <f t="shared" si="0"/>
        <v>-1</v>
      </c>
      <c r="J25">
        <f t="shared" si="1"/>
        <v>-1</v>
      </c>
      <c r="K25" s="123">
        <v>155</v>
      </c>
      <c r="M25" s="27" t="s">
        <v>347</v>
      </c>
      <c r="U25" t="s">
        <v>101</v>
      </c>
    </row>
    <row r="26" spans="1:27" x14ac:dyDescent="0.25">
      <c r="F26" s="9">
        <v>1</v>
      </c>
      <c r="G26" s="150">
        <v>-1</v>
      </c>
      <c r="H26" s="152">
        <v>-1</v>
      </c>
      <c r="I26">
        <f t="shared" si="0"/>
        <v>-1</v>
      </c>
      <c r="J26">
        <f t="shared" si="1"/>
        <v>-1</v>
      </c>
      <c r="K26" s="22">
        <v>158</v>
      </c>
      <c r="U26" s="160" t="s">
        <v>135</v>
      </c>
      <c r="V26" s="160" t="s">
        <v>88</v>
      </c>
      <c r="W26" s="160" t="s">
        <v>51</v>
      </c>
      <c r="X26" s="160" t="s">
        <v>92</v>
      </c>
      <c r="Y26" s="160" t="s">
        <v>82</v>
      </c>
      <c r="Z26" s="160" t="s">
        <v>74</v>
      </c>
      <c r="AA26" s="160" t="s">
        <v>136</v>
      </c>
    </row>
    <row r="27" spans="1:27" x14ac:dyDescent="0.25">
      <c r="F27" s="140">
        <v>-1</v>
      </c>
      <c r="G27" s="149">
        <v>-1</v>
      </c>
      <c r="H27" s="151">
        <v>-1</v>
      </c>
      <c r="I27" s="140">
        <f t="shared" si="0"/>
        <v>1</v>
      </c>
      <c r="J27" s="139">
        <f t="shared" si="1"/>
        <v>1</v>
      </c>
      <c r="K27" s="122">
        <v>167</v>
      </c>
      <c r="M27" t="s">
        <v>97</v>
      </c>
      <c r="U27" s="17" t="s">
        <v>83</v>
      </c>
      <c r="V27" s="17">
        <v>136.53333333333285</v>
      </c>
      <c r="W27" s="17">
        <v>1</v>
      </c>
      <c r="X27" s="17">
        <v>136.53333333333285</v>
      </c>
      <c r="Y27" s="17">
        <v>0.30318282753515807</v>
      </c>
      <c r="Z27" s="17">
        <v>0.58698317897716845</v>
      </c>
      <c r="AA27" s="17">
        <v>4.2596772726902348</v>
      </c>
    </row>
    <row r="28" spans="1:27" ht="15.75" thickBot="1" x14ac:dyDescent="0.3">
      <c r="F28" s="124">
        <v>-1</v>
      </c>
      <c r="G28" s="28">
        <v>-1</v>
      </c>
      <c r="H28" s="114">
        <v>-1</v>
      </c>
      <c r="I28" s="124">
        <f t="shared" si="0"/>
        <v>1</v>
      </c>
      <c r="J28" s="8">
        <f t="shared" si="1"/>
        <v>1</v>
      </c>
      <c r="K28" s="123">
        <v>183</v>
      </c>
      <c r="U28" s="17" t="s">
        <v>238</v>
      </c>
      <c r="V28" s="17">
        <v>553.26666666666642</v>
      </c>
      <c r="W28" s="17">
        <v>2</v>
      </c>
      <c r="X28" s="17">
        <v>276.63333333333321</v>
      </c>
      <c r="Y28" s="17">
        <v>0.61428571428571399</v>
      </c>
      <c r="Z28" s="17">
        <v>0.54931693706660334</v>
      </c>
      <c r="AA28" s="17">
        <v>3.4028261053501945</v>
      </c>
    </row>
    <row r="29" spans="1:27" x14ac:dyDescent="0.25">
      <c r="F29" s="124">
        <v>-1</v>
      </c>
      <c r="G29" s="28">
        <v>-1</v>
      </c>
      <c r="H29" s="114">
        <v>-1</v>
      </c>
      <c r="I29" s="124">
        <f t="shared" si="0"/>
        <v>1</v>
      </c>
      <c r="J29" s="8">
        <f t="shared" si="1"/>
        <v>1</v>
      </c>
      <c r="K29" s="123">
        <v>142</v>
      </c>
      <c r="M29" s="19" t="s">
        <v>98</v>
      </c>
      <c r="N29" s="19"/>
      <c r="U29" s="17" t="s">
        <v>120</v>
      </c>
      <c r="V29" s="17">
        <v>5960.0666666666657</v>
      </c>
      <c r="W29" s="17">
        <v>2</v>
      </c>
      <c r="X29" s="17">
        <v>2980.0333333333328</v>
      </c>
      <c r="Y29" s="17">
        <v>6.6173945225758688</v>
      </c>
      <c r="Z29" s="17">
        <v>5.1421901060349955E-3</v>
      </c>
      <c r="AA29" s="17">
        <v>3.4028261053501945</v>
      </c>
    </row>
    <row r="30" spans="1:27" x14ac:dyDescent="0.25">
      <c r="F30" s="9">
        <v>-1</v>
      </c>
      <c r="G30" s="150">
        <v>-1</v>
      </c>
      <c r="H30" s="152">
        <v>-1</v>
      </c>
      <c r="I30" s="9">
        <f t="shared" si="0"/>
        <v>1</v>
      </c>
      <c r="J30" s="11">
        <f t="shared" si="1"/>
        <v>1</v>
      </c>
      <c r="K30" s="22">
        <v>167</v>
      </c>
      <c r="M30" s="17" t="s">
        <v>99</v>
      </c>
      <c r="N30" s="17">
        <v>0.25284299482842942</v>
      </c>
      <c r="U30" s="17" t="s">
        <v>249</v>
      </c>
      <c r="V30" s="17">
        <v>10808</v>
      </c>
      <c r="W30" s="17">
        <v>24</v>
      </c>
      <c r="X30" s="17">
        <v>450.33333333333331</v>
      </c>
      <c r="Y30" s="17"/>
      <c r="Z30" s="17"/>
      <c r="AA30" s="17"/>
    </row>
    <row r="31" spans="1:27" x14ac:dyDescent="0.25">
      <c r="M31" s="17" t="s">
        <v>96</v>
      </c>
      <c r="N31" s="17">
        <v>6.3929580033809177E-2</v>
      </c>
      <c r="U31" s="17"/>
      <c r="V31" s="17"/>
      <c r="W31" s="17"/>
      <c r="X31" s="17"/>
      <c r="Y31" s="17"/>
      <c r="Z31" s="17"/>
      <c r="AA31" s="17"/>
    </row>
    <row r="32" spans="1:27" ht="15.75" thickBot="1" x14ac:dyDescent="0.3">
      <c r="F32" t="s">
        <v>345</v>
      </c>
      <c r="M32" s="17" t="s">
        <v>100</v>
      </c>
      <c r="N32" s="17">
        <v>-5.8166561700911369E-2</v>
      </c>
      <c r="U32" s="18" t="s">
        <v>1</v>
      </c>
      <c r="V32" s="18">
        <v>17457.866666666665</v>
      </c>
      <c r="W32" s="18">
        <v>29</v>
      </c>
      <c r="X32" s="18"/>
      <c r="Y32" s="18"/>
      <c r="Z32" s="18"/>
      <c r="AA32" s="18"/>
    </row>
    <row r="33" spans="6:23" x14ac:dyDescent="0.25">
      <c r="M33" s="17" t="s">
        <v>8</v>
      </c>
      <c r="N33" s="17">
        <v>24.46130631522983</v>
      </c>
    </row>
    <row r="34" spans="6:23" ht="15.75" thickBot="1" x14ac:dyDescent="0.3">
      <c r="F34" s="7"/>
      <c r="G34" s="23" t="s">
        <v>240</v>
      </c>
      <c r="H34" s="23" t="s">
        <v>241</v>
      </c>
      <c r="I34" s="23" t="s">
        <v>245</v>
      </c>
      <c r="J34" s="7"/>
      <c r="M34" s="18" t="s">
        <v>63</v>
      </c>
      <c r="N34" s="18">
        <v>27</v>
      </c>
      <c r="V34" t="s">
        <v>338</v>
      </c>
      <c r="W34">
        <f>V32/W32</f>
        <v>601.99540229885054</v>
      </c>
    </row>
    <row r="35" spans="6:23" x14ac:dyDescent="0.25">
      <c r="F35" s="7" t="s">
        <v>242</v>
      </c>
      <c r="G35" s="161">
        <f>AVERAGE(B5:B9)</f>
        <v>135.4</v>
      </c>
      <c r="H35" s="162">
        <f>AVERAGE(C5:C9)</f>
        <v>171</v>
      </c>
      <c r="I35" s="163">
        <f>AVERAGE(D5:D9)</f>
        <v>141.19999999999999</v>
      </c>
      <c r="J35" s="7">
        <f>AVERAGE(G35:I35)</f>
        <v>149.19999999999999</v>
      </c>
      <c r="V35" t="s">
        <v>339</v>
      </c>
      <c r="W35">
        <f>1-V30/V32</f>
        <v>0.38090946583775021</v>
      </c>
    </row>
    <row r="36" spans="6:23" ht="15.75" thickBot="1" x14ac:dyDescent="0.3">
      <c r="F36" s="7" t="s">
        <v>243</v>
      </c>
      <c r="G36" s="9">
        <f>AVERAGE(B10:B14)</f>
        <v>159.6</v>
      </c>
      <c r="H36" s="10">
        <f>AVERAGE(C10:C14)</f>
        <v>143.75</v>
      </c>
      <c r="I36" s="11">
        <f>AVERAGE(D10:D14)</f>
        <v>164.75</v>
      </c>
      <c r="J36" s="7">
        <f>AVERAGE(G36:I36)</f>
        <v>156.03333333333333</v>
      </c>
      <c r="M36" t="s">
        <v>101</v>
      </c>
    </row>
    <row r="37" spans="6:23" x14ac:dyDescent="0.25">
      <c r="F37" s="7"/>
      <c r="G37" s="7">
        <f>AVERAGE(G35:G36)</f>
        <v>147.5</v>
      </c>
      <c r="H37" s="7">
        <f>AVERAGE(H35:H36)</f>
        <v>157.375</v>
      </c>
      <c r="I37" s="7">
        <f>AVERAGE(I35:I36)</f>
        <v>152.97499999999999</v>
      </c>
      <c r="J37" s="7">
        <f>AVERAGE(J35:J36)</f>
        <v>152.61666666666667</v>
      </c>
      <c r="M37" s="160"/>
      <c r="N37" s="160" t="s">
        <v>51</v>
      </c>
      <c r="O37" s="160" t="s">
        <v>88</v>
      </c>
      <c r="P37" s="160" t="s">
        <v>92</v>
      </c>
      <c r="Q37" s="160" t="s">
        <v>82</v>
      </c>
      <c r="R37" s="160" t="s">
        <v>104</v>
      </c>
    </row>
    <row r="38" spans="6:23" x14ac:dyDescent="0.25">
      <c r="M38" s="17" t="s">
        <v>91</v>
      </c>
      <c r="N38" s="17">
        <v>3</v>
      </c>
      <c r="O38" s="17">
        <v>939.89742118150934</v>
      </c>
      <c r="P38" s="17">
        <v>313.29914039383647</v>
      </c>
      <c r="Q38" s="17">
        <v>0.52360032942490187</v>
      </c>
      <c r="R38" s="17">
        <v>0.67037893748451094</v>
      </c>
    </row>
    <row r="39" spans="6:23" x14ac:dyDescent="0.25">
      <c r="F39" t="s">
        <v>346</v>
      </c>
      <c r="M39" s="17" t="s">
        <v>102</v>
      </c>
      <c r="N39" s="17">
        <v>23</v>
      </c>
      <c r="O39" s="17">
        <v>13762.176652892562</v>
      </c>
      <c r="P39" s="17">
        <v>598.35550664750269</v>
      </c>
      <c r="Q39" s="17"/>
      <c r="R39" s="17"/>
    </row>
    <row r="40" spans="6:23" ht="15.75" thickBot="1" x14ac:dyDescent="0.3">
      <c r="M40" s="18" t="s">
        <v>1</v>
      </c>
      <c r="N40" s="18">
        <v>26</v>
      </c>
      <c r="O40" s="18">
        <v>14702.074074074071</v>
      </c>
      <c r="P40" s="18"/>
      <c r="Q40" s="18"/>
      <c r="R40" s="18"/>
    </row>
    <row r="41" spans="6:23" ht="15.75" thickBot="1" x14ac:dyDescent="0.3">
      <c r="F41" t="s">
        <v>115</v>
      </c>
      <c r="G41">
        <f>J37</f>
        <v>152.61666666666667</v>
      </c>
    </row>
    <row r="42" spans="6:23" x14ac:dyDescent="0.25">
      <c r="F42" t="s">
        <v>113</v>
      </c>
      <c r="G42">
        <f>J35-J37</f>
        <v>-3.4166666666666856</v>
      </c>
      <c r="M42" s="160"/>
      <c r="N42" s="160" t="s">
        <v>105</v>
      </c>
      <c r="O42" s="160" t="s">
        <v>8</v>
      </c>
      <c r="P42" s="160" t="s">
        <v>64</v>
      </c>
      <c r="Q42" s="160" t="s">
        <v>74</v>
      </c>
      <c r="R42" s="160" t="s">
        <v>106</v>
      </c>
      <c r="S42" s="160" t="s">
        <v>107</v>
      </c>
    </row>
    <row r="43" spans="6:23" x14ac:dyDescent="0.25">
      <c r="F43" t="s">
        <v>114</v>
      </c>
      <c r="G43">
        <f>G37-J37</f>
        <v>-5.1166666666666742</v>
      </c>
      <c r="M43" s="17" t="s">
        <v>103</v>
      </c>
      <c r="N43" s="17">
        <v>152.34125344352617</v>
      </c>
      <c r="O43" s="17">
        <v>4.7303824278681619</v>
      </c>
      <c r="P43" s="17">
        <v>32.204849347071011</v>
      </c>
      <c r="Q43" s="17">
        <v>1.2270731664950653E-20</v>
      </c>
      <c r="R43" s="17">
        <v>142.55571183392416</v>
      </c>
      <c r="S43" s="17">
        <v>162.12679505312818</v>
      </c>
    </row>
    <row r="44" spans="6:23" x14ac:dyDescent="0.25">
      <c r="F44" t="s">
        <v>116</v>
      </c>
      <c r="G44">
        <f>H37-J37</f>
        <v>4.7583333333333258</v>
      </c>
      <c r="M44" s="17" t="s">
        <v>217</v>
      </c>
      <c r="N44" s="17">
        <v>-4.3388429752066129</v>
      </c>
      <c r="O44" s="17">
        <v>4.717296974231</v>
      </c>
      <c r="P44" s="17">
        <v>-0.91977312408106726</v>
      </c>
      <c r="Q44" s="17">
        <v>0.36723788404834612</v>
      </c>
      <c r="R44" s="17">
        <v>-14.097315261556325</v>
      </c>
      <c r="S44" s="17">
        <v>5.4196293111430984</v>
      </c>
    </row>
    <row r="45" spans="6:23" x14ac:dyDescent="0.25">
      <c r="F45" t="s">
        <v>337</v>
      </c>
      <c r="G45">
        <f>G35-J35-G37+J37</f>
        <v>-8.6833333333333087</v>
      </c>
      <c r="M45" s="17" t="s">
        <v>218</v>
      </c>
      <c r="N45" s="17">
        <v>-4.8412534435261785</v>
      </c>
      <c r="O45" s="17">
        <v>6.5055131595286655</v>
      </c>
      <c r="P45" s="17">
        <v>-0.74417702720886281</v>
      </c>
      <c r="Q45" s="17">
        <v>0.46430515688438911</v>
      </c>
      <c r="R45" s="17">
        <v>-18.298932750666424</v>
      </c>
      <c r="S45" s="17">
        <v>8.6164258636140687</v>
      </c>
    </row>
    <row r="46" spans="6:23" ht="15.75" thickBot="1" x14ac:dyDescent="0.3">
      <c r="F46" t="s">
        <v>336</v>
      </c>
      <c r="G46">
        <f>H35-J35-H37+J37</f>
        <v>17.041666666666686</v>
      </c>
      <c r="M46" s="18" t="s">
        <v>312</v>
      </c>
      <c r="N46" s="18">
        <v>5.0337465564738348</v>
      </c>
      <c r="O46" s="18">
        <v>6.8780809356629291</v>
      </c>
      <c r="P46" s="18">
        <v>0.73185334740302355</v>
      </c>
      <c r="Q46" s="18">
        <v>0.47165002115399124</v>
      </c>
      <c r="R46" s="18">
        <v>-9.1946479161634578</v>
      </c>
      <c r="S46" s="18">
        <v>19.262141029111127</v>
      </c>
    </row>
    <row r="48" spans="6:23" x14ac:dyDescent="0.25">
      <c r="F48" s="12" t="s">
        <v>218</v>
      </c>
      <c r="G48" s="12" t="s">
        <v>312</v>
      </c>
      <c r="H48" s="12" t="s">
        <v>217</v>
      </c>
      <c r="I48" s="24" t="s">
        <v>313</v>
      </c>
      <c r="J48" s="24" t="s">
        <v>314</v>
      </c>
      <c r="K48" s="24" t="s">
        <v>84</v>
      </c>
      <c r="M48" s="27" t="s">
        <v>348</v>
      </c>
    </row>
    <row r="49" spans="6:18" x14ac:dyDescent="0.25">
      <c r="F49" s="161">
        <v>1</v>
      </c>
      <c r="G49" s="163">
        <v>0</v>
      </c>
      <c r="H49" s="140">
        <v>1</v>
      </c>
      <c r="I49" s="161">
        <f t="shared" ref="I49:I75" si="2">H49*F49</f>
        <v>1</v>
      </c>
      <c r="J49" s="139">
        <f t="shared" ref="J49:J75" si="3">H49*G49</f>
        <v>0</v>
      </c>
      <c r="K49" s="122">
        <v>128</v>
      </c>
    </row>
    <row r="50" spans="6:18" x14ac:dyDescent="0.25">
      <c r="F50" s="6">
        <v>1</v>
      </c>
      <c r="G50" s="8">
        <v>0</v>
      </c>
      <c r="H50" s="124">
        <v>1</v>
      </c>
      <c r="I50" s="6">
        <f t="shared" si="2"/>
        <v>1</v>
      </c>
      <c r="J50">
        <f t="shared" si="3"/>
        <v>0</v>
      </c>
      <c r="K50" s="123">
        <v>150</v>
      </c>
      <c r="M50" t="s">
        <v>97</v>
      </c>
    </row>
    <row r="51" spans="6:18" ht="15.75" thickBot="1" x14ac:dyDescent="0.3">
      <c r="F51" s="6">
        <v>1</v>
      </c>
      <c r="G51" s="8">
        <v>0</v>
      </c>
      <c r="H51" s="124">
        <v>1</v>
      </c>
      <c r="I51" s="6">
        <f t="shared" si="2"/>
        <v>1</v>
      </c>
      <c r="J51">
        <f t="shared" si="3"/>
        <v>0</v>
      </c>
      <c r="K51" s="123">
        <v>174</v>
      </c>
    </row>
    <row r="52" spans="6:18" x14ac:dyDescent="0.25">
      <c r="F52" s="6">
        <v>1</v>
      </c>
      <c r="G52" s="8">
        <v>0</v>
      </c>
      <c r="H52" s="124">
        <v>1</v>
      </c>
      <c r="I52" s="6">
        <f t="shared" si="2"/>
        <v>1</v>
      </c>
      <c r="J52">
        <f t="shared" si="3"/>
        <v>0</v>
      </c>
      <c r="K52" s="123">
        <v>116</v>
      </c>
      <c r="M52" s="19" t="s">
        <v>98</v>
      </c>
      <c r="N52" s="19"/>
    </row>
    <row r="53" spans="6:18" x14ac:dyDescent="0.25">
      <c r="F53" s="9">
        <v>1</v>
      </c>
      <c r="G53" s="11">
        <v>0</v>
      </c>
      <c r="H53" s="9">
        <v>1</v>
      </c>
      <c r="I53" s="6">
        <f t="shared" si="2"/>
        <v>1</v>
      </c>
      <c r="J53">
        <f t="shared" si="3"/>
        <v>0</v>
      </c>
      <c r="K53" s="22">
        <v>109</v>
      </c>
      <c r="M53" s="17" t="s">
        <v>99</v>
      </c>
      <c r="N53" s="17">
        <v>0.53288861079418526</v>
      </c>
    </row>
    <row r="54" spans="6:18" x14ac:dyDescent="0.25">
      <c r="F54" s="161">
        <v>1</v>
      </c>
      <c r="G54" s="163">
        <v>0</v>
      </c>
      <c r="H54" s="140">
        <v>-1</v>
      </c>
      <c r="I54" s="161">
        <f t="shared" si="2"/>
        <v>-1</v>
      </c>
      <c r="J54" s="139">
        <f t="shared" si="3"/>
        <v>0</v>
      </c>
      <c r="K54" s="122">
        <v>175</v>
      </c>
      <c r="M54" s="17" t="s">
        <v>96</v>
      </c>
      <c r="N54" s="17">
        <v>0.28397027151415666</v>
      </c>
    </row>
    <row r="55" spans="6:18" x14ac:dyDescent="0.25">
      <c r="F55" s="6">
        <v>1</v>
      </c>
      <c r="G55" s="8">
        <v>0</v>
      </c>
      <c r="H55" s="124">
        <v>-1</v>
      </c>
      <c r="I55" s="6">
        <f t="shared" si="2"/>
        <v>-1</v>
      </c>
      <c r="J55">
        <f t="shared" si="3"/>
        <v>0</v>
      </c>
      <c r="K55" s="123">
        <v>132</v>
      </c>
      <c r="M55" s="17" t="s">
        <v>100</v>
      </c>
      <c r="N55" s="17">
        <v>0.1905750895377423</v>
      </c>
    </row>
    <row r="56" spans="6:18" x14ac:dyDescent="0.25">
      <c r="F56" s="6">
        <v>1</v>
      </c>
      <c r="G56" s="8">
        <v>0</v>
      </c>
      <c r="H56" s="124">
        <v>-1</v>
      </c>
      <c r="I56" s="6">
        <f t="shared" si="2"/>
        <v>-1</v>
      </c>
      <c r="J56">
        <f t="shared" si="3"/>
        <v>0</v>
      </c>
      <c r="K56" s="123">
        <v>120</v>
      </c>
      <c r="M56" s="17" t="s">
        <v>8</v>
      </c>
      <c r="N56" s="17">
        <v>21.393946835330716</v>
      </c>
    </row>
    <row r="57" spans="6:18" ht="15.75" thickBot="1" x14ac:dyDescent="0.3">
      <c r="F57" s="6">
        <v>1</v>
      </c>
      <c r="G57" s="8">
        <v>0</v>
      </c>
      <c r="H57" s="124">
        <v>-1</v>
      </c>
      <c r="I57" s="6">
        <f t="shared" si="2"/>
        <v>-1</v>
      </c>
      <c r="J57">
        <f t="shared" si="3"/>
        <v>0</v>
      </c>
      <c r="K57" s="123">
        <v>187</v>
      </c>
      <c r="M57" s="18" t="s">
        <v>63</v>
      </c>
      <c r="N57" s="18">
        <v>27</v>
      </c>
    </row>
    <row r="58" spans="6:18" x14ac:dyDescent="0.25">
      <c r="F58" s="9">
        <v>1</v>
      </c>
      <c r="G58" s="11">
        <v>0</v>
      </c>
      <c r="H58" s="9">
        <v>-1</v>
      </c>
      <c r="I58" s="6">
        <f t="shared" si="2"/>
        <v>-1</v>
      </c>
      <c r="J58">
        <f t="shared" si="3"/>
        <v>0</v>
      </c>
      <c r="K58" s="22">
        <v>184</v>
      </c>
    </row>
    <row r="59" spans="6:18" ht="15.75" thickBot="1" x14ac:dyDescent="0.3">
      <c r="F59" s="165">
        <v>0</v>
      </c>
      <c r="G59" s="163">
        <v>1</v>
      </c>
      <c r="H59" s="140">
        <v>1</v>
      </c>
      <c r="I59" s="161">
        <f t="shared" si="2"/>
        <v>0</v>
      </c>
      <c r="J59" s="139">
        <f t="shared" si="3"/>
        <v>1</v>
      </c>
      <c r="K59" s="122">
        <v>166</v>
      </c>
      <c r="M59" t="s">
        <v>101</v>
      </c>
    </row>
    <row r="60" spans="6:18" x14ac:dyDescent="0.25">
      <c r="F60" s="158">
        <v>0</v>
      </c>
      <c r="G60" s="8">
        <v>1</v>
      </c>
      <c r="H60" s="124">
        <v>1</v>
      </c>
      <c r="I60" s="6">
        <f t="shared" si="2"/>
        <v>0</v>
      </c>
      <c r="J60">
        <f t="shared" si="3"/>
        <v>1</v>
      </c>
      <c r="K60" s="123">
        <v>178</v>
      </c>
      <c r="M60" s="160"/>
      <c r="N60" s="160" t="s">
        <v>51</v>
      </c>
      <c r="O60" s="160" t="s">
        <v>88</v>
      </c>
      <c r="P60" s="160" t="s">
        <v>92</v>
      </c>
      <c r="Q60" s="160" t="s">
        <v>82</v>
      </c>
      <c r="R60" s="160" t="s">
        <v>104</v>
      </c>
    </row>
    <row r="61" spans="6:18" x14ac:dyDescent="0.25">
      <c r="F61" s="158">
        <v>0</v>
      </c>
      <c r="G61" s="8">
        <v>1</v>
      </c>
      <c r="H61" s="124">
        <v>1</v>
      </c>
      <c r="I61" s="6">
        <f t="shared" si="2"/>
        <v>0</v>
      </c>
      <c r="J61">
        <f t="shared" si="3"/>
        <v>1</v>
      </c>
      <c r="K61" s="123">
        <v>187</v>
      </c>
      <c r="M61" s="17" t="s">
        <v>91</v>
      </c>
      <c r="N61" s="17">
        <v>3</v>
      </c>
      <c r="O61" s="17">
        <v>4174.9519666360575</v>
      </c>
      <c r="P61" s="17">
        <v>1391.6506555453525</v>
      </c>
      <c r="Q61" s="17">
        <v>3.0405237776170235</v>
      </c>
      <c r="R61" s="17">
        <v>4.9388235315860701E-2</v>
      </c>
    </row>
    <row r="62" spans="6:18" x14ac:dyDescent="0.25">
      <c r="F62" s="158">
        <v>0</v>
      </c>
      <c r="G62" s="8">
        <v>1</v>
      </c>
      <c r="H62" s="124">
        <v>1</v>
      </c>
      <c r="I62" s="6">
        <f t="shared" si="2"/>
        <v>0</v>
      </c>
      <c r="J62">
        <f t="shared" si="3"/>
        <v>1</v>
      </c>
      <c r="K62" s="123">
        <v>153</v>
      </c>
      <c r="M62" s="17" t="s">
        <v>102</v>
      </c>
      <c r="N62" s="17">
        <v>23</v>
      </c>
      <c r="O62" s="17">
        <v>10527.122107438014</v>
      </c>
      <c r="P62" s="17">
        <v>457.7009611929571</v>
      </c>
      <c r="Q62" s="17"/>
      <c r="R62" s="17"/>
    </row>
    <row r="63" spans="6:18" ht="15.75" thickBot="1" x14ac:dyDescent="0.3">
      <c r="F63" s="165">
        <v>0</v>
      </c>
      <c r="G63" s="163">
        <v>1</v>
      </c>
      <c r="H63" s="140">
        <v>-1</v>
      </c>
      <c r="I63" s="161">
        <f t="shared" si="2"/>
        <v>0</v>
      </c>
      <c r="J63" s="139">
        <f t="shared" si="3"/>
        <v>-1</v>
      </c>
      <c r="K63" s="122">
        <v>140</v>
      </c>
      <c r="M63" s="18" t="s">
        <v>1</v>
      </c>
      <c r="N63" s="18">
        <v>26</v>
      </c>
      <c r="O63" s="18">
        <v>14702.074074074071</v>
      </c>
      <c r="P63" s="18"/>
      <c r="Q63" s="18"/>
      <c r="R63" s="18"/>
    </row>
    <row r="64" spans="6:18" ht="15.75" thickBot="1" x14ac:dyDescent="0.3">
      <c r="F64" s="158">
        <v>0</v>
      </c>
      <c r="G64" s="8">
        <v>1</v>
      </c>
      <c r="H64" s="124">
        <v>-1</v>
      </c>
      <c r="I64" s="6">
        <f t="shared" si="2"/>
        <v>0</v>
      </c>
      <c r="J64">
        <f t="shared" si="3"/>
        <v>-1</v>
      </c>
      <c r="K64" s="123">
        <v>145</v>
      </c>
    </row>
    <row r="65" spans="6:19" x14ac:dyDescent="0.25">
      <c r="F65" s="158">
        <v>0</v>
      </c>
      <c r="G65" s="8">
        <v>1</v>
      </c>
      <c r="H65" s="124">
        <v>-1</v>
      </c>
      <c r="I65" s="6">
        <f t="shared" si="2"/>
        <v>0</v>
      </c>
      <c r="J65">
        <f t="shared" si="3"/>
        <v>-1</v>
      </c>
      <c r="K65" s="123">
        <v>159</v>
      </c>
      <c r="M65" s="160"/>
      <c r="N65" s="160" t="s">
        <v>105</v>
      </c>
      <c r="O65" s="160" t="s">
        <v>8</v>
      </c>
      <c r="P65" s="160" t="s">
        <v>64</v>
      </c>
      <c r="Q65" s="160" t="s">
        <v>74</v>
      </c>
      <c r="R65" s="160" t="s">
        <v>106</v>
      </c>
      <c r="S65" s="160" t="s">
        <v>107</v>
      </c>
    </row>
    <row r="66" spans="6:19" x14ac:dyDescent="0.25">
      <c r="F66" s="158">
        <v>0</v>
      </c>
      <c r="G66" s="8">
        <v>1</v>
      </c>
      <c r="H66" s="124">
        <v>-1</v>
      </c>
      <c r="I66" s="6">
        <f t="shared" si="2"/>
        <v>0</v>
      </c>
      <c r="J66">
        <f t="shared" si="3"/>
        <v>-1</v>
      </c>
      <c r="K66" s="123">
        <v>131</v>
      </c>
      <c r="M66" s="17" t="s">
        <v>103</v>
      </c>
      <c r="N66" s="17">
        <v>152.24793388429751</v>
      </c>
      <c r="O66" s="17">
        <v>4.1257649682564077</v>
      </c>
      <c r="P66" s="17">
        <v>36.901746719866864</v>
      </c>
      <c r="Q66" s="17">
        <v>5.6733608544716497E-22</v>
      </c>
      <c r="R66" s="17">
        <v>143.71313878391359</v>
      </c>
      <c r="S66" s="17">
        <v>160.78272898468143</v>
      </c>
    </row>
    <row r="67" spans="6:19" x14ac:dyDescent="0.25">
      <c r="F67" s="165">
        <v>-1</v>
      </c>
      <c r="G67" s="164">
        <v>-1</v>
      </c>
      <c r="H67" s="140">
        <v>1</v>
      </c>
      <c r="I67" s="161">
        <f t="shared" si="2"/>
        <v>-1</v>
      </c>
      <c r="J67" s="139">
        <f t="shared" si="3"/>
        <v>-1</v>
      </c>
      <c r="K67" s="122">
        <v>151</v>
      </c>
      <c r="M67" s="17" t="s">
        <v>217</v>
      </c>
      <c r="N67" s="17">
        <v>-3.3897382920110184</v>
      </c>
      <c r="O67" s="17">
        <v>4.1372095532602486</v>
      </c>
      <c r="P67" s="17">
        <v>-0.81932961054385078</v>
      </c>
      <c r="Q67" s="17">
        <v>0.42100775586952588</v>
      </c>
      <c r="R67" s="17">
        <v>-11.948208320261227</v>
      </c>
      <c r="S67" s="17">
        <v>5.1687317362391889</v>
      </c>
    </row>
    <row r="68" spans="6:19" x14ac:dyDescent="0.25">
      <c r="F68" s="158">
        <v>-1</v>
      </c>
      <c r="G68" s="114">
        <v>-1</v>
      </c>
      <c r="H68" s="124">
        <v>1</v>
      </c>
      <c r="I68" s="6">
        <f t="shared" si="2"/>
        <v>-1</v>
      </c>
      <c r="J68">
        <f t="shared" si="3"/>
        <v>-1</v>
      </c>
      <c r="K68" s="123">
        <v>125</v>
      </c>
      <c r="M68" s="17" t="s">
        <v>313</v>
      </c>
      <c r="N68" s="17">
        <v>-8.7102617079889733</v>
      </c>
      <c r="O68" s="17">
        <v>5.6897453013311372</v>
      </c>
      <c r="P68" s="17">
        <v>-1.5308702317397538</v>
      </c>
      <c r="Q68" s="17">
        <v>0.13944088670310667</v>
      </c>
      <c r="R68" s="17">
        <v>-20.480396626933654</v>
      </c>
      <c r="S68" s="17">
        <v>3.0598732109557094</v>
      </c>
    </row>
    <row r="69" spans="6:19" ht="15.75" thickBot="1" x14ac:dyDescent="0.3">
      <c r="F69" s="158">
        <v>-1</v>
      </c>
      <c r="G69" s="114">
        <v>-1</v>
      </c>
      <c r="H69" s="124">
        <v>1</v>
      </c>
      <c r="I69" s="6">
        <f t="shared" si="2"/>
        <v>-1</v>
      </c>
      <c r="J69">
        <f t="shared" si="3"/>
        <v>-1</v>
      </c>
      <c r="K69" s="123">
        <v>117</v>
      </c>
      <c r="M69" s="18" t="s">
        <v>314</v>
      </c>
      <c r="N69" s="18">
        <v>17.01473829201101</v>
      </c>
      <c r="O69" s="18">
        <v>6.0155944237147283</v>
      </c>
      <c r="P69" s="18">
        <v>2.8284384041808672</v>
      </c>
      <c r="Q69" s="18">
        <v>9.5257546521778126E-3</v>
      </c>
      <c r="R69" s="18">
        <v>4.5705331061991448</v>
      </c>
      <c r="S69" s="18">
        <v>29.458943477822878</v>
      </c>
    </row>
    <row r="70" spans="6:19" x14ac:dyDescent="0.25">
      <c r="F70" s="158">
        <v>-1</v>
      </c>
      <c r="G70" s="114">
        <v>-1</v>
      </c>
      <c r="H70" s="124">
        <v>1</v>
      </c>
      <c r="I70" s="6">
        <f t="shared" si="2"/>
        <v>-1</v>
      </c>
      <c r="J70">
        <f t="shared" si="3"/>
        <v>-1</v>
      </c>
      <c r="K70" s="123">
        <v>155</v>
      </c>
    </row>
    <row r="71" spans="6:19" x14ac:dyDescent="0.25">
      <c r="F71" s="142">
        <v>-1</v>
      </c>
      <c r="G71" s="152">
        <v>-1</v>
      </c>
      <c r="H71" s="9">
        <v>1</v>
      </c>
      <c r="I71" s="6">
        <f t="shared" si="2"/>
        <v>-1</v>
      </c>
      <c r="J71">
        <f t="shared" si="3"/>
        <v>-1</v>
      </c>
      <c r="K71" s="22">
        <v>158</v>
      </c>
      <c r="M71" s="27" t="s">
        <v>349</v>
      </c>
    </row>
    <row r="72" spans="6:19" x14ac:dyDescent="0.25">
      <c r="F72" s="165">
        <v>-1</v>
      </c>
      <c r="G72" s="164">
        <v>-1</v>
      </c>
      <c r="H72" s="140">
        <v>-1</v>
      </c>
      <c r="I72" s="161">
        <f t="shared" si="2"/>
        <v>1</v>
      </c>
      <c r="J72" s="139">
        <f t="shared" si="3"/>
        <v>1</v>
      </c>
      <c r="K72" s="122">
        <v>167</v>
      </c>
    </row>
    <row r="73" spans="6:19" x14ac:dyDescent="0.25">
      <c r="F73" s="158">
        <v>-1</v>
      </c>
      <c r="G73" s="114">
        <v>-1</v>
      </c>
      <c r="H73" s="124">
        <v>-1</v>
      </c>
      <c r="I73" s="6">
        <f t="shared" si="2"/>
        <v>1</v>
      </c>
      <c r="J73" s="8">
        <f t="shared" si="3"/>
        <v>1</v>
      </c>
      <c r="K73" s="123">
        <v>183</v>
      </c>
      <c r="M73" t="s">
        <v>97</v>
      </c>
    </row>
    <row r="74" spans="6:19" ht="15.75" thickBot="1" x14ac:dyDescent="0.3">
      <c r="F74" s="158">
        <v>-1</v>
      </c>
      <c r="G74" s="114">
        <v>-1</v>
      </c>
      <c r="H74" s="124">
        <v>-1</v>
      </c>
      <c r="I74" s="6">
        <f t="shared" si="2"/>
        <v>1</v>
      </c>
      <c r="J74" s="8">
        <f t="shared" si="3"/>
        <v>1</v>
      </c>
      <c r="K74" s="123">
        <v>142</v>
      </c>
    </row>
    <row r="75" spans="6:19" x14ac:dyDescent="0.25">
      <c r="F75" s="142">
        <v>-1</v>
      </c>
      <c r="G75" s="152">
        <v>-1</v>
      </c>
      <c r="H75" s="9">
        <v>-1</v>
      </c>
      <c r="I75" s="9">
        <f t="shared" si="2"/>
        <v>1</v>
      </c>
      <c r="J75" s="11">
        <f t="shared" si="3"/>
        <v>1</v>
      </c>
      <c r="K75" s="22">
        <v>167</v>
      </c>
      <c r="M75" s="19" t="s">
        <v>98</v>
      </c>
      <c r="N75" s="19"/>
    </row>
    <row r="76" spans="6:19" x14ac:dyDescent="0.25">
      <c r="M76" s="17" t="s">
        <v>99</v>
      </c>
      <c r="N76" s="17">
        <v>0.54106663277212563</v>
      </c>
    </row>
    <row r="77" spans="6:19" x14ac:dyDescent="0.25">
      <c r="M77" s="17" t="s">
        <v>96</v>
      </c>
      <c r="N77" s="17">
        <v>0.29275310109936631</v>
      </c>
    </row>
    <row r="78" spans="6:19" x14ac:dyDescent="0.25">
      <c r="M78" s="17" t="s">
        <v>100</v>
      </c>
      <c r="N78" s="17">
        <v>0.16416275584470563</v>
      </c>
    </row>
    <row r="79" spans="6:19" x14ac:dyDescent="0.25">
      <c r="M79" s="17" t="s">
        <v>8</v>
      </c>
      <c r="N79" s="17">
        <v>21.740197682776373</v>
      </c>
    </row>
    <row r="80" spans="6:19" ht="15.75" thickBot="1" x14ac:dyDescent="0.3">
      <c r="M80" s="18" t="s">
        <v>63</v>
      </c>
      <c r="N80" s="18">
        <v>27</v>
      </c>
    </row>
    <row r="82" spans="13:19" ht="15.75" thickBot="1" x14ac:dyDescent="0.3">
      <c r="M82" t="s">
        <v>101</v>
      </c>
    </row>
    <row r="83" spans="13:19" x14ac:dyDescent="0.25">
      <c r="M83" s="160"/>
      <c r="N83" s="160" t="s">
        <v>51</v>
      </c>
      <c r="O83" s="160" t="s">
        <v>88</v>
      </c>
      <c r="P83" s="160" t="s">
        <v>92</v>
      </c>
      <c r="Q83" s="160" t="s">
        <v>82</v>
      </c>
      <c r="R83" s="160" t="s">
        <v>104</v>
      </c>
    </row>
    <row r="84" spans="13:19" x14ac:dyDescent="0.25">
      <c r="M84" s="17" t="s">
        <v>91</v>
      </c>
      <c r="N84" s="17">
        <v>4</v>
      </c>
      <c r="O84" s="17">
        <v>4304.0777777777785</v>
      </c>
      <c r="P84" s="17">
        <v>1076.0194444444446</v>
      </c>
      <c r="Q84" s="17">
        <v>2.2766336035539623</v>
      </c>
      <c r="R84" s="17">
        <v>9.3459458279901708E-2</v>
      </c>
    </row>
    <row r="85" spans="13:19" x14ac:dyDescent="0.25">
      <c r="M85" s="17" t="s">
        <v>102</v>
      </c>
      <c r="N85" s="17">
        <v>22</v>
      </c>
      <c r="O85" s="17">
        <v>10397.996296296293</v>
      </c>
      <c r="P85" s="17">
        <v>472.63619528619512</v>
      </c>
      <c r="Q85" s="17"/>
      <c r="R85" s="17"/>
    </row>
    <row r="86" spans="13:19" ht="15.75" thickBot="1" x14ac:dyDescent="0.3">
      <c r="M86" s="18" t="s">
        <v>1</v>
      </c>
      <c r="N86" s="18">
        <v>26</v>
      </c>
      <c r="O86" s="18">
        <v>14702.074074074071</v>
      </c>
      <c r="P86" s="18"/>
      <c r="Q86" s="18"/>
      <c r="R86" s="18"/>
    </row>
    <row r="87" spans="13:19" ht="15.75" thickBot="1" x14ac:dyDescent="0.3"/>
    <row r="88" spans="13:19" x14ac:dyDescent="0.25">
      <c r="M88" s="160"/>
      <c r="N88" s="160" t="s">
        <v>105</v>
      </c>
      <c r="O88" s="160" t="s">
        <v>8</v>
      </c>
      <c r="P88" s="160" t="s">
        <v>64</v>
      </c>
      <c r="Q88" s="160" t="s">
        <v>74</v>
      </c>
      <c r="R88" s="160" t="s">
        <v>106</v>
      </c>
      <c r="S88" s="160" t="s">
        <v>107</v>
      </c>
    </row>
    <row r="89" spans="13:19" x14ac:dyDescent="0.25">
      <c r="M89" s="17" t="s">
        <v>103</v>
      </c>
      <c r="N89" s="17">
        <v>152.49012345679012</v>
      </c>
      <c r="O89" s="17">
        <v>4.207082690148412</v>
      </c>
      <c r="P89" s="17">
        <v>36.246048553757035</v>
      </c>
      <c r="Q89" s="17">
        <v>4.0990029137263698E-21</v>
      </c>
      <c r="R89" s="17">
        <v>143.76516797124611</v>
      </c>
      <c r="S89" s="17">
        <v>161.21507894233412</v>
      </c>
    </row>
    <row r="90" spans="13:19" x14ac:dyDescent="0.25">
      <c r="M90" s="17" t="s">
        <v>218</v>
      </c>
      <c r="N90" s="17">
        <v>-4.9901234567901289</v>
      </c>
      <c r="O90" s="17">
        <v>5.7839506053059937</v>
      </c>
      <c r="P90" s="17">
        <v>-0.86275347030321536</v>
      </c>
      <c r="Q90" s="17">
        <v>0.39758081615311081</v>
      </c>
      <c r="R90" s="17">
        <v>-16.985302843221419</v>
      </c>
      <c r="S90" s="17">
        <v>7.0050559296411601</v>
      </c>
    </row>
    <row r="91" spans="13:19" x14ac:dyDescent="0.25">
      <c r="M91" s="17" t="s">
        <v>312</v>
      </c>
      <c r="N91" s="17">
        <v>4.8848765432098835</v>
      </c>
      <c r="O91" s="17">
        <v>6.1149586724145459</v>
      </c>
      <c r="P91" s="17">
        <v>0.79884048362358706</v>
      </c>
      <c r="Q91" s="17">
        <v>0.43292294119814867</v>
      </c>
      <c r="R91" s="17">
        <v>-7.7967715588567996</v>
      </c>
      <c r="S91" s="17">
        <v>17.566524645276566</v>
      </c>
    </row>
    <row r="92" spans="13:19" x14ac:dyDescent="0.25">
      <c r="M92" s="17" t="s">
        <v>313</v>
      </c>
      <c r="N92" s="17">
        <v>-9.0629629629629633</v>
      </c>
      <c r="O92" s="17">
        <v>5.7671122854277979</v>
      </c>
      <c r="P92" s="17">
        <v>-1.5714906376737354</v>
      </c>
      <c r="Q92" s="17">
        <v>0.13034096665888897</v>
      </c>
      <c r="R92" s="17">
        <v>-21.023221811290107</v>
      </c>
      <c r="S92" s="17">
        <v>2.8972958853641817</v>
      </c>
    </row>
    <row r="93" spans="13:19" ht="15.75" thickBot="1" x14ac:dyDescent="0.3">
      <c r="M93" s="18" t="s">
        <v>314</v>
      </c>
      <c r="N93" s="18">
        <v>17.421296296296298</v>
      </c>
      <c r="O93" s="18">
        <v>6.0990342738379937</v>
      </c>
      <c r="P93" s="18">
        <v>2.8564024260407122</v>
      </c>
      <c r="Q93" s="18">
        <v>9.1774119848700604E-3</v>
      </c>
      <c r="R93" s="18">
        <v>4.7726733755600961</v>
      </c>
      <c r="S93" s="18">
        <v>30.069919217032499</v>
      </c>
    </row>
    <row r="95" spans="13:19" x14ac:dyDescent="0.25">
      <c r="M95" s="1" t="s">
        <v>350</v>
      </c>
    </row>
    <row r="97" spans="13:18" ht="15.75" thickBot="1" x14ac:dyDescent="0.3">
      <c r="M97" t="s">
        <v>101</v>
      </c>
    </row>
    <row r="98" spans="13:18" x14ac:dyDescent="0.25">
      <c r="M98" s="160"/>
      <c r="N98" s="160" t="s">
        <v>360</v>
      </c>
      <c r="O98" s="160" t="s">
        <v>359</v>
      </c>
      <c r="P98" s="160" t="s">
        <v>96</v>
      </c>
      <c r="R98" s="160" t="s">
        <v>351</v>
      </c>
    </row>
    <row r="99" spans="13:18" x14ac:dyDescent="0.25">
      <c r="M99" t="s">
        <v>352</v>
      </c>
      <c r="N99" s="17">
        <f>N13</f>
        <v>5</v>
      </c>
      <c r="O99" s="17">
        <f>O13</f>
        <v>4615.3740740740668</v>
      </c>
      <c r="P99" s="17">
        <f>N6</f>
        <v>0.31392673243382097</v>
      </c>
    </row>
    <row r="100" spans="13:18" x14ac:dyDescent="0.25">
      <c r="M100" t="s">
        <v>353</v>
      </c>
      <c r="N100" s="17">
        <f>N61</f>
        <v>3</v>
      </c>
      <c r="O100" s="17">
        <f>O61</f>
        <v>4174.9519666360575</v>
      </c>
      <c r="P100" s="7">
        <f>N54</f>
        <v>0.28397027151415666</v>
      </c>
    </row>
    <row r="101" spans="13:18" x14ac:dyDescent="0.25">
      <c r="M101" t="s">
        <v>354</v>
      </c>
      <c r="N101" s="7">
        <f>N84</f>
        <v>4</v>
      </c>
      <c r="O101" s="7">
        <f>O84</f>
        <v>4304.0777777777785</v>
      </c>
      <c r="P101" s="7">
        <f>N77</f>
        <v>0.29275310109936631</v>
      </c>
    </row>
    <row r="102" spans="13:18" ht="15.75" thickBot="1" x14ac:dyDescent="0.3">
      <c r="M102" s="20" t="s">
        <v>355</v>
      </c>
      <c r="N102" s="20">
        <f>N38</f>
        <v>3</v>
      </c>
      <c r="O102" s="20">
        <f>O38</f>
        <v>939.89742118150934</v>
      </c>
      <c r="P102" s="20">
        <f>N31</f>
        <v>6.3929580033809177E-2</v>
      </c>
      <c r="R102" s="20"/>
    </row>
    <row r="103" spans="13:18" x14ac:dyDescent="0.25">
      <c r="M103" t="s">
        <v>86</v>
      </c>
      <c r="N103">
        <f>N99-N101</f>
        <v>1</v>
      </c>
      <c r="O103">
        <f>O99-O101</f>
        <v>311.29629629628835</v>
      </c>
      <c r="P103">
        <f>P99-P101</f>
        <v>2.1173631334454657E-2</v>
      </c>
      <c r="R103">
        <f>P103*O15</f>
        <v>311.29629629628818</v>
      </c>
    </row>
    <row r="104" spans="13:18" x14ac:dyDescent="0.25">
      <c r="M104" t="s">
        <v>78</v>
      </c>
      <c r="N104">
        <f>N99-N100</f>
        <v>2</v>
      </c>
      <c r="O104">
        <f>O99-O100</f>
        <v>440.42210743800933</v>
      </c>
      <c r="P104">
        <f>P99-P100</f>
        <v>2.9956460919664307E-2</v>
      </c>
      <c r="R104">
        <f>P104*O15</f>
        <v>440.42210743800973</v>
      </c>
    </row>
    <row r="105" spans="13:18" ht="15.75" thickBot="1" x14ac:dyDescent="0.3">
      <c r="M105" s="20" t="s">
        <v>356</v>
      </c>
      <c r="N105" s="20">
        <f>N99-N102</f>
        <v>2</v>
      </c>
      <c r="O105" s="20">
        <f>O99-O102</f>
        <v>3675.4766528925575</v>
      </c>
      <c r="P105" s="20">
        <f>P99-P102</f>
        <v>0.2499971524000118</v>
      </c>
      <c r="R105" s="20">
        <f>P105*O15</f>
        <v>3675.4766528925579</v>
      </c>
    </row>
    <row r="108" spans="13:18" x14ac:dyDescent="0.25">
      <c r="M108" s="1" t="s">
        <v>357</v>
      </c>
    </row>
    <row r="110" spans="13:18" ht="15.75" thickBot="1" x14ac:dyDescent="0.3">
      <c r="M110" t="s">
        <v>101</v>
      </c>
    </row>
    <row r="111" spans="13:18" x14ac:dyDescent="0.25">
      <c r="M111" s="160" t="s">
        <v>135</v>
      </c>
      <c r="N111" s="160" t="s">
        <v>88</v>
      </c>
      <c r="O111" s="160" t="s">
        <v>51</v>
      </c>
      <c r="P111" s="160" t="s">
        <v>92</v>
      </c>
      <c r="Q111" s="160" t="s">
        <v>82</v>
      </c>
      <c r="R111" s="160" t="s">
        <v>74</v>
      </c>
    </row>
    <row r="112" spans="13:18" x14ac:dyDescent="0.25">
      <c r="M112" s="17" t="s">
        <v>358</v>
      </c>
      <c r="N112" s="17">
        <f>O103</f>
        <v>311.29629629628835</v>
      </c>
      <c r="O112" s="17">
        <f>N103</f>
        <v>1</v>
      </c>
      <c r="P112" s="17">
        <f>N112/O112</f>
        <v>311.29629629628835</v>
      </c>
      <c r="Q112" s="17">
        <f>P112/P115</f>
        <v>0.64810316775774557</v>
      </c>
      <c r="R112" s="17">
        <f>FDIST(Q112,O112,O115)</f>
        <v>0.42981280716327275</v>
      </c>
    </row>
    <row r="113" spans="13:18" x14ac:dyDescent="0.25">
      <c r="M113" s="17" t="s">
        <v>255</v>
      </c>
      <c r="N113" s="17">
        <f>O104</f>
        <v>440.42210743800933</v>
      </c>
      <c r="O113" s="17">
        <f>N104</f>
        <v>2</v>
      </c>
      <c r="P113" s="17">
        <f>N113/O113</f>
        <v>220.21105371900467</v>
      </c>
      <c r="Q113" s="17">
        <f>P113/P115</f>
        <v>0.45846829271209577</v>
      </c>
      <c r="R113" s="17">
        <f>FDIST(Q113,O113,O115)</f>
        <v>0.63843128233853208</v>
      </c>
    </row>
    <row r="114" spans="13:18" x14ac:dyDescent="0.25">
      <c r="M114" s="17" t="s">
        <v>120</v>
      </c>
      <c r="N114" s="17">
        <f>O105</f>
        <v>3675.4766528925575</v>
      </c>
      <c r="O114" s="17">
        <f>N105</f>
        <v>2</v>
      </c>
      <c r="P114" s="17">
        <f>N114/O114</f>
        <v>1837.7383264462787</v>
      </c>
      <c r="Q114" s="17">
        <f>P114/P115</f>
        <v>3.8260783859311607</v>
      </c>
      <c r="R114" s="17">
        <f>FDIST(Q114,O114,O115)</f>
        <v>3.8295764848006966E-2</v>
      </c>
    </row>
    <row r="115" spans="13:18" x14ac:dyDescent="0.25">
      <c r="M115" s="17" t="s">
        <v>249</v>
      </c>
      <c r="N115">
        <f>O14</f>
        <v>10086.700000000004</v>
      </c>
      <c r="O115" s="17">
        <f>N14</f>
        <v>21</v>
      </c>
      <c r="P115" s="17">
        <f>N115/O115</f>
        <v>480.31904761904781</v>
      </c>
      <c r="Q115" s="17"/>
      <c r="R115" s="17"/>
    </row>
    <row r="116" spans="13:18" x14ac:dyDescent="0.25">
      <c r="M116" s="17"/>
      <c r="N116" s="17"/>
      <c r="O116" s="17"/>
      <c r="P116" s="17"/>
      <c r="Q116" s="17"/>
      <c r="R116" s="17"/>
    </row>
    <row r="117" spans="13:18" ht="15.75" thickBot="1" x14ac:dyDescent="0.3">
      <c r="M117" s="18" t="s">
        <v>1</v>
      </c>
      <c r="N117" s="18">
        <f>O15</f>
        <v>14702.074074074071</v>
      </c>
      <c r="O117" s="18">
        <f>N15</f>
        <v>26</v>
      </c>
      <c r="P117" s="18"/>
      <c r="Q117" s="18"/>
      <c r="R117" s="18"/>
    </row>
    <row r="119" spans="13:18" x14ac:dyDescent="0.25">
      <c r="M119" t="s">
        <v>361</v>
      </c>
      <c r="N119">
        <f>SUM(N112:N115)</f>
        <v>14513.89505662686</v>
      </c>
    </row>
  </sheetData>
  <mergeCells count="1">
    <mergeCell ref="B3:D3"/>
  </mergeCells>
  <pageMargins left="0.7" right="0.7" top="0.75" bottom="0.75" header="0.3" footer="0.3"/>
  <ignoredErrors>
    <ignoredError sqref="G35:I36" formulaRange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1"/>
  <dimension ref="A1:Z29"/>
  <sheetViews>
    <sheetView zoomScaleNormal="100" workbookViewId="0"/>
  </sheetViews>
  <sheetFormatPr defaultRowHeight="15" x14ac:dyDescent="0.25"/>
  <sheetData>
    <row r="1" spans="1:26" x14ac:dyDescent="0.25">
      <c r="A1" s="1" t="s">
        <v>598</v>
      </c>
      <c r="F1" t="s">
        <v>488</v>
      </c>
      <c r="J1" t="s">
        <v>24</v>
      </c>
      <c r="P1" t="s">
        <v>491</v>
      </c>
      <c r="X1" t="s">
        <v>492</v>
      </c>
    </row>
    <row r="3" spans="1:26" ht="15.75" thickBot="1" x14ac:dyDescent="0.3">
      <c r="A3" s="11"/>
      <c r="B3" s="574" t="s">
        <v>250</v>
      </c>
      <c r="C3" s="575"/>
      <c r="D3" s="576"/>
      <c r="F3" s="226" t="e">
        <f t="array" aca="1" ref="F3:H29" ca="1">Anova2Std(A4:D14, 5)</f>
        <v>#NAME?</v>
      </c>
      <c r="G3" s="227" t="e">
        <f ca="1"/>
        <v>#NAME?</v>
      </c>
      <c r="H3" s="228" t="e">
        <f ca="1"/>
        <v>#NAME?</v>
      </c>
      <c r="J3" t="s">
        <v>489</v>
      </c>
      <c r="K3" t="str">
        <f ca="1">IF(COUNTIF(K5:M6,K5)=COUNT(K5:M6),"balanced","unbalanced")</f>
        <v>balanced</v>
      </c>
      <c r="P3" t="s">
        <v>101</v>
      </c>
      <c r="T3" s="225" t="s">
        <v>31</v>
      </c>
      <c r="U3" s="225">
        <v>0.05</v>
      </c>
      <c r="Y3" s="230" t="str">
        <f>A5</f>
        <v>Blend X</v>
      </c>
      <c r="Z3" s="230" t="str">
        <f>A10</f>
        <v>Blend Y</v>
      </c>
    </row>
    <row r="4" spans="1:26" ht="15.75" thickTop="1" x14ac:dyDescent="0.25">
      <c r="A4" s="135" t="s">
        <v>251</v>
      </c>
      <c r="B4" s="121" t="s">
        <v>240</v>
      </c>
      <c r="C4" s="121" t="s">
        <v>241</v>
      </c>
      <c r="D4" s="121" t="s">
        <v>245</v>
      </c>
      <c r="F4" s="178" t="e">
        <f ca="1"/>
        <v>#NAME?</v>
      </c>
      <c r="G4" s="7" t="e">
        <f ca="1"/>
        <v>#NAME?</v>
      </c>
      <c r="H4" s="40" t="e">
        <f ca="1"/>
        <v>#NAME?</v>
      </c>
      <c r="K4" t="e">
        <f t="array" aca="1" ref="K4:M4" ca="1">TRANSPOSE(SortUnique(G3:G29))</f>
        <v>#NAME?</v>
      </c>
      <c r="L4" t="e">
        <f ca="1"/>
        <v>#NAME?</v>
      </c>
      <c r="M4" t="e">
        <f ca="1"/>
        <v>#NAME?</v>
      </c>
      <c r="P4" s="217"/>
      <c r="Q4" s="217" t="s">
        <v>88</v>
      </c>
      <c r="R4" s="217" t="s">
        <v>51</v>
      </c>
      <c r="S4" s="217" t="s">
        <v>92</v>
      </c>
      <c r="T4" s="217" t="s">
        <v>82</v>
      </c>
      <c r="U4" s="217" t="s">
        <v>56</v>
      </c>
      <c r="V4" s="217" t="s">
        <v>188</v>
      </c>
      <c r="X4" s="229" t="str">
        <f>B4</f>
        <v>Corn</v>
      </c>
      <c r="Y4" s="229">
        <f>IF(B5="","",B5)</f>
        <v>128</v>
      </c>
      <c r="Z4" s="229">
        <f>IF(B10="","",B10)</f>
        <v>175</v>
      </c>
    </row>
    <row r="5" spans="1:26" x14ac:dyDescent="0.25">
      <c r="A5" s="147" t="s">
        <v>242</v>
      </c>
      <c r="B5" s="122">
        <v>128</v>
      </c>
      <c r="C5" s="122">
        <v>166</v>
      </c>
      <c r="D5" s="122">
        <v>151</v>
      </c>
      <c r="F5" s="178" t="e">
        <f ca="1"/>
        <v>#NAME?</v>
      </c>
      <c r="G5" s="7" t="e">
        <f ca="1"/>
        <v>#NAME?</v>
      </c>
      <c r="H5" s="40" t="e">
        <f ca="1"/>
        <v>#NAME?</v>
      </c>
      <c r="J5" t="e">
        <f t="array" aca="1" ref="J5:J6" ca="1">SortUnique(F3:F29)</f>
        <v>#NAME?</v>
      </c>
      <c r="K5" s="226">
        <f t="array" ref="K5" ca="1">COUNTIFS($F$3:$F$29,$J5,$G$3:$G$29,K$4)</f>
        <v>27</v>
      </c>
      <c r="L5" s="227">
        <f t="array" ref="L5" ca="1">COUNTIFS($F$3:$F$29,$J5,$G$3:$G$29,L$4)</f>
        <v>27</v>
      </c>
      <c r="M5" s="228">
        <f t="array" ref="M5" ca="1">COUNTIFS($F$3:$F$29,$J5,$G$3:$G$29,M$4)</f>
        <v>27</v>
      </c>
      <c r="N5">
        <f t="array" ref="N5" ca="1">SUM(K5:M5)</f>
        <v>81</v>
      </c>
      <c r="P5" t="s">
        <v>83</v>
      </c>
      <c r="Q5" t="e">
        <f t="array" aca="1" ref="Q5:Q8" ca="1">SSAnova2(F3:H29)</f>
        <v>#NAME?</v>
      </c>
      <c r="R5">
        <f ca="1">COUNT(N11:N12)-1</f>
        <v>-1</v>
      </c>
      <c r="S5" t="e">
        <f ca="1">Q5/R5</f>
        <v>#NAME?</v>
      </c>
      <c r="T5" t="e">
        <f ca="1">S5/S8</f>
        <v>#NAME?</v>
      </c>
      <c r="U5" t="e">
        <f ca="1">FDIST(T5,R5,R8)</f>
        <v>#NAME?</v>
      </c>
      <c r="V5" s="225" t="e">
        <f ca="1">IF(U5&lt;U3,"yes","no")</f>
        <v>#NAME?</v>
      </c>
      <c r="X5" s="206"/>
      <c r="Y5" s="206">
        <f>IF(B6="","",B6)</f>
        <v>150</v>
      </c>
      <c r="Z5" s="206">
        <f>IF(B11="","",B11)</f>
        <v>132</v>
      </c>
    </row>
    <row r="6" spans="1:26" x14ac:dyDescent="0.25">
      <c r="A6" s="123"/>
      <c r="B6" s="123">
        <v>150</v>
      </c>
      <c r="C6" s="123">
        <v>178</v>
      </c>
      <c r="D6" s="123">
        <v>125</v>
      </c>
      <c r="F6" s="178" t="e">
        <f ca="1"/>
        <v>#NAME?</v>
      </c>
      <c r="G6" s="7" t="e">
        <f ca="1"/>
        <v>#NAME?</v>
      </c>
      <c r="H6" s="40" t="e">
        <f ca="1"/>
        <v>#NAME?</v>
      </c>
      <c r="J6" t="e">
        <f ca="1"/>
        <v>#NAME?</v>
      </c>
      <c r="K6" s="221">
        <f t="array" ref="K6" ca="1">COUNTIFS($F$3:$F$29,$J6,$G$3:$G$29,K$4)</f>
        <v>27</v>
      </c>
      <c r="L6" s="222">
        <f t="array" ref="L6" ca="1">COUNTIFS($F$3:$F$29,$J6,$G$3:$G$29,L$4)</f>
        <v>27</v>
      </c>
      <c r="M6" s="223">
        <f t="array" ref="M6" ca="1">COUNTIFS($F$3:$F$29,$J6,$G$3:$G$29,M$4)</f>
        <v>27</v>
      </c>
      <c r="N6">
        <f t="array" ref="N6" ca="1">SUM(K6:M6)</f>
        <v>81</v>
      </c>
      <c r="P6" t="s">
        <v>238</v>
      </c>
      <c r="Q6" t="e">
        <f ca="1"/>
        <v>#NAME?</v>
      </c>
      <c r="R6">
        <f ca="1">COUNT(K13:M13)-1</f>
        <v>-1</v>
      </c>
      <c r="S6" t="e">
        <f ca="1">Q6/R6</f>
        <v>#NAME?</v>
      </c>
      <c r="T6" t="e">
        <f ca="1">S6/S8</f>
        <v>#NAME?</v>
      </c>
      <c r="U6" t="e">
        <f ca="1">FDIST(T6,R6,R8)</f>
        <v>#NAME?</v>
      </c>
      <c r="V6" s="225" t="e">
        <f ca="1">IF(U6&lt;U3,"yes","no")</f>
        <v>#NAME?</v>
      </c>
      <c r="X6" s="206"/>
      <c r="Y6" s="206">
        <f>IF(B7="","",B7)</f>
        <v>174</v>
      </c>
      <c r="Z6" s="206">
        <f>IF(B12="","",B12)</f>
        <v>120</v>
      </c>
    </row>
    <row r="7" spans="1:26" x14ac:dyDescent="0.25">
      <c r="A7" s="123"/>
      <c r="B7" s="123">
        <v>174</v>
      </c>
      <c r="C7" s="123">
        <v>187</v>
      </c>
      <c r="D7" s="123">
        <v>117</v>
      </c>
      <c r="F7" s="178" t="e">
        <f ca="1"/>
        <v>#NAME?</v>
      </c>
      <c r="G7" s="7" t="e">
        <f ca="1"/>
        <v>#NAME?</v>
      </c>
      <c r="H7" s="40" t="e">
        <f ca="1"/>
        <v>#NAME?</v>
      </c>
      <c r="K7">
        <f t="array" ref="K7" ca="1">SUM(K5:K6)</f>
        <v>54</v>
      </c>
      <c r="L7">
        <f t="array" ref="L7" ca="1">SUM(L5:L6)</f>
        <v>54</v>
      </c>
      <c r="M7">
        <f t="array" ref="M7" ca="1">SUM(M5:M6)</f>
        <v>54</v>
      </c>
      <c r="N7">
        <f t="array" ref="N7" ca="1">SUM(N5:N6)</f>
        <v>162</v>
      </c>
      <c r="P7" t="s">
        <v>410</v>
      </c>
      <c r="Q7" t="e">
        <f ca="1"/>
        <v>#NAME?</v>
      </c>
      <c r="R7">
        <f ca="1">R6*R5</f>
        <v>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225" t="e">
        <f ca="1">IF(U7&lt;U3,"yes","no")</f>
        <v>#NAME?</v>
      </c>
      <c r="X7" s="206"/>
      <c r="Y7" s="206">
        <f>IF(B8="","",B8)</f>
        <v>116</v>
      </c>
      <c r="Z7" s="206">
        <f>IF(B13="","",B13)</f>
        <v>187</v>
      </c>
    </row>
    <row r="8" spans="1:26" x14ac:dyDescent="0.25">
      <c r="A8" s="123"/>
      <c r="B8" s="123">
        <v>116</v>
      </c>
      <c r="C8" s="123">
        <v>153</v>
      </c>
      <c r="D8" s="123">
        <v>155</v>
      </c>
      <c r="F8" s="178" t="e">
        <f ca="1"/>
        <v>#NAME?</v>
      </c>
      <c r="G8" s="7" t="e">
        <f ca="1"/>
        <v>#NAME?</v>
      </c>
      <c r="H8" s="40" t="e">
        <f ca="1"/>
        <v>#NAME?</v>
      </c>
      <c r="P8" t="s">
        <v>249</v>
      </c>
      <c r="Q8" t="e">
        <f ca="1"/>
        <v>#NAME?</v>
      </c>
      <c r="R8">
        <f ca="1">R9-R5-R6-R7</f>
        <v>162</v>
      </c>
      <c r="S8" t="e">
        <f ca="1">Q8/R8</f>
        <v>#NAME?</v>
      </c>
      <c r="X8" s="219"/>
      <c r="Y8" s="219">
        <f>IF(B9="","",B9)</f>
        <v>109</v>
      </c>
      <c r="Z8" s="219">
        <f>IF(B14="","",B14)</f>
        <v>184</v>
      </c>
    </row>
    <row r="9" spans="1:26" x14ac:dyDescent="0.25">
      <c r="A9" s="123"/>
      <c r="B9" s="22">
        <v>109</v>
      </c>
      <c r="C9" s="22"/>
      <c r="D9" s="22">
        <v>158</v>
      </c>
      <c r="F9" s="178" t="e">
        <f ca="1"/>
        <v>#NAME?</v>
      </c>
      <c r="G9" s="7" t="e">
        <f ca="1"/>
        <v>#NAME?</v>
      </c>
      <c r="H9" s="40" t="e">
        <f ca="1"/>
        <v>#NAME?</v>
      </c>
      <c r="J9" t="s">
        <v>259</v>
      </c>
      <c r="P9" s="224" t="s">
        <v>1</v>
      </c>
      <c r="Q9" s="224" t="e">
        <f ca="1">S9*R9</f>
        <v>#NAME?</v>
      </c>
      <c r="R9" s="224">
        <f ca="1">N7-1</f>
        <v>161</v>
      </c>
      <c r="S9" s="224" t="e">
        <f ca="1">N19</f>
        <v>#NAME?</v>
      </c>
      <c r="T9" s="224"/>
      <c r="U9" s="224"/>
      <c r="V9" s="224"/>
      <c r="X9" s="229" t="str">
        <f>C4</f>
        <v>Soy</v>
      </c>
      <c r="Y9" s="229">
        <f>IF(C5="","",C5)</f>
        <v>166</v>
      </c>
      <c r="Z9" s="229">
        <f>IF(C10="","",C10)</f>
        <v>140</v>
      </c>
    </row>
    <row r="10" spans="1:26" x14ac:dyDescent="0.25">
      <c r="A10" s="147" t="s">
        <v>243</v>
      </c>
      <c r="B10" s="122">
        <v>175</v>
      </c>
      <c r="C10" s="122">
        <v>140</v>
      </c>
      <c r="D10" s="122">
        <v>167</v>
      </c>
      <c r="F10" s="178" t="e">
        <f ca="1"/>
        <v>#NAME?</v>
      </c>
      <c r="G10" s="7" t="e">
        <f ca="1"/>
        <v>#NAME?</v>
      </c>
      <c r="H10" s="40" t="e">
        <f ca="1"/>
        <v>#NAME?</v>
      </c>
      <c r="K10" t="e">
        <f t="array" aca="1" ref="K10:M10" ca="1">TRANSPOSE(SortUnique(G3:G29))</f>
        <v>#NAME?</v>
      </c>
      <c r="L10" t="e">
        <f ca="1"/>
        <v>#NAME?</v>
      </c>
      <c r="M10" t="e">
        <f ca="1"/>
        <v>#NAME?</v>
      </c>
      <c r="X10" s="206"/>
      <c r="Y10" s="206">
        <f>IF(C6="","",C6)</f>
        <v>178</v>
      </c>
      <c r="Z10" s="206">
        <f>IF(C11="","",C11)</f>
        <v>145</v>
      </c>
    </row>
    <row r="11" spans="1:26" x14ac:dyDescent="0.25">
      <c r="A11" s="123"/>
      <c r="B11" s="123">
        <v>132</v>
      </c>
      <c r="C11" s="123">
        <v>145</v>
      </c>
      <c r="D11" s="123">
        <v>183</v>
      </c>
      <c r="F11" s="178" t="e">
        <f ca="1"/>
        <v>#NAME?</v>
      </c>
      <c r="G11" s="7" t="e">
        <f ca="1"/>
        <v>#NAME?</v>
      </c>
      <c r="H11" s="40" t="e">
        <f ca="1"/>
        <v>#NAME?</v>
      </c>
      <c r="J11" t="e">
        <f t="array" aca="1" ref="J11:J12" ca="1">SortUnique(F3:F29)</f>
        <v>#NAME?</v>
      </c>
      <c r="K11" s="226" t="e">
        <f t="array" ref="K11" ca="1">AVERAGEIFS($H$3:$H$29,$F$3:$F$29,$J11,$G$3:$G$29,K$10)</f>
        <v>#NAME?</v>
      </c>
      <c r="L11" s="227" t="e">
        <f t="array" ref="L11" ca="1">AVERAGEIFS($H$3:$H$29,$F$3:$F$29,$J11,$G$3:$G$29,L$10)</f>
        <v>#NAME?</v>
      </c>
      <c r="M11" s="228" t="e">
        <f t="array" ref="M11" ca="1">AVERAGEIFS($H$3:$H$29,$F$3:$F$29,$J11,$G$3:$G$29,M$10)</f>
        <v>#NAME?</v>
      </c>
      <c r="N11" t="e">
        <f t="array" ref="N11" ca="1">AVERAGE(K11:M11)</f>
        <v>#NAME?</v>
      </c>
      <c r="X11" s="206"/>
      <c r="Y11" s="206">
        <f>IF(C7="","",C7)</f>
        <v>187</v>
      </c>
      <c r="Z11" s="206">
        <f>IF(C12="","",C12)</f>
        <v>159</v>
      </c>
    </row>
    <row r="12" spans="1:26" x14ac:dyDescent="0.25">
      <c r="A12" s="123"/>
      <c r="B12" s="123">
        <v>120</v>
      </c>
      <c r="C12" s="123">
        <v>159</v>
      </c>
      <c r="D12" s="123">
        <v>142</v>
      </c>
      <c r="F12" s="178" t="e">
        <f ca="1"/>
        <v>#NAME?</v>
      </c>
      <c r="G12" s="7" t="e">
        <f ca="1"/>
        <v>#NAME?</v>
      </c>
      <c r="H12" s="40" t="e">
        <f ca="1"/>
        <v>#NAME?</v>
      </c>
      <c r="J12" t="e">
        <f ca="1"/>
        <v>#NAME?</v>
      </c>
      <c r="K12" s="221" t="e">
        <f t="array" ref="K12" ca="1">AVERAGEIFS($H$3:$H$29,$F$3:$F$29,$J12,$G$3:$G$29,K$10)</f>
        <v>#NAME?</v>
      </c>
      <c r="L12" s="222" t="e">
        <f t="array" ref="L12" ca="1">AVERAGEIFS($H$3:$H$29,$F$3:$F$29,$J12,$G$3:$G$29,L$10)</f>
        <v>#NAME?</v>
      </c>
      <c r="M12" s="223" t="e">
        <f t="array" ref="M12" ca="1">AVERAGEIFS($H$3:$H$29,$F$3:$F$29,$J12,$G$3:$G$29,M$10)</f>
        <v>#NAME?</v>
      </c>
      <c r="N12" t="e">
        <f t="array" ref="N12" ca="1">AVERAGE(K12:M12)</f>
        <v>#NAME?</v>
      </c>
      <c r="X12" s="206"/>
      <c r="Y12" s="206">
        <f>IF(C8="","",C8)</f>
        <v>153</v>
      </c>
      <c r="Z12" s="206">
        <f>IF(C13="","",C13)</f>
        <v>131</v>
      </c>
    </row>
    <row r="13" spans="1:26" x14ac:dyDescent="0.25">
      <c r="A13" s="123"/>
      <c r="B13" s="123">
        <v>187</v>
      </c>
      <c r="C13" s="123">
        <v>131</v>
      </c>
      <c r="D13" s="123">
        <v>167</v>
      </c>
      <c r="F13" s="178" t="e">
        <f ca="1"/>
        <v>#NAME?</v>
      </c>
      <c r="G13" s="7" t="e">
        <f ca="1"/>
        <v>#NAME?</v>
      </c>
      <c r="H13" s="40" t="e">
        <f ca="1"/>
        <v>#NAME?</v>
      </c>
      <c r="K13" t="e">
        <f t="array" ref="K13" ca="1">AVERAGE(K11:K12)</f>
        <v>#NAME?</v>
      </c>
      <c r="L13" t="e">
        <f t="array" ref="L13" ca="1">AVERAGE(L11:L12)</f>
        <v>#NAME?</v>
      </c>
      <c r="M13" t="e">
        <f t="array" ref="M13" ca="1">AVERAGE(M11:M12)</f>
        <v>#NAME?</v>
      </c>
      <c r="N13" t="e">
        <f t="array" ref="N13" ca="1">AVERAGE(N11:N12)</f>
        <v>#NAME?</v>
      </c>
      <c r="X13" s="219"/>
      <c r="Y13" s="219" t="str">
        <f>IF(C9="","",C9)</f>
        <v/>
      </c>
      <c r="Z13" s="219" t="str">
        <f>IF(C14="","",C14)</f>
        <v/>
      </c>
    </row>
    <row r="14" spans="1:26" x14ac:dyDescent="0.25">
      <c r="A14" s="58"/>
      <c r="B14" s="22">
        <v>184</v>
      </c>
      <c r="C14" s="22"/>
      <c r="D14" s="22"/>
      <c r="F14" s="178" t="e">
        <f ca="1"/>
        <v>#NAME?</v>
      </c>
      <c r="G14" s="7" t="e">
        <f ca="1"/>
        <v>#NAME?</v>
      </c>
      <c r="H14" s="40" t="e">
        <f ca="1"/>
        <v>#NAME?</v>
      </c>
      <c r="X14" s="229" t="str">
        <f>D4</f>
        <v>Rice</v>
      </c>
      <c r="Y14" s="229">
        <f>IF(D5="","",D5)</f>
        <v>151</v>
      </c>
      <c r="Z14" s="229">
        <f>IF(D10="","",D10)</f>
        <v>167</v>
      </c>
    </row>
    <row r="15" spans="1:26" x14ac:dyDescent="0.25">
      <c r="F15" s="178" t="e">
        <f ca="1"/>
        <v>#NAME?</v>
      </c>
      <c r="G15" s="7" t="e">
        <f ca="1"/>
        <v>#NAME?</v>
      </c>
      <c r="H15" s="40" t="e">
        <f ca="1"/>
        <v>#NAME?</v>
      </c>
      <c r="J15" t="s">
        <v>490</v>
      </c>
      <c r="X15" s="206"/>
      <c r="Y15" s="206">
        <f>IF(D6="","",D6)</f>
        <v>125</v>
      </c>
      <c r="Z15" s="206">
        <f>IF(D11="","",D11)</f>
        <v>183</v>
      </c>
    </row>
    <row r="16" spans="1:26" x14ac:dyDescent="0.25">
      <c r="F16" s="178" t="e">
        <f ca="1"/>
        <v>#NAME?</v>
      </c>
      <c r="G16" s="7" t="e">
        <f ca="1"/>
        <v>#NAME?</v>
      </c>
      <c r="H16" s="40" t="e">
        <f ca="1"/>
        <v>#NAME?</v>
      </c>
      <c r="K16" t="e">
        <f t="array" aca="1" ref="K16:M16" ca="1">TRANSPOSE(SortUnique(G3:G29))</f>
        <v>#NAME?</v>
      </c>
      <c r="L16" t="e">
        <f ca="1"/>
        <v>#NAME?</v>
      </c>
      <c r="M16" t="e">
        <f ca="1"/>
        <v>#NAME?</v>
      </c>
      <c r="X16" s="206"/>
      <c r="Y16" s="206">
        <f>IF(D7="","",D7)</f>
        <v>117</v>
      </c>
      <c r="Z16" s="206">
        <f>IF(D12="","",D12)</f>
        <v>142</v>
      </c>
    </row>
    <row r="17" spans="6:26" x14ac:dyDescent="0.25">
      <c r="F17" s="178" t="e">
        <f ca="1"/>
        <v>#NAME?</v>
      </c>
      <c r="G17" s="7" t="e">
        <f ca="1"/>
        <v>#NAME?</v>
      </c>
      <c r="H17" s="40" t="e">
        <f ca="1"/>
        <v>#NAME?</v>
      </c>
      <c r="J17" t="e">
        <f t="array" aca="1" ref="J17:J18" ca="1">SortUnique(F3:F29)</f>
        <v>#NAME?</v>
      </c>
      <c r="K17" s="226" t="e">
        <f t="array" aca="1" ref="K17" ca="1">VAR(IF(($F$3:$F$29=$J17)*($G$3:$G$29=K$16),$H$3:$H$29))</f>
        <v>#NAME?</v>
      </c>
      <c r="L17" s="227" t="e">
        <f t="array" aca="1" ref="L17" ca="1">VAR(IF(($F$3:$F$29=$J17)*($G$3:$G$29=L$16),$H$3:$H$29))</f>
        <v>#NAME?</v>
      </c>
      <c r="M17" s="228" t="e">
        <f t="array" aca="1" ref="M17" ca="1">VAR(IF(($F$3:$F$29=$J17)*($G$3:$G$29=M$16),$H$3:$H$29))</f>
        <v>#NAME?</v>
      </c>
      <c r="N17" t="e">
        <f t="array" aca="1" ref="N17" ca="1">VAR(IF($F$3:$F$29=$J17,$H$3:$H$29))</f>
        <v>#NAME?</v>
      </c>
      <c r="X17" s="206"/>
      <c r="Y17" s="206">
        <f>IF(D8="","",D8)</f>
        <v>155</v>
      </c>
      <c r="Z17" s="206">
        <f>IF(D13="","",D13)</f>
        <v>167</v>
      </c>
    </row>
    <row r="18" spans="6:26" x14ac:dyDescent="0.25">
      <c r="F18" s="178" t="e">
        <f ca="1"/>
        <v>#NAME?</v>
      </c>
      <c r="G18" s="7" t="e">
        <f ca="1"/>
        <v>#NAME?</v>
      </c>
      <c r="H18" s="40" t="e">
        <f ca="1"/>
        <v>#NAME?</v>
      </c>
      <c r="J18" t="e">
        <f ca="1"/>
        <v>#NAME?</v>
      </c>
      <c r="K18" s="221" t="e">
        <f t="array" aca="1" ref="K18" ca="1">VAR(IF(($F$3:$F$29=$J18)*($G$3:$G$29=K$16),$H$3:$H$29))</f>
        <v>#NAME?</v>
      </c>
      <c r="L18" s="222" t="e">
        <f t="array" aca="1" ref="L18" ca="1">VAR(IF(($F$3:$F$29=$J18)*($G$3:$G$29=L$16),$H$3:$H$29))</f>
        <v>#NAME?</v>
      </c>
      <c r="M18" s="223" t="e">
        <f t="array" aca="1" ref="M18" ca="1">VAR(IF(($F$3:$F$29=$J18)*($G$3:$G$29=M$16),$H$3:$H$29))</f>
        <v>#NAME?</v>
      </c>
      <c r="N18" t="e">
        <f t="array" aca="1" ref="N18" ca="1">VAR(IF($F$3:$F$29=$J18,$H$3:$H$29))</f>
        <v>#NAME?</v>
      </c>
      <c r="X18" s="219"/>
      <c r="Y18" s="219">
        <f>IF(D9="","",D9)</f>
        <v>158</v>
      </c>
      <c r="Z18" s="219" t="str">
        <f>IF(D14="","",D14)</f>
        <v/>
      </c>
    </row>
    <row r="19" spans="6:26" x14ac:dyDescent="0.25">
      <c r="F19" s="178" t="e">
        <f ca="1"/>
        <v>#NAME?</v>
      </c>
      <c r="G19" s="7" t="e">
        <f ca="1"/>
        <v>#NAME?</v>
      </c>
      <c r="H19" s="40" t="e">
        <f ca="1"/>
        <v>#NAME?</v>
      </c>
      <c r="K19" t="e">
        <f t="array" aca="1" ref="K19" ca="1">VAR(IF($G$3:$G$29=K$16,$H$3:$H$29))</f>
        <v>#NAME?</v>
      </c>
      <c r="L19" t="e">
        <f t="array" aca="1" ref="L19" ca="1">VAR(IF($G$3:$G$29=L$16,$H$3:$H$29))</f>
        <v>#NAME?</v>
      </c>
      <c r="M19" t="e">
        <f t="array" aca="1" ref="M19" ca="1">VAR(IF($G$3:$G$29=M$16,$H$3:$H$29))</f>
        <v>#NAME?</v>
      </c>
      <c r="N19" t="e">
        <f ca="1">VAR(H3:H29)</f>
        <v>#NAME?</v>
      </c>
    </row>
    <row r="20" spans="6:26" x14ac:dyDescent="0.25">
      <c r="F20" s="178" t="e">
        <f ca="1"/>
        <v>#NAME?</v>
      </c>
      <c r="G20" s="7" t="e">
        <f ca="1"/>
        <v>#NAME?</v>
      </c>
      <c r="H20" s="40" t="e">
        <f ca="1"/>
        <v>#NAME?</v>
      </c>
    </row>
    <row r="21" spans="6:26" x14ac:dyDescent="0.25">
      <c r="F21" s="178" t="e">
        <f ca="1"/>
        <v>#NAME?</v>
      </c>
      <c r="G21" s="7" t="e">
        <f ca="1"/>
        <v>#NAME?</v>
      </c>
      <c r="H21" s="40" t="e">
        <f ca="1"/>
        <v>#NAME?</v>
      </c>
    </row>
    <row r="22" spans="6:26" x14ac:dyDescent="0.25">
      <c r="F22" s="178" t="e">
        <f ca="1"/>
        <v>#NAME?</v>
      </c>
      <c r="G22" s="7" t="e">
        <f ca="1"/>
        <v>#NAME?</v>
      </c>
      <c r="H22" s="40" t="e">
        <f ca="1"/>
        <v>#NAME?</v>
      </c>
    </row>
    <row r="23" spans="6:26" x14ac:dyDescent="0.25">
      <c r="F23" s="178" t="e">
        <f ca="1"/>
        <v>#NAME?</v>
      </c>
      <c r="G23" s="7" t="e">
        <f ca="1"/>
        <v>#NAME?</v>
      </c>
      <c r="H23" s="40" t="e">
        <f ca="1"/>
        <v>#NAME?</v>
      </c>
    </row>
    <row r="24" spans="6:26" x14ac:dyDescent="0.25">
      <c r="F24" s="178" t="e">
        <f ca="1"/>
        <v>#NAME?</v>
      </c>
      <c r="G24" s="7" t="e">
        <f ca="1"/>
        <v>#NAME?</v>
      </c>
      <c r="H24" s="40" t="e">
        <f ca="1"/>
        <v>#NAME?</v>
      </c>
    </row>
    <row r="25" spans="6:26" x14ac:dyDescent="0.25">
      <c r="F25" s="178" t="e">
        <f ca="1"/>
        <v>#NAME?</v>
      </c>
      <c r="G25" s="7" t="e">
        <f ca="1"/>
        <v>#NAME?</v>
      </c>
      <c r="H25" s="40" t="e">
        <f ca="1"/>
        <v>#NAME?</v>
      </c>
    </row>
    <row r="26" spans="6:26" x14ac:dyDescent="0.25">
      <c r="F26" s="178" t="e">
        <f ca="1"/>
        <v>#NAME?</v>
      </c>
      <c r="G26" s="7" t="e">
        <f ca="1"/>
        <v>#NAME?</v>
      </c>
      <c r="H26" s="40" t="e">
        <f ca="1"/>
        <v>#NAME?</v>
      </c>
    </row>
    <row r="27" spans="6:26" x14ac:dyDescent="0.25">
      <c r="F27" s="178" t="e">
        <f ca="1"/>
        <v>#NAME?</v>
      </c>
      <c r="G27" s="7" t="e">
        <f ca="1"/>
        <v>#NAME?</v>
      </c>
      <c r="H27" s="40" t="e">
        <f ca="1"/>
        <v>#NAME?</v>
      </c>
    </row>
    <row r="28" spans="6:26" x14ac:dyDescent="0.25">
      <c r="F28" s="178" t="e">
        <f ca="1"/>
        <v>#NAME?</v>
      </c>
      <c r="G28" s="7" t="e">
        <f ca="1"/>
        <v>#NAME?</v>
      </c>
      <c r="H28" s="40" t="e">
        <f ca="1"/>
        <v>#NAME?</v>
      </c>
    </row>
    <row r="29" spans="6:26" x14ac:dyDescent="0.25">
      <c r="F29" s="221" t="e">
        <f ca="1"/>
        <v>#NAME?</v>
      </c>
      <c r="G29" s="222" t="e">
        <f ca="1"/>
        <v>#NAME?</v>
      </c>
      <c r="H29" s="223" t="e">
        <f ca="1"/>
        <v>#NAME?</v>
      </c>
    </row>
  </sheetData>
  <mergeCells count="1">
    <mergeCell ref="B3:D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4"/>
  <dimension ref="A1:CB98"/>
  <sheetViews>
    <sheetView zoomScale="95" zoomScaleNormal="95" workbookViewId="0"/>
  </sheetViews>
  <sheetFormatPr defaultRowHeight="15" x14ac:dyDescent="0.25"/>
  <cols>
    <col min="4" max="15" width="4.42578125" customWidth="1"/>
    <col min="46" max="48" width="8.140625" customWidth="1"/>
    <col min="49" max="60" width="4.140625" customWidth="1"/>
    <col min="61" max="61" width="8.42578125" customWidth="1"/>
    <col min="62" max="64" width="6.7109375" customWidth="1"/>
    <col min="65" max="65" width="3.7109375" customWidth="1"/>
    <col min="66" max="66" width="5.7109375" customWidth="1"/>
    <col min="67" max="69" width="6.7109375" customWidth="1"/>
    <col min="70" max="70" width="3.7109375" customWidth="1"/>
    <col min="71" max="71" width="5.7109375" customWidth="1"/>
    <col min="72" max="74" width="6.7109375" customWidth="1"/>
    <col min="75" max="75" width="3.7109375" customWidth="1"/>
    <col min="76" max="76" width="5.7109375" customWidth="1"/>
    <col min="77" max="79" width="6.7109375" customWidth="1"/>
    <col min="80" max="80" width="3.7109375" customWidth="1"/>
  </cols>
  <sheetData>
    <row r="1" spans="1:80" x14ac:dyDescent="0.25">
      <c r="A1" s="1" t="s">
        <v>518</v>
      </c>
      <c r="Q1" t="s">
        <v>507</v>
      </c>
      <c r="V1" t="s">
        <v>24</v>
      </c>
      <c r="AB1" t="s">
        <v>508</v>
      </c>
      <c r="AT1" t="s">
        <v>519</v>
      </c>
      <c r="BJ1" t="s">
        <v>507</v>
      </c>
    </row>
    <row r="3" spans="1:80" ht="15.75" thickBot="1" x14ac:dyDescent="0.3">
      <c r="A3" s="134" t="s">
        <v>269</v>
      </c>
      <c r="B3" s="135" t="s">
        <v>302</v>
      </c>
      <c r="C3" s="136" t="s">
        <v>306</v>
      </c>
      <c r="D3" s="574" t="s">
        <v>270</v>
      </c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6"/>
      <c r="Q3" s="237" t="e">
        <f t="array" aca="1" ref="Q3:T98" ca="1">Anova3Cols(A4:O11)</f>
        <v>#NAME?</v>
      </c>
      <c r="R3" s="238" t="e">
        <f ca="1"/>
        <v>#NAME?</v>
      </c>
      <c r="S3" s="238" t="e">
        <f ca="1"/>
        <v>#NAME?</v>
      </c>
      <c r="T3" s="239" t="e">
        <f ca="1"/>
        <v>#NAME?</v>
      </c>
      <c r="Y3" s="12" t="s">
        <v>19</v>
      </c>
      <c r="Z3" s="12" t="s">
        <v>7</v>
      </c>
      <c r="AB3" t="s">
        <v>101</v>
      </c>
      <c r="AF3" s="232" t="s">
        <v>31</v>
      </c>
      <c r="AG3" s="232">
        <v>0.05</v>
      </c>
      <c r="AT3" s="134" t="s">
        <v>269</v>
      </c>
      <c r="AU3" s="135" t="s">
        <v>302</v>
      </c>
      <c r="AV3" s="136" t="s">
        <v>306</v>
      </c>
      <c r="AW3" s="583" t="s">
        <v>270</v>
      </c>
      <c r="AX3" s="584"/>
      <c r="AY3" s="584"/>
      <c r="AZ3" s="584"/>
      <c r="BA3" s="584"/>
      <c r="BB3" s="584"/>
      <c r="BC3" s="584"/>
      <c r="BD3" s="584"/>
      <c r="BE3" s="584"/>
      <c r="BF3" s="584"/>
      <c r="BG3" s="584"/>
      <c r="BH3" s="585"/>
      <c r="BJ3" s="237" t="s">
        <v>77</v>
      </c>
      <c r="BK3" s="238" t="s">
        <v>303</v>
      </c>
      <c r="BL3" s="238" t="s">
        <v>307</v>
      </c>
      <c r="BM3" s="239">
        <v>23</v>
      </c>
      <c r="BO3" s="178" t="s">
        <v>77</v>
      </c>
      <c r="BP3" s="7" t="s">
        <v>304</v>
      </c>
      <c r="BQ3" s="7" t="s">
        <v>307</v>
      </c>
      <c r="BR3" s="40">
        <v>16</v>
      </c>
      <c r="BT3" s="178" t="s">
        <v>72</v>
      </c>
      <c r="BU3" s="7" t="s">
        <v>303</v>
      </c>
      <c r="BV3" s="7" t="s">
        <v>307</v>
      </c>
      <c r="BW3" s="40">
        <v>19</v>
      </c>
      <c r="BY3" s="178" t="s">
        <v>72</v>
      </c>
      <c r="BZ3" s="7" t="s">
        <v>304</v>
      </c>
      <c r="CA3" s="7" t="s">
        <v>307</v>
      </c>
      <c r="CB3" s="40">
        <v>28</v>
      </c>
    </row>
    <row r="4" spans="1:80" ht="15.75" thickTop="1" x14ac:dyDescent="0.25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78" t="e">
        <f ca="1"/>
        <v>#NAME?</v>
      </c>
      <c r="R4" s="7" t="e">
        <f ca="1"/>
        <v>#NAME?</v>
      </c>
      <c r="S4" s="7" t="e">
        <f ca="1"/>
        <v>#NAME?</v>
      </c>
      <c r="T4" s="40" t="e">
        <f ca="1"/>
        <v>#NAME?</v>
      </c>
      <c r="V4" s="237" t="e">
        <f t="array" aca="1" ref="V4:V5" ca="1">SortUnique(Q3:Q98)</f>
        <v>#NAME?</v>
      </c>
      <c r="W4" s="238"/>
      <c r="X4" s="239"/>
      <c r="Y4" s="237">
        <f ca="1">SUMIF($V$22:$V$29,V4,$Y$22:$Y$29)</f>
        <v>768</v>
      </c>
      <c r="Z4" s="239" t="e">
        <f ca="1">IF(Y4=0,"",AVERAGEIF($V$22:$V$29,V4,$Z$22:$Z$29))</f>
        <v>#NAME?</v>
      </c>
      <c r="AB4" s="217"/>
      <c r="AC4" s="217" t="s">
        <v>88</v>
      </c>
      <c r="AD4" s="217" t="s">
        <v>51</v>
      </c>
      <c r="AE4" s="217" t="s">
        <v>92</v>
      </c>
      <c r="AF4" s="217" t="s">
        <v>82</v>
      </c>
      <c r="AG4" s="217" t="s">
        <v>56</v>
      </c>
      <c r="AH4" s="251" t="s">
        <v>865</v>
      </c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124" t="s">
        <v>77</v>
      </c>
      <c r="AU4" s="123" t="s">
        <v>303</v>
      </c>
      <c r="AV4" s="8" t="s">
        <v>307</v>
      </c>
      <c r="AW4" s="138">
        <v>23</v>
      </c>
      <c r="AX4" s="138">
        <v>18</v>
      </c>
      <c r="AY4" s="138">
        <v>26</v>
      </c>
      <c r="AZ4" s="138">
        <v>32</v>
      </c>
      <c r="BA4" s="138">
        <v>13</v>
      </c>
      <c r="BB4" s="138">
        <v>31</v>
      </c>
      <c r="BC4" s="138">
        <v>26</v>
      </c>
      <c r="BD4" s="138">
        <v>34</v>
      </c>
      <c r="BE4" s="138">
        <v>17</v>
      </c>
      <c r="BF4" s="138">
        <v>23</v>
      </c>
      <c r="BG4" s="138">
        <v>28</v>
      </c>
      <c r="BH4" s="139">
        <v>26</v>
      </c>
      <c r="BJ4" s="178" t="s">
        <v>77</v>
      </c>
      <c r="BK4" s="7" t="s">
        <v>303</v>
      </c>
      <c r="BL4" s="7" t="s">
        <v>307</v>
      </c>
      <c r="BM4" s="40">
        <v>18</v>
      </c>
      <c r="BO4" s="178" t="s">
        <v>77</v>
      </c>
      <c r="BP4" s="7" t="s">
        <v>304</v>
      </c>
      <c r="BQ4" s="7" t="s">
        <v>307</v>
      </c>
      <c r="BR4" s="40">
        <v>31</v>
      </c>
      <c r="BT4" s="178" t="s">
        <v>72</v>
      </c>
      <c r="BU4" s="7" t="s">
        <v>303</v>
      </c>
      <c r="BV4" s="7" t="s">
        <v>307</v>
      </c>
      <c r="BW4" s="40">
        <v>28</v>
      </c>
      <c r="BY4" s="178" t="s">
        <v>72</v>
      </c>
      <c r="BZ4" s="7" t="s">
        <v>304</v>
      </c>
      <c r="CA4" s="7" t="s">
        <v>307</v>
      </c>
      <c r="CB4" s="40">
        <v>37</v>
      </c>
    </row>
    <row r="5" spans="1:80" x14ac:dyDescent="0.25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178" t="e">
        <f ca="1"/>
        <v>#NAME?</v>
      </c>
      <c r="R5" s="7" t="e">
        <f ca="1"/>
        <v>#NAME?</v>
      </c>
      <c r="S5" s="7" t="e">
        <f ca="1"/>
        <v>#NAME?</v>
      </c>
      <c r="T5" s="40" t="e">
        <f ca="1"/>
        <v>#NAME?</v>
      </c>
      <c r="V5" s="178" t="e">
        <f ca="1"/>
        <v>#NAME?</v>
      </c>
      <c r="W5" s="7"/>
      <c r="X5" s="40"/>
      <c r="Y5" s="178">
        <f ca="1">SUMIF($V$22:$V$29,V5,$Y$22:$Y$29)</f>
        <v>768</v>
      </c>
      <c r="Z5" s="40" t="e">
        <f ca="1">IF(Y5=0,"",AVERAGEIF($V$22:$V$29,V5,$Z$22:$Z$29))</f>
        <v>#NAME?</v>
      </c>
      <c r="AB5" t="s">
        <v>86</v>
      </c>
      <c r="AC5" t="e">
        <f t="array" aca="1" ref="AC5:AC12" ca="1">SSAnova3(Q3:T98)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204" t="e">
        <f ca="1">AC5/(AC5+AC12)</f>
        <v>#NAME?</v>
      </c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124" t="s">
        <v>77</v>
      </c>
      <c r="AU5" s="123" t="s">
        <v>303</v>
      </c>
      <c r="AV5" s="8" t="s">
        <v>308</v>
      </c>
      <c r="AW5" s="7">
        <v>24</v>
      </c>
      <c r="AX5" s="7">
        <v>25</v>
      </c>
      <c r="AY5" s="7">
        <v>14</v>
      </c>
      <c r="AZ5" s="7">
        <v>17</v>
      </c>
      <c r="BA5" s="7">
        <v>30</v>
      </c>
      <c r="BB5" s="7">
        <v>18</v>
      </c>
      <c r="BC5" s="7">
        <v>11</v>
      </c>
      <c r="BD5" s="7">
        <v>16</v>
      </c>
      <c r="BE5" s="7">
        <v>25</v>
      </c>
      <c r="BF5" s="7">
        <v>18</v>
      </c>
      <c r="BG5" s="7">
        <v>14</v>
      </c>
      <c r="BH5" s="8">
        <v>25</v>
      </c>
      <c r="BJ5" s="178" t="s">
        <v>77</v>
      </c>
      <c r="BK5" s="7" t="s">
        <v>303</v>
      </c>
      <c r="BL5" s="7" t="s">
        <v>307</v>
      </c>
      <c r="BM5" s="40">
        <v>26</v>
      </c>
      <c r="BO5" s="178" t="s">
        <v>77</v>
      </c>
      <c r="BP5" s="7" t="s">
        <v>304</v>
      </c>
      <c r="BQ5" s="7" t="s">
        <v>307</v>
      </c>
      <c r="BR5" s="40">
        <v>17</v>
      </c>
      <c r="BT5" s="178" t="s">
        <v>72</v>
      </c>
      <c r="BU5" s="7" t="s">
        <v>303</v>
      </c>
      <c r="BV5" s="7" t="s">
        <v>307</v>
      </c>
      <c r="BW5" s="40">
        <v>31</v>
      </c>
      <c r="BY5" s="178" t="s">
        <v>72</v>
      </c>
      <c r="BZ5" s="7" t="s">
        <v>304</v>
      </c>
      <c r="CA5" s="7" t="s">
        <v>307</v>
      </c>
      <c r="CB5" s="40">
        <v>22</v>
      </c>
    </row>
    <row r="6" spans="1:80" x14ac:dyDescent="0.25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178" t="e">
        <f ca="1"/>
        <v>#NAME?</v>
      </c>
      <c r="R6" s="7" t="e">
        <f ca="1"/>
        <v>#NAME?</v>
      </c>
      <c r="S6" s="7" t="e">
        <f ca="1"/>
        <v>#NAME?</v>
      </c>
      <c r="T6" s="40" t="e">
        <f ca="1"/>
        <v>#NAME?</v>
      </c>
      <c r="V6" s="178"/>
      <c r="W6" s="7" t="e">
        <f t="array" aca="1" ref="W6:W7" ca="1">SortUnique(R3:R98)</f>
        <v>#NAME?</v>
      </c>
      <c r="X6" s="40"/>
      <c r="Y6" s="178">
        <f ca="1">SUMIF($W$22:$W$29,W6,$Y$22:$Y$29)</f>
        <v>768</v>
      </c>
      <c r="Z6" s="40" t="e">
        <f ca="1">IF(Y6=0,"",AVERAGEIF($W$22:$W$29,W6,$Z$22:$Z$29))</f>
        <v>#NAME?</v>
      </c>
      <c r="AB6" t="s">
        <v>78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t="e">
        <f ca="1">AC6/(AC6+AC12)</f>
        <v>#NAME?</v>
      </c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124" t="s">
        <v>77</v>
      </c>
      <c r="AU6" s="123" t="s">
        <v>304</v>
      </c>
      <c r="AV6" s="8" t="s">
        <v>307</v>
      </c>
      <c r="AW6" s="7">
        <v>16</v>
      </c>
      <c r="AX6" s="7">
        <v>31</v>
      </c>
      <c r="AY6" s="7">
        <v>17</v>
      </c>
      <c r="AZ6" s="7">
        <v>11</v>
      </c>
      <c r="BA6" s="7">
        <v>34</v>
      </c>
      <c r="BB6" s="7">
        <v>24</v>
      </c>
      <c r="BC6" s="7">
        <v>24</v>
      </c>
      <c r="BD6" s="7">
        <v>19</v>
      </c>
      <c r="BE6" s="7">
        <v>31</v>
      </c>
      <c r="BF6" s="7">
        <v>16</v>
      </c>
      <c r="BG6" s="7">
        <v>11</v>
      </c>
      <c r="BH6" s="8">
        <v>19</v>
      </c>
      <c r="BJ6" s="178" t="s">
        <v>77</v>
      </c>
      <c r="BK6" s="7" t="s">
        <v>303</v>
      </c>
      <c r="BL6" s="7" t="s">
        <v>307</v>
      </c>
      <c r="BM6" s="40">
        <v>32</v>
      </c>
      <c r="BO6" s="178" t="s">
        <v>77</v>
      </c>
      <c r="BP6" s="7" t="s">
        <v>304</v>
      </c>
      <c r="BQ6" s="7" t="s">
        <v>307</v>
      </c>
      <c r="BR6" s="40">
        <v>11</v>
      </c>
      <c r="BT6" s="178" t="s">
        <v>72</v>
      </c>
      <c r="BU6" s="7" t="s">
        <v>303</v>
      </c>
      <c r="BV6" s="7" t="s">
        <v>307</v>
      </c>
      <c r="BW6" s="40">
        <v>23</v>
      </c>
      <c r="BY6" s="178" t="s">
        <v>72</v>
      </c>
      <c r="BZ6" s="7" t="s">
        <v>304</v>
      </c>
      <c r="CA6" s="7" t="s">
        <v>307</v>
      </c>
      <c r="CB6" s="40">
        <v>44</v>
      </c>
    </row>
    <row r="7" spans="1:80" x14ac:dyDescent="0.25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78" t="e">
        <f ca="1"/>
        <v>#NAME?</v>
      </c>
      <c r="R7" s="7" t="e">
        <f ca="1"/>
        <v>#NAME?</v>
      </c>
      <c r="S7" s="7" t="e">
        <f ca="1"/>
        <v>#NAME?</v>
      </c>
      <c r="T7" s="40" t="e">
        <f ca="1"/>
        <v>#NAME?</v>
      </c>
      <c r="V7" s="178"/>
      <c r="W7" s="7" t="e">
        <f ca="1"/>
        <v>#NAME?</v>
      </c>
      <c r="X7" s="40"/>
      <c r="Y7" s="178">
        <f ca="1">SUMIF($W$22:$W$29,W7,$Y$22:$Y$29)</f>
        <v>768</v>
      </c>
      <c r="Z7" s="40" t="e">
        <f ca="1">IF(Y7=0,"",AVERAGEIF($W$22:$W$29,W7,$Z$22:$Z$29))</f>
        <v>#NAME?</v>
      </c>
      <c r="AB7" t="s">
        <v>79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40" t="e">
        <f ca="1">AC7/(AC7+AC12)</f>
        <v>#NAME?</v>
      </c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124" t="s">
        <v>77</v>
      </c>
      <c r="AU7" s="123" t="s">
        <v>304</v>
      </c>
      <c r="AV7" s="8" t="s">
        <v>308</v>
      </c>
      <c r="AW7" s="7">
        <v>31</v>
      </c>
      <c r="AX7" s="7">
        <v>29</v>
      </c>
      <c r="AY7" s="7">
        <v>40</v>
      </c>
      <c r="AZ7" s="7">
        <v>31</v>
      </c>
      <c r="BA7" s="7">
        <v>35</v>
      </c>
      <c r="BB7" s="7">
        <v>25</v>
      </c>
      <c r="BC7" s="7">
        <v>18</v>
      </c>
      <c r="BD7" s="7">
        <v>29</v>
      </c>
      <c r="BE7" s="7">
        <v>36</v>
      </c>
      <c r="BF7" s="7">
        <v>42</v>
      </c>
      <c r="BG7" s="7">
        <v>40</v>
      </c>
      <c r="BH7" s="8">
        <v>36</v>
      </c>
      <c r="BJ7" s="178" t="s">
        <v>77</v>
      </c>
      <c r="BK7" s="7" t="s">
        <v>303</v>
      </c>
      <c r="BL7" s="7" t="s">
        <v>307</v>
      </c>
      <c r="BM7" s="40">
        <v>13</v>
      </c>
      <c r="BO7" s="178" t="s">
        <v>77</v>
      </c>
      <c r="BP7" s="7" t="s">
        <v>304</v>
      </c>
      <c r="BQ7" s="7" t="s">
        <v>307</v>
      </c>
      <c r="BR7" s="40">
        <v>34</v>
      </c>
      <c r="BT7" s="178" t="s">
        <v>72</v>
      </c>
      <c r="BU7" s="7" t="s">
        <v>303</v>
      </c>
      <c r="BV7" s="7" t="s">
        <v>307</v>
      </c>
      <c r="BW7" s="40">
        <v>19</v>
      </c>
      <c r="BY7" s="178" t="s">
        <v>72</v>
      </c>
      <c r="BZ7" s="7" t="s">
        <v>304</v>
      </c>
      <c r="CA7" s="7" t="s">
        <v>307</v>
      </c>
      <c r="CB7" s="40">
        <v>37</v>
      </c>
    </row>
    <row r="8" spans="1:80" x14ac:dyDescent="0.25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78" t="e">
        <f ca="1"/>
        <v>#NAME?</v>
      </c>
      <c r="R8" s="7" t="e">
        <f ca="1"/>
        <v>#NAME?</v>
      </c>
      <c r="S8" s="7" t="e">
        <f ca="1"/>
        <v>#NAME?</v>
      </c>
      <c r="T8" s="40" t="e">
        <f ca="1"/>
        <v>#NAME?</v>
      </c>
      <c r="V8" s="178"/>
      <c r="W8" s="7"/>
      <c r="X8" s="40" t="e">
        <f t="array" aca="1" ref="X8:X9" ca="1">SortUnique(S3:S98)</f>
        <v>#NAME?</v>
      </c>
      <c r="Y8" s="178">
        <f ca="1">SUMIF($X$22:$X$29,X8,$Y$22:$Y$29)</f>
        <v>768</v>
      </c>
      <c r="Z8" s="40" t="e">
        <f ca="1">IF(Y8=0,"",AVERAGEIF($X$22:$X$29,X8,$Z$22:$Z$29))</f>
        <v>#NAME?</v>
      </c>
      <c r="AB8" t="s">
        <v>271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t="e">
        <f ca="1">AC8/(AC8+AC12)</f>
        <v>#NAME?</v>
      </c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124" t="s">
        <v>72</v>
      </c>
      <c r="AU8" s="123" t="s">
        <v>303</v>
      </c>
      <c r="AV8" s="8" t="s">
        <v>307</v>
      </c>
      <c r="AW8" s="7">
        <v>19</v>
      </c>
      <c r="AX8" s="7">
        <v>28</v>
      </c>
      <c r="AY8" s="7">
        <v>31</v>
      </c>
      <c r="AZ8" s="7">
        <v>23</v>
      </c>
      <c r="BA8" s="7">
        <v>19</v>
      </c>
      <c r="BB8" s="7">
        <v>14</v>
      </c>
      <c r="BC8" s="7">
        <v>4</v>
      </c>
      <c r="BD8" s="7">
        <v>29</v>
      </c>
      <c r="BE8" s="7">
        <v>18</v>
      </c>
      <c r="BF8" s="7">
        <v>22</v>
      </c>
      <c r="BG8" s="7">
        <v>18</v>
      </c>
      <c r="BH8" s="8">
        <v>24</v>
      </c>
      <c r="BJ8" s="178" t="s">
        <v>77</v>
      </c>
      <c r="BK8" s="7" t="s">
        <v>303</v>
      </c>
      <c r="BL8" s="7" t="s">
        <v>307</v>
      </c>
      <c r="BM8" s="40">
        <v>31</v>
      </c>
      <c r="BO8" s="178" t="s">
        <v>77</v>
      </c>
      <c r="BP8" s="7" t="s">
        <v>304</v>
      </c>
      <c r="BQ8" s="7" t="s">
        <v>307</v>
      </c>
      <c r="BR8" s="40">
        <v>24</v>
      </c>
      <c r="BT8" s="178" t="s">
        <v>72</v>
      </c>
      <c r="BU8" s="7" t="s">
        <v>303</v>
      </c>
      <c r="BV8" s="7" t="s">
        <v>307</v>
      </c>
      <c r="BW8" s="40">
        <v>14</v>
      </c>
      <c r="BY8" s="178" t="s">
        <v>72</v>
      </c>
      <c r="BZ8" s="7" t="s">
        <v>304</v>
      </c>
      <c r="CA8" s="7" t="s">
        <v>307</v>
      </c>
      <c r="CB8" s="40">
        <v>42</v>
      </c>
    </row>
    <row r="9" spans="1:80" x14ac:dyDescent="0.25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178" t="e">
        <f ca="1"/>
        <v>#NAME?</v>
      </c>
      <c r="R9" s="7" t="e">
        <f ca="1"/>
        <v>#NAME?</v>
      </c>
      <c r="S9" s="7" t="e">
        <f ca="1"/>
        <v>#NAME?</v>
      </c>
      <c r="T9" s="40" t="e">
        <f ca="1"/>
        <v>#NAME?</v>
      </c>
      <c r="V9" s="221"/>
      <c r="W9" s="222"/>
      <c r="X9" s="223" t="e">
        <f ca="1"/>
        <v>#NAME?</v>
      </c>
      <c r="Y9" s="221">
        <f ca="1">SUMIF($X$22:$X$29,X9,$Y$22:$Y$29)</f>
        <v>768</v>
      </c>
      <c r="Z9" s="223" t="e">
        <f ca="1">IF(Y9=0,"",AVERAGEIF($X$22:$X$29,X9,$Z$22:$Z$29))</f>
        <v>#NAME?</v>
      </c>
      <c r="AB9" t="s">
        <v>273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t="e">
        <f ca="1">AC9/(AC9+AC12)</f>
        <v>#NAME?</v>
      </c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124" t="s">
        <v>72</v>
      </c>
      <c r="AU9" s="123" t="s">
        <v>303</v>
      </c>
      <c r="AV9" s="8" t="s">
        <v>308</v>
      </c>
      <c r="AW9" s="7">
        <v>29</v>
      </c>
      <c r="AX9" s="7">
        <v>25</v>
      </c>
      <c r="AY9" s="7">
        <v>17</v>
      </c>
      <c r="AZ9" s="7">
        <v>12</v>
      </c>
      <c r="BA9" s="7">
        <v>26</v>
      </c>
      <c r="BB9" s="7">
        <v>35</v>
      </c>
      <c r="BC9" s="7">
        <v>10</v>
      </c>
      <c r="BD9" s="7">
        <v>23</v>
      </c>
      <c r="BE9" s="7">
        <v>26</v>
      </c>
      <c r="BF9" s="7">
        <v>18</v>
      </c>
      <c r="BG9" s="7">
        <v>24</v>
      </c>
      <c r="BH9" s="8">
        <v>16</v>
      </c>
      <c r="BJ9" s="178" t="s">
        <v>77</v>
      </c>
      <c r="BK9" s="7" t="s">
        <v>303</v>
      </c>
      <c r="BL9" s="7" t="s">
        <v>307</v>
      </c>
      <c r="BM9" s="40">
        <v>26</v>
      </c>
      <c r="BO9" s="178" t="s">
        <v>77</v>
      </c>
      <c r="BP9" s="7" t="s">
        <v>304</v>
      </c>
      <c r="BQ9" s="7" t="s">
        <v>307</v>
      </c>
      <c r="BR9" s="40">
        <v>24</v>
      </c>
      <c r="BT9" s="178" t="s">
        <v>72</v>
      </c>
      <c r="BU9" s="7" t="s">
        <v>303</v>
      </c>
      <c r="BV9" s="7" t="s">
        <v>307</v>
      </c>
      <c r="BW9" s="40">
        <v>4</v>
      </c>
      <c r="BY9" s="178" t="s">
        <v>72</v>
      </c>
      <c r="BZ9" s="7" t="s">
        <v>304</v>
      </c>
      <c r="CA9" s="7" t="s">
        <v>307</v>
      </c>
      <c r="CB9" s="40">
        <v>30</v>
      </c>
    </row>
    <row r="10" spans="1:80" x14ac:dyDescent="0.25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78" t="e">
        <f ca="1"/>
        <v>#NAME?</v>
      </c>
      <c r="R10" s="7" t="e">
        <f ca="1"/>
        <v>#NAME?</v>
      </c>
      <c r="S10" s="7" t="e">
        <f ca="1"/>
        <v>#NAME?</v>
      </c>
      <c r="T10" s="40" t="e">
        <f ca="1"/>
        <v>#NAME?</v>
      </c>
      <c r="V10" s="237" t="e">
        <f ca="1">$V$4</f>
        <v>#NAME?</v>
      </c>
      <c r="W10" s="238" t="e">
        <f ca="1">$W6</f>
        <v>#NAME?</v>
      </c>
      <c r="X10" s="239"/>
      <c r="Y10" s="237">
        <f ca="1">SUMIFS($Y$22:$Y$29,$V$22:$V$29,V10,$W$22:$W$29,W10)</f>
        <v>768</v>
      </c>
      <c r="Z10" s="239" t="e">
        <f ca="1">IF(Y10=0,"",AVERAGEIFS($Z$22:$Z$29,$V$22:$V$29,V10,$W$22:$W$29,W10))</f>
        <v>#NAME?</v>
      </c>
      <c r="AB10" t="s">
        <v>275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t="e">
        <f ca="1">AC10/(AC10+AC12)</f>
        <v>#NAME?</v>
      </c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124" t="s">
        <v>72</v>
      </c>
      <c r="AU10" s="123" t="s">
        <v>304</v>
      </c>
      <c r="AV10" s="8" t="s">
        <v>307</v>
      </c>
      <c r="AW10" s="7">
        <v>28</v>
      </c>
      <c r="AX10" s="7">
        <v>37</v>
      </c>
      <c r="AY10" s="7">
        <v>22</v>
      </c>
      <c r="AZ10" s="7">
        <v>44</v>
      </c>
      <c r="BA10" s="7">
        <v>37</v>
      </c>
      <c r="BB10" s="7">
        <v>42</v>
      </c>
      <c r="BC10" s="7">
        <v>30</v>
      </c>
      <c r="BD10" s="7">
        <v>37</v>
      </c>
      <c r="BE10" s="7">
        <v>25</v>
      </c>
      <c r="BF10" s="7">
        <v>38</v>
      </c>
      <c r="BG10" s="7">
        <v>41</v>
      </c>
      <c r="BH10" s="8">
        <v>28</v>
      </c>
      <c r="BJ10" s="178" t="s">
        <v>77</v>
      </c>
      <c r="BK10" s="7" t="s">
        <v>303</v>
      </c>
      <c r="BL10" s="7" t="s">
        <v>307</v>
      </c>
      <c r="BM10" s="40">
        <v>34</v>
      </c>
      <c r="BO10" s="178" t="s">
        <v>77</v>
      </c>
      <c r="BP10" s="7" t="s">
        <v>304</v>
      </c>
      <c r="BQ10" s="7" t="s">
        <v>307</v>
      </c>
      <c r="BR10" s="40">
        <v>19</v>
      </c>
      <c r="BT10" s="178" t="s">
        <v>72</v>
      </c>
      <c r="BU10" s="7" t="s">
        <v>303</v>
      </c>
      <c r="BV10" s="7" t="s">
        <v>307</v>
      </c>
      <c r="BW10" s="40">
        <v>29</v>
      </c>
      <c r="BY10" s="178" t="s">
        <v>72</v>
      </c>
      <c r="BZ10" s="7" t="s">
        <v>304</v>
      </c>
      <c r="CA10" s="7" t="s">
        <v>307</v>
      </c>
      <c r="CB10" s="40">
        <v>37</v>
      </c>
    </row>
    <row r="11" spans="1:80" x14ac:dyDescent="0.25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178" t="e">
        <f ca="1"/>
        <v>#NAME?</v>
      </c>
      <c r="R11" s="7" t="e">
        <f ca="1"/>
        <v>#NAME?</v>
      </c>
      <c r="S11" s="7" t="e">
        <f ca="1"/>
        <v>#NAME?</v>
      </c>
      <c r="T11" s="40" t="e">
        <f ca="1"/>
        <v>#NAME?</v>
      </c>
      <c r="V11" s="178" t="e">
        <f ca="1">$V$4</f>
        <v>#NAME?</v>
      </c>
      <c r="W11" s="7" t="e">
        <f ca="1">$W7</f>
        <v>#NAME?</v>
      </c>
      <c r="X11" s="40"/>
      <c r="Y11" s="178">
        <f ca="1">SUMIFS($Y$22:$Y$29,$V$22:$V$29,V11,$W$22:$W$29,W11)</f>
        <v>768</v>
      </c>
      <c r="Z11" s="40" t="e">
        <f ca="1">IF(Y11=0,"",AVERAGEIFS($Z$22:$Z$29,$V$22:$V$29,V11,$W$22:$W$29,W11))</f>
        <v>#NAME?</v>
      </c>
      <c r="AB11" t="s">
        <v>277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t="e">
        <f ca="1">AC11/(AC11+AC12)</f>
        <v>#NAME?</v>
      </c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9" t="s">
        <v>72</v>
      </c>
      <c r="AU11" s="58" t="s">
        <v>304</v>
      </c>
      <c r="AV11" s="11" t="s">
        <v>308</v>
      </c>
      <c r="AW11" s="10">
        <v>35</v>
      </c>
      <c r="AX11" s="10">
        <v>23</v>
      </c>
      <c r="AY11" s="10">
        <v>24</v>
      </c>
      <c r="AZ11" s="10">
        <v>11</v>
      </c>
      <c r="BA11" s="10">
        <v>23</v>
      </c>
      <c r="BB11" s="10">
        <v>30</v>
      </c>
      <c r="BC11" s="10">
        <v>26</v>
      </c>
      <c r="BD11" s="10">
        <v>16</v>
      </c>
      <c r="BE11" s="10">
        <v>23</v>
      </c>
      <c r="BF11" s="10">
        <v>14</v>
      </c>
      <c r="BG11" s="10">
        <v>19</v>
      </c>
      <c r="BH11" s="11">
        <v>25</v>
      </c>
      <c r="BJ11" s="178" t="s">
        <v>77</v>
      </c>
      <c r="BK11" s="7" t="s">
        <v>303</v>
      </c>
      <c r="BL11" s="7" t="s">
        <v>307</v>
      </c>
      <c r="BM11" s="40">
        <v>17</v>
      </c>
      <c r="BO11" s="178" t="s">
        <v>77</v>
      </c>
      <c r="BP11" s="7" t="s">
        <v>304</v>
      </c>
      <c r="BQ11" s="7" t="s">
        <v>307</v>
      </c>
      <c r="BR11" s="40">
        <v>31</v>
      </c>
      <c r="BT11" s="178" t="s">
        <v>72</v>
      </c>
      <c r="BU11" s="7" t="s">
        <v>303</v>
      </c>
      <c r="BV11" s="7" t="s">
        <v>307</v>
      </c>
      <c r="BW11" s="40">
        <v>18</v>
      </c>
      <c r="BY11" s="178" t="s">
        <v>72</v>
      </c>
      <c r="BZ11" s="7" t="s">
        <v>304</v>
      </c>
      <c r="CA11" s="7" t="s">
        <v>307</v>
      </c>
      <c r="CB11" s="40">
        <v>25</v>
      </c>
    </row>
    <row r="12" spans="1:80" x14ac:dyDescent="0.25">
      <c r="Q12" s="178" t="e">
        <f ca="1"/>
        <v>#NAME?</v>
      </c>
      <c r="R12" s="7" t="e">
        <f ca="1"/>
        <v>#NAME?</v>
      </c>
      <c r="S12" s="7" t="e">
        <f ca="1"/>
        <v>#NAME?</v>
      </c>
      <c r="T12" s="40" t="e">
        <f ca="1"/>
        <v>#NAME?</v>
      </c>
      <c r="V12" s="178" t="e">
        <f ca="1">$V$5</f>
        <v>#NAME?</v>
      </c>
      <c r="W12" s="7" t="e">
        <f ca="1">$W6</f>
        <v>#NAME?</v>
      </c>
      <c r="X12" s="40"/>
      <c r="Y12" s="178">
        <f ca="1">SUMIFS($Y$22:$Y$29,$V$22:$V$29,V12,$W$22:$W$29,W12)</f>
        <v>768</v>
      </c>
      <c r="Z12" s="40" t="e">
        <f ca="1">IF(Y12=0,"",AVERAGEIFS($Z$22:$Z$29,$V$22:$V$29,V12,$W$22:$W$29,W12))</f>
        <v>#NAME?</v>
      </c>
      <c r="AB12" t="s">
        <v>249</v>
      </c>
      <c r="AC12" t="e">
        <f ca="1"/>
        <v>#NAME?</v>
      </c>
      <c r="AD12">
        <f ca="1">Y30-(AD5+1)*(AD6+1)*(AD7+1)</f>
        <v>768</v>
      </c>
      <c r="AE12" t="e">
        <f t="shared" ca="1" si="0"/>
        <v>#NAME?</v>
      </c>
      <c r="BJ12" s="178" t="s">
        <v>77</v>
      </c>
      <c r="BK12" s="7" t="s">
        <v>303</v>
      </c>
      <c r="BL12" s="7" t="s">
        <v>307</v>
      </c>
      <c r="BM12" s="40">
        <v>23</v>
      </c>
      <c r="BO12" s="178" t="s">
        <v>77</v>
      </c>
      <c r="BP12" s="7" t="s">
        <v>304</v>
      </c>
      <c r="BQ12" s="7" t="s">
        <v>307</v>
      </c>
      <c r="BR12" s="40">
        <v>16</v>
      </c>
      <c r="BT12" s="178" t="s">
        <v>72</v>
      </c>
      <c r="BU12" s="7" t="s">
        <v>303</v>
      </c>
      <c r="BV12" s="7" t="s">
        <v>307</v>
      </c>
      <c r="BW12" s="40">
        <v>22</v>
      </c>
      <c r="BY12" s="178" t="s">
        <v>72</v>
      </c>
      <c r="BZ12" s="7" t="s">
        <v>304</v>
      </c>
      <c r="CA12" s="7" t="s">
        <v>307</v>
      </c>
      <c r="CB12" s="40">
        <v>38</v>
      </c>
    </row>
    <row r="13" spans="1:80" x14ac:dyDescent="0.25">
      <c r="Q13" s="178" t="e">
        <f ca="1"/>
        <v>#NAME?</v>
      </c>
      <c r="R13" s="7" t="e">
        <f ca="1"/>
        <v>#NAME?</v>
      </c>
      <c r="S13" s="7" t="e">
        <f ca="1"/>
        <v>#NAME?</v>
      </c>
      <c r="T13" s="40" t="e">
        <f ca="1"/>
        <v>#NAME?</v>
      </c>
      <c r="V13" s="221" t="e">
        <f ca="1">$V$5</f>
        <v>#NAME?</v>
      </c>
      <c r="W13" s="222" t="e">
        <f ca="1">$W7</f>
        <v>#NAME?</v>
      </c>
      <c r="X13" s="223"/>
      <c r="Y13" s="221">
        <f ca="1">SUMIFS($Y$22:$Y$29,$V$22:$V$29,V13,$W$22:$W$29,W13)</f>
        <v>768</v>
      </c>
      <c r="Z13" s="223" t="e">
        <f ca="1">IF(Y13=0,"",AVERAGEIFS($Z$22:$Z$29,$V$22:$V$29,V13,$W$22:$W$29,W13))</f>
        <v>#NAME?</v>
      </c>
      <c r="AB13" s="224" t="s">
        <v>1</v>
      </c>
      <c r="AC13" s="224" t="e">
        <f ca="1">Z31</f>
        <v>#NAME?</v>
      </c>
      <c r="AD13" s="224">
        <f ca="1">Y30-1</f>
        <v>767</v>
      </c>
      <c r="AE13" s="224" t="e">
        <f t="shared" ca="1" si="0"/>
        <v>#NAME?</v>
      </c>
      <c r="AF13" s="224"/>
      <c r="AG13" s="224"/>
      <c r="AH13" s="224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J13" s="178" t="s">
        <v>77</v>
      </c>
      <c r="BK13" s="7" t="s">
        <v>303</v>
      </c>
      <c r="BL13" s="7" t="s">
        <v>307</v>
      </c>
      <c r="BM13" s="40">
        <v>28</v>
      </c>
      <c r="BO13" s="178" t="s">
        <v>77</v>
      </c>
      <c r="BP13" s="7" t="s">
        <v>304</v>
      </c>
      <c r="BQ13" s="7" t="s">
        <v>307</v>
      </c>
      <c r="BR13" s="40">
        <v>11</v>
      </c>
      <c r="BT13" s="178" t="s">
        <v>72</v>
      </c>
      <c r="BU13" s="7" t="s">
        <v>303</v>
      </c>
      <c r="BV13" s="7" t="s">
        <v>307</v>
      </c>
      <c r="BW13" s="40">
        <v>18</v>
      </c>
      <c r="BY13" s="178" t="s">
        <v>72</v>
      </c>
      <c r="BZ13" s="7" t="s">
        <v>304</v>
      </c>
      <c r="CA13" s="7" t="s">
        <v>307</v>
      </c>
      <c r="CB13" s="40">
        <v>41</v>
      </c>
    </row>
    <row r="14" spans="1:80" x14ac:dyDescent="0.25">
      <c r="Q14" s="178" t="e">
        <f ca="1"/>
        <v>#NAME?</v>
      </c>
      <c r="R14" s="7" t="e">
        <f ca="1"/>
        <v>#NAME?</v>
      </c>
      <c r="S14" s="7" t="e">
        <f ca="1"/>
        <v>#NAME?</v>
      </c>
      <c r="T14" s="40" t="e">
        <f ca="1"/>
        <v>#NAME?</v>
      </c>
      <c r="V14" s="237" t="e">
        <f ca="1">$V$4</f>
        <v>#NAME?</v>
      </c>
      <c r="W14" s="238"/>
      <c r="X14" s="239" t="e">
        <f ca="1">$X8</f>
        <v>#NAME?</v>
      </c>
      <c r="Y14" s="237">
        <f ca="1">SUMIFS($Y$22:$Y$29,$V$22:$V$29,V14,$X$22:$X$29,X14)</f>
        <v>768</v>
      </c>
      <c r="Z14" s="239" t="e">
        <f ca="1">IF(Y14=0,"",AVERAGEIFS($Z$22:$Z$29,$V$22:$V$29,V14,$X$22:$X$29,X14))</f>
        <v>#NAME?</v>
      </c>
      <c r="BJ14" s="178" t="s">
        <v>77</v>
      </c>
      <c r="BK14" s="7" t="s">
        <v>303</v>
      </c>
      <c r="BL14" s="7" t="s">
        <v>307</v>
      </c>
      <c r="BM14" s="40">
        <v>26</v>
      </c>
      <c r="BO14" s="178" t="s">
        <v>77</v>
      </c>
      <c r="BP14" s="7" t="s">
        <v>304</v>
      </c>
      <c r="BQ14" s="7" t="s">
        <v>307</v>
      </c>
      <c r="BR14" s="40">
        <v>19</v>
      </c>
      <c r="BT14" s="178" t="s">
        <v>72</v>
      </c>
      <c r="BU14" s="7" t="s">
        <v>303</v>
      </c>
      <c r="BV14" s="7" t="s">
        <v>307</v>
      </c>
      <c r="BW14" s="40">
        <v>24</v>
      </c>
      <c r="BY14" s="178" t="s">
        <v>72</v>
      </c>
      <c r="BZ14" s="7" t="s">
        <v>304</v>
      </c>
      <c r="CA14" s="7" t="s">
        <v>307</v>
      </c>
      <c r="CB14" s="40">
        <v>28</v>
      </c>
    </row>
    <row r="15" spans="1:80" x14ac:dyDescent="0.25">
      <c r="Q15" s="178" t="e">
        <f ca="1"/>
        <v>#NAME?</v>
      </c>
      <c r="R15" s="7" t="e">
        <f ca="1"/>
        <v>#NAME?</v>
      </c>
      <c r="S15" s="7" t="e">
        <f ca="1"/>
        <v>#NAME?</v>
      </c>
      <c r="T15" s="40" t="e">
        <f ca="1"/>
        <v>#NAME?</v>
      </c>
      <c r="V15" s="178" t="e">
        <f ca="1">$V$4</f>
        <v>#NAME?</v>
      </c>
      <c r="W15" s="7"/>
      <c r="X15" s="40" t="e">
        <f ca="1">$X9</f>
        <v>#NAME?</v>
      </c>
      <c r="Y15" s="178">
        <f ca="1">SUMIFS($Y$22:$Y$29,$V$22:$V$29,V15,$X$22:$X$29,X15)</f>
        <v>768</v>
      </c>
      <c r="Z15" s="40" t="e">
        <f ca="1">IF(Y15=0,"",AVERAGEIFS($Z$22:$Z$29,$V$22:$V$29,V15,$X$22:$X$29,X15))</f>
        <v>#NAME?</v>
      </c>
      <c r="BJ15" s="178" t="s">
        <v>77</v>
      </c>
      <c r="BK15" s="7" t="s">
        <v>303</v>
      </c>
      <c r="BL15" s="7" t="s">
        <v>308</v>
      </c>
      <c r="BM15" s="40">
        <v>24</v>
      </c>
      <c r="BO15" s="178" t="s">
        <v>77</v>
      </c>
      <c r="BP15" s="7" t="s">
        <v>304</v>
      </c>
      <c r="BQ15" s="7" t="s">
        <v>308</v>
      </c>
      <c r="BR15" s="40">
        <v>31</v>
      </c>
      <c r="BT15" s="178" t="s">
        <v>72</v>
      </c>
      <c r="BU15" s="7" t="s">
        <v>303</v>
      </c>
      <c r="BV15" s="7" t="s">
        <v>308</v>
      </c>
      <c r="BW15" s="40">
        <v>29</v>
      </c>
      <c r="BY15" s="178" t="s">
        <v>72</v>
      </c>
      <c r="BZ15" s="7" t="s">
        <v>304</v>
      </c>
      <c r="CA15" s="7" t="s">
        <v>308</v>
      </c>
      <c r="CB15" s="40">
        <v>35</v>
      </c>
    </row>
    <row r="16" spans="1:80" x14ac:dyDescent="0.25">
      <c r="Q16" s="178" t="e">
        <f ca="1"/>
        <v>#NAME?</v>
      </c>
      <c r="R16" s="7" t="e">
        <f ca="1"/>
        <v>#NAME?</v>
      </c>
      <c r="S16" s="7" t="e">
        <f ca="1"/>
        <v>#NAME?</v>
      </c>
      <c r="T16" s="40" t="e">
        <f ca="1"/>
        <v>#NAME?</v>
      </c>
      <c r="V16" s="178" t="e">
        <f ca="1">$V$5</f>
        <v>#NAME?</v>
      </c>
      <c r="W16" s="7"/>
      <c r="X16" s="40" t="e">
        <f ca="1">$X8</f>
        <v>#NAME?</v>
      </c>
      <c r="Y16" s="178">
        <f ca="1">SUMIFS($Y$22:$Y$29,$V$22:$V$29,V16,$X$22:$X$29,X16)</f>
        <v>768</v>
      </c>
      <c r="Z16" s="40" t="e">
        <f ca="1">IF(Y16=0,"",AVERAGEIFS($Z$22:$Z$29,$V$22:$V$29,V16,$X$22:$X$29,X16))</f>
        <v>#NAME?</v>
      </c>
      <c r="BJ16" s="178" t="s">
        <v>77</v>
      </c>
      <c r="BK16" s="7" t="s">
        <v>303</v>
      </c>
      <c r="BL16" s="7" t="s">
        <v>308</v>
      </c>
      <c r="BM16" s="40">
        <v>25</v>
      </c>
      <c r="BO16" s="178" t="s">
        <v>77</v>
      </c>
      <c r="BP16" s="7" t="s">
        <v>304</v>
      </c>
      <c r="BQ16" s="7" t="s">
        <v>308</v>
      </c>
      <c r="BR16" s="40">
        <v>29</v>
      </c>
      <c r="BT16" s="178" t="s">
        <v>72</v>
      </c>
      <c r="BU16" s="7" t="s">
        <v>303</v>
      </c>
      <c r="BV16" s="7" t="s">
        <v>308</v>
      </c>
      <c r="BW16" s="40">
        <v>25</v>
      </c>
      <c r="BY16" s="178" t="s">
        <v>72</v>
      </c>
      <c r="BZ16" s="7" t="s">
        <v>304</v>
      </c>
      <c r="CA16" s="7" t="s">
        <v>308</v>
      </c>
      <c r="CB16" s="40">
        <v>23</v>
      </c>
    </row>
    <row r="17" spans="17:80" x14ac:dyDescent="0.25">
      <c r="Q17" s="178" t="e">
        <f ca="1"/>
        <v>#NAME?</v>
      </c>
      <c r="R17" s="7" t="e">
        <f ca="1"/>
        <v>#NAME?</v>
      </c>
      <c r="S17" s="7" t="e">
        <f ca="1"/>
        <v>#NAME?</v>
      </c>
      <c r="T17" s="40" t="e">
        <f ca="1"/>
        <v>#NAME?</v>
      </c>
      <c r="V17" s="221" t="e">
        <f ca="1">$V$5</f>
        <v>#NAME?</v>
      </c>
      <c r="W17" s="222"/>
      <c r="X17" s="223" t="e">
        <f ca="1">$X9</f>
        <v>#NAME?</v>
      </c>
      <c r="Y17" s="221">
        <f ca="1">SUMIFS($Y$22:$Y$29,$V$22:$V$29,V17,$X$22:$X$29,X17)</f>
        <v>768</v>
      </c>
      <c r="Z17" s="223" t="e">
        <f ca="1">IF(Y17=0,"",AVERAGEIFS($Z$22:$Z$29,$V$22:$V$29,V17,$X$22:$X$29,X17))</f>
        <v>#NAME?</v>
      </c>
      <c r="BJ17" s="178" t="s">
        <v>77</v>
      </c>
      <c r="BK17" s="7" t="s">
        <v>303</v>
      </c>
      <c r="BL17" s="7" t="s">
        <v>308</v>
      </c>
      <c r="BM17" s="40">
        <v>14</v>
      </c>
      <c r="BO17" s="178" t="s">
        <v>77</v>
      </c>
      <c r="BP17" s="7" t="s">
        <v>304</v>
      </c>
      <c r="BQ17" s="7" t="s">
        <v>308</v>
      </c>
      <c r="BR17" s="40">
        <v>40</v>
      </c>
      <c r="BT17" s="178" t="s">
        <v>72</v>
      </c>
      <c r="BU17" s="7" t="s">
        <v>303</v>
      </c>
      <c r="BV17" s="7" t="s">
        <v>308</v>
      </c>
      <c r="BW17" s="40">
        <v>17</v>
      </c>
      <c r="BY17" s="178" t="s">
        <v>72</v>
      </c>
      <c r="BZ17" s="7" t="s">
        <v>304</v>
      </c>
      <c r="CA17" s="7" t="s">
        <v>308</v>
      </c>
      <c r="CB17" s="40">
        <v>24</v>
      </c>
    </row>
    <row r="18" spans="17:80" x14ac:dyDescent="0.25">
      <c r="Q18" s="178" t="e">
        <f ca="1"/>
        <v>#NAME?</v>
      </c>
      <c r="R18" s="7" t="e">
        <f ca="1"/>
        <v>#NAME?</v>
      </c>
      <c r="S18" s="7" t="e">
        <f ca="1"/>
        <v>#NAME?</v>
      </c>
      <c r="T18" s="40" t="e">
        <f ca="1"/>
        <v>#NAME?</v>
      </c>
      <c r="V18" s="237"/>
      <c r="W18" s="238" t="e">
        <f ca="1">$W$6</f>
        <v>#NAME?</v>
      </c>
      <c r="X18" s="239" t="e">
        <f ca="1">$X8</f>
        <v>#NAME?</v>
      </c>
      <c r="Y18" s="237">
        <f ca="1">SUMIFS($Y$22:$Y$29,$W$22:$W$29,W18,$X$22:$X$29,X18)</f>
        <v>768</v>
      </c>
      <c r="Z18" s="239" t="e">
        <f ca="1">IF(Y18=0,"",AVERAGEIFS($Z$22:$Z$29,$W$22:$W$29,W18,$X$22:$X$29,X18))</f>
        <v>#NAME?</v>
      </c>
      <c r="BJ18" s="178" t="s">
        <v>77</v>
      </c>
      <c r="BK18" s="7" t="s">
        <v>303</v>
      </c>
      <c r="BL18" s="7" t="s">
        <v>308</v>
      </c>
      <c r="BM18" s="40">
        <v>17</v>
      </c>
      <c r="BO18" s="178" t="s">
        <v>77</v>
      </c>
      <c r="BP18" s="7" t="s">
        <v>304</v>
      </c>
      <c r="BQ18" s="7" t="s">
        <v>308</v>
      </c>
      <c r="BR18" s="40">
        <v>31</v>
      </c>
      <c r="BT18" s="178" t="s">
        <v>72</v>
      </c>
      <c r="BU18" s="7" t="s">
        <v>303</v>
      </c>
      <c r="BV18" s="7" t="s">
        <v>308</v>
      </c>
      <c r="BW18" s="40">
        <v>12</v>
      </c>
      <c r="BY18" s="178" t="s">
        <v>72</v>
      </c>
      <c r="BZ18" s="7" t="s">
        <v>304</v>
      </c>
      <c r="CA18" s="7" t="s">
        <v>308</v>
      </c>
      <c r="CB18" s="40">
        <v>11</v>
      </c>
    </row>
    <row r="19" spans="17:80" x14ac:dyDescent="0.25">
      <c r="Q19" s="178" t="e">
        <f ca="1"/>
        <v>#NAME?</v>
      </c>
      <c r="R19" s="7" t="e">
        <f ca="1"/>
        <v>#NAME?</v>
      </c>
      <c r="S19" s="7" t="e">
        <f ca="1"/>
        <v>#NAME?</v>
      </c>
      <c r="T19" s="40" t="e">
        <f ca="1"/>
        <v>#NAME?</v>
      </c>
      <c r="V19" s="178"/>
      <c r="W19" s="7" t="e">
        <f ca="1">$W$6</f>
        <v>#NAME?</v>
      </c>
      <c r="X19" s="40" t="e">
        <f ca="1">$X9</f>
        <v>#NAME?</v>
      </c>
      <c r="Y19" s="178">
        <f ca="1">SUMIFS($Y$22:$Y$29,$W$22:$W$29,W19,$X$22:$X$29,X19)</f>
        <v>768</v>
      </c>
      <c r="Z19" s="40" t="e">
        <f ca="1">IF(Y19=0,"",AVERAGEIFS($Z$22:$Z$29,$W$22:$W$29,W19,$X$22:$X$29,X19))</f>
        <v>#NAME?</v>
      </c>
      <c r="BJ19" s="178" t="s">
        <v>77</v>
      </c>
      <c r="BK19" s="7" t="s">
        <v>303</v>
      </c>
      <c r="BL19" s="7" t="s">
        <v>308</v>
      </c>
      <c r="BM19" s="40">
        <v>30</v>
      </c>
      <c r="BO19" s="178" t="s">
        <v>77</v>
      </c>
      <c r="BP19" s="7" t="s">
        <v>304</v>
      </c>
      <c r="BQ19" s="7" t="s">
        <v>308</v>
      </c>
      <c r="BR19" s="40">
        <v>35</v>
      </c>
      <c r="BT19" s="178" t="s">
        <v>72</v>
      </c>
      <c r="BU19" s="7" t="s">
        <v>303</v>
      </c>
      <c r="BV19" s="7" t="s">
        <v>308</v>
      </c>
      <c r="BW19" s="40">
        <v>26</v>
      </c>
      <c r="BY19" s="178" t="s">
        <v>72</v>
      </c>
      <c r="BZ19" s="7" t="s">
        <v>304</v>
      </c>
      <c r="CA19" s="7" t="s">
        <v>308</v>
      </c>
      <c r="CB19" s="40">
        <v>23</v>
      </c>
    </row>
    <row r="20" spans="17:80" x14ac:dyDescent="0.25">
      <c r="Q20" s="178" t="e">
        <f ca="1"/>
        <v>#NAME?</v>
      </c>
      <c r="R20" s="7" t="e">
        <f ca="1"/>
        <v>#NAME?</v>
      </c>
      <c r="S20" s="7" t="e">
        <f ca="1"/>
        <v>#NAME?</v>
      </c>
      <c r="T20" s="40" t="e">
        <f ca="1"/>
        <v>#NAME?</v>
      </c>
      <c r="V20" s="178"/>
      <c r="W20" s="7" t="e">
        <f ca="1">$W$7</f>
        <v>#NAME?</v>
      </c>
      <c r="X20" s="40" t="e">
        <f ca="1">$X8</f>
        <v>#NAME?</v>
      </c>
      <c r="Y20" s="178">
        <f ca="1">SUMIFS($Y$22:$Y$29,$W$22:$W$29,W20,$X$22:$X$29,X20)</f>
        <v>768</v>
      </c>
      <c r="Z20" s="40" t="e">
        <f ca="1">IF(Y20=0,"",AVERAGEIFS($Z$22:$Z$29,$W$22:$W$29,W20,$X$22:$X$29,X20))</f>
        <v>#NAME?</v>
      </c>
      <c r="BJ20" s="178" t="s">
        <v>77</v>
      </c>
      <c r="BK20" s="7" t="s">
        <v>303</v>
      </c>
      <c r="BL20" s="7" t="s">
        <v>308</v>
      </c>
      <c r="BM20" s="40">
        <v>18</v>
      </c>
      <c r="BO20" s="178" t="s">
        <v>77</v>
      </c>
      <c r="BP20" s="7" t="s">
        <v>304</v>
      </c>
      <c r="BQ20" s="7" t="s">
        <v>308</v>
      </c>
      <c r="BR20" s="40">
        <v>25</v>
      </c>
      <c r="BT20" s="178" t="s">
        <v>72</v>
      </c>
      <c r="BU20" s="7" t="s">
        <v>303</v>
      </c>
      <c r="BV20" s="7" t="s">
        <v>308</v>
      </c>
      <c r="BW20" s="40">
        <v>35</v>
      </c>
      <c r="BY20" s="178" t="s">
        <v>72</v>
      </c>
      <c r="BZ20" s="7" t="s">
        <v>304</v>
      </c>
      <c r="CA20" s="7" t="s">
        <v>308</v>
      </c>
      <c r="CB20" s="40">
        <v>30</v>
      </c>
    </row>
    <row r="21" spans="17:80" x14ac:dyDescent="0.25">
      <c r="Q21" s="178" t="e">
        <f ca="1"/>
        <v>#NAME?</v>
      </c>
      <c r="R21" s="7" t="e">
        <f ca="1"/>
        <v>#NAME?</v>
      </c>
      <c r="S21" s="7" t="e">
        <f ca="1"/>
        <v>#NAME?</v>
      </c>
      <c r="T21" s="40" t="e">
        <f ca="1"/>
        <v>#NAME?</v>
      </c>
      <c r="V21" s="221"/>
      <c r="W21" s="222" t="e">
        <f ca="1">$W$7</f>
        <v>#NAME?</v>
      </c>
      <c r="X21" s="223" t="e">
        <f ca="1">$X9</f>
        <v>#NAME?</v>
      </c>
      <c r="Y21" s="221">
        <f ca="1">SUMIFS($Y$22:$Y$29,$W$22:$W$29,W21,$X$22:$X$29,X21)</f>
        <v>768</v>
      </c>
      <c r="Z21" s="223" t="e">
        <f ca="1">IF(Y21=0,"",AVERAGEIFS($Z$22:$Z$29,$W$22:$W$29,W21,$X$22:$X$29,X21))</f>
        <v>#NAME?</v>
      </c>
      <c r="BJ21" s="178" t="s">
        <v>77</v>
      </c>
      <c r="BK21" s="7" t="s">
        <v>303</v>
      </c>
      <c r="BL21" s="7" t="s">
        <v>308</v>
      </c>
      <c r="BM21" s="40">
        <v>11</v>
      </c>
      <c r="BO21" s="178" t="s">
        <v>77</v>
      </c>
      <c r="BP21" s="7" t="s">
        <v>304</v>
      </c>
      <c r="BQ21" s="7" t="s">
        <v>308</v>
      </c>
      <c r="BR21" s="40">
        <v>18</v>
      </c>
      <c r="BT21" s="178" t="s">
        <v>72</v>
      </c>
      <c r="BU21" s="7" t="s">
        <v>303</v>
      </c>
      <c r="BV21" s="7" t="s">
        <v>308</v>
      </c>
      <c r="BW21" s="40">
        <v>10</v>
      </c>
      <c r="BY21" s="178" t="s">
        <v>72</v>
      </c>
      <c r="BZ21" s="7" t="s">
        <v>304</v>
      </c>
      <c r="CA21" s="7" t="s">
        <v>308</v>
      </c>
      <c r="CB21" s="40">
        <v>26</v>
      </c>
    </row>
    <row r="22" spans="17:80" x14ac:dyDescent="0.25">
      <c r="Q22" s="178" t="e">
        <f ca="1"/>
        <v>#NAME?</v>
      </c>
      <c r="R22" s="7" t="e">
        <f ca="1"/>
        <v>#NAME?</v>
      </c>
      <c r="S22" s="7" t="e">
        <f ca="1"/>
        <v>#NAME?</v>
      </c>
      <c r="T22" s="40" t="e">
        <f ca="1"/>
        <v>#NAME?</v>
      </c>
      <c r="V22" s="237" t="e">
        <f ca="1">$V$4</f>
        <v>#NAME?</v>
      </c>
      <c r="W22" s="238" t="e">
        <f t="shared" ref="W22:X29" ca="1" si="1">W18</f>
        <v>#NAME?</v>
      </c>
      <c r="X22" s="239" t="e">
        <f t="shared" ca="1" si="1"/>
        <v>#NAME?</v>
      </c>
      <c r="Y22" s="237">
        <f ca="1">COUNTIFS($Q$3:$Q$98,$V22,$R$3:$R$98,$W22,$S$3:$S$98,$X22)</f>
        <v>96</v>
      </c>
      <c r="Z22" s="239" t="e">
        <f ca="1">IF(Y22=0,"",AVERAGEIFS($T$3:$T$98,$Q$3:$Q$98,$V22,$R$3:$R$98,$W22,$S$3:$S$98,$X22))</f>
        <v>#NAME?</v>
      </c>
      <c r="BJ22" s="178" t="s">
        <v>77</v>
      </c>
      <c r="BK22" s="7" t="s">
        <v>303</v>
      </c>
      <c r="BL22" s="7" t="s">
        <v>308</v>
      </c>
      <c r="BM22" s="40">
        <v>16</v>
      </c>
      <c r="BO22" s="178" t="s">
        <v>77</v>
      </c>
      <c r="BP22" s="7" t="s">
        <v>304</v>
      </c>
      <c r="BQ22" s="7" t="s">
        <v>308</v>
      </c>
      <c r="BR22" s="40">
        <v>29</v>
      </c>
      <c r="BT22" s="178" t="s">
        <v>72</v>
      </c>
      <c r="BU22" s="7" t="s">
        <v>303</v>
      </c>
      <c r="BV22" s="7" t="s">
        <v>308</v>
      </c>
      <c r="BW22" s="40">
        <v>23</v>
      </c>
      <c r="BY22" s="178" t="s">
        <v>72</v>
      </c>
      <c r="BZ22" s="7" t="s">
        <v>304</v>
      </c>
      <c r="CA22" s="7" t="s">
        <v>308</v>
      </c>
      <c r="CB22" s="40">
        <v>16</v>
      </c>
    </row>
    <row r="23" spans="17:80" x14ac:dyDescent="0.25">
      <c r="Q23" s="178" t="e">
        <f ca="1"/>
        <v>#NAME?</v>
      </c>
      <c r="R23" s="7" t="e">
        <f ca="1"/>
        <v>#NAME?</v>
      </c>
      <c r="S23" s="7" t="e">
        <f ca="1"/>
        <v>#NAME?</v>
      </c>
      <c r="T23" s="40" t="e">
        <f ca="1"/>
        <v>#NAME?</v>
      </c>
      <c r="V23" s="178" t="e">
        <f ca="1">$V$4</f>
        <v>#NAME?</v>
      </c>
      <c r="W23" s="7" t="e">
        <f t="shared" ca="1" si="1"/>
        <v>#NAME?</v>
      </c>
      <c r="X23" s="40" t="e">
        <f t="shared" ca="1" si="1"/>
        <v>#NAME?</v>
      </c>
      <c r="Y23" s="178">
        <f t="shared" ref="Y23:Y29" ca="1" si="2">COUNTIFS($Q$3:$Q$98,$V23,$R$3:$R$98,$W23,$S$3:$S$98,$X23)</f>
        <v>96</v>
      </c>
      <c r="Z23" s="40" t="e">
        <f t="shared" ref="Z23:Z29" ca="1" si="3">IF(Y23=0,"",AVERAGEIFS($T$3:$T$98,$Q$3:$Q$98,$V23,$R$3:$R$98,$W23,$S$3:$S$98,$X23))</f>
        <v>#NAME?</v>
      </c>
      <c r="BJ23" s="178" t="s">
        <v>77</v>
      </c>
      <c r="BK23" s="7" t="s">
        <v>303</v>
      </c>
      <c r="BL23" s="7" t="s">
        <v>308</v>
      </c>
      <c r="BM23" s="40">
        <v>25</v>
      </c>
      <c r="BO23" s="178" t="s">
        <v>77</v>
      </c>
      <c r="BP23" s="7" t="s">
        <v>304</v>
      </c>
      <c r="BQ23" s="7" t="s">
        <v>308</v>
      </c>
      <c r="BR23" s="40">
        <v>36</v>
      </c>
      <c r="BT23" s="178" t="s">
        <v>72</v>
      </c>
      <c r="BU23" s="7" t="s">
        <v>303</v>
      </c>
      <c r="BV23" s="7" t="s">
        <v>308</v>
      </c>
      <c r="BW23" s="40">
        <v>26</v>
      </c>
      <c r="BY23" s="178" t="s">
        <v>72</v>
      </c>
      <c r="BZ23" s="7" t="s">
        <v>304</v>
      </c>
      <c r="CA23" s="7" t="s">
        <v>308</v>
      </c>
      <c r="CB23" s="40">
        <v>23</v>
      </c>
    </row>
    <row r="24" spans="17:80" x14ac:dyDescent="0.25">
      <c r="Q24" s="178" t="e">
        <f ca="1"/>
        <v>#NAME?</v>
      </c>
      <c r="R24" s="7" t="e">
        <f ca="1"/>
        <v>#NAME?</v>
      </c>
      <c r="S24" s="7" t="e">
        <f ca="1"/>
        <v>#NAME?</v>
      </c>
      <c r="T24" s="40" t="e">
        <f ca="1"/>
        <v>#NAME?</v>
      </c>
      <c r="V24" s="178" t="e">
        <f ca="1">$V$4</f>
        <v>#NAME?</v>
      </c>
      <c r="W24" s="7" t="e">
        <f t="shared" ca="1" si="1"/>
        <v>#NAME?</v>
      </c>
      <c r="X24" s="40" t="e">
        <f t="shared" ca="1" si="1"/>
        <v>#NAME?</v>
      </c>
      <c r="Y24" s="178">
        <f t="shared" ca="1" si="2"/>
        <v>96</v>
      </c>
      <c r="Z24" s="40" t="e">
        <f t="shared" ca="1" si="3"/>
        <v>#NAME?</v>
      </c>
      <c r="BJ24" s="178" t="s">
        <v>77</v>
      </c>
      <c r="BK24" s="7" t="s">
        <v>303</v>
      </c>
      <c r="BL24" s="7" t="s">
        <v>308</v>
      </c>
      <c r="BM24" s="40">
        <v>18</v>
      </c>
      <c r="BO24" s="178" t="s">
        <v>77</v>
      </c>
      <c r="BP24" s="7" t="s">
        <v>304</v>
      </c>
      <c r="BQ24" s="7" t="s">
        <v>308</v>
      </c>
      <c r="BR24" s="40">
        <v>42</v>
      </c>
      <c r="BT24" s="178" t="s">
        <v>72</v>
      </c>
      <c r="BU24" s="7" t="s">
        <v>303</v>
      </c>
      <c r="BV24" s="7" t="s">
        <v>308</v>
      </c>
      <c r="BW24" s="40">
        <v>18</v>
      </c>
      <c r="BY24" s="178" t="s">
        <v>72</v>
      </c>
      <c r="BZ24" s="7" t="s">
        <v>304</v>
      </c>
      <c r="CA24" s="7" t="s">
        <v>308</v>
      </c>
      <c r="CB24" s="40">
        <v>14</v>
      </c>
    </row>
    <row r="25" spans="17:80" x14ac:dyDescent="0.25">
      <c r="Q25" s="178" t="e">
        <f ca="1"/>
        <v>#NAME?</v>
      </c>
      <c r="R25" s="7" t="e">
        <f ca="1"/>
        <v>#NAME?</v>
      </c>
      <c r="S25" s="7" t="e">
        <f ca="1"/>
        <v>#NAME?</v>
      </c>
      <c r="T25" s="40" t="e">
        <f ca="1"/>
        <v>#NAME?</v>
      </c>
      <c r="V25" s="178" t="e">
        <f ca="1">$V$4</f>
        <v>#NAME?</v>
      </c>
      <c r="W25" s="7" t="e">
        <f t="shared" ca="1" si="1"/>
        <v>#NAME?</v>
      </c>
      <c r="X25" s="40" t="e">
        <f t="shared" ca="1" si="1"/>
        <v>#NAME?</v>
      </c>
      <c r="Y25" s="178">
        <f t="shared" ca="1" si="2"/>
        <v>96</v>
      </c>
      <c r="Z25" s="40" t="e">
        <f t="shared" ca="1" si="3"/>
        <v>#NAME?</v>
      </c>
      <c r="BJ25" s="178" t="s">
        <v>77</v>
      </c>
      <c r="BK25" s="7" t="s">
        <v>303</v>
      </c>
      <c r="BL25" s="7" t="s">
        <v>308</v>
      </c>
      <c r="BM25" s="40">
        <v>14</v>
      </c>
      <c r="BO25" s="178" t="s">
        <v>77</v>
      </c>
      <c r="BP25" s="7" t="s">
        <v>304</v>
      </c>
      <c r="BQ25" s="7" t="s">
        <v>308</v>
      </c>
      <c r="BR25" s="40">
        <v>40</v>
      </c>
      <c r="BT25" s="178" t="s">
        <v>72</v>
      </c>
      <c r="BU25" s="7" t="s">
        <v>303</v>
      </c>
      <c r="BV25" s="7" t="s">
        <v>308</v>
      </c>
      <c r="BW25" s="40">
        <v>24</v>
      </c>
      <c r="BY25" s="178" t="s">
        <v>72</v>
      </c>
      <c r="BZ25" s="7" t="s">
        <v>304</v>
      </c>
      <c r="CA25" s="7" t="s">
        <v>308</v>
      </c>
      <c r="CB25" s="40">
        <v>19</v>
      </c>
    </row>
    <row r="26" spans="17:80" x14ac:dyDescent="0.25">
      <c r="Q26" s="178" t="e">
        <f ca="1"/>
        <v>#NAME?</v>
      </c>
      <c r="R26" s="7" t="e">
        <f ca="1"/>
        <v>#NAME?</v>
      </c>
      <c r="S26" s="7" t="e">
        <f ca="1"/>
        <v>#NAME?</v>
      </c>
      <c r="T26" s="40" t="e">
        <f ca="1"/>
        <v>#NAME?</v>
      </c>
      <c r="V26" s="178" t="e">
        <f ca="1">$V$5</f>
        <v>#NAME?</v>
      </c>
      <c r="W26" s="7" t="e">
        <f t="shared" ca="1" si="1"/>
        <v>#NAME?</v>
      </c>
      <c r="X26" s="40" t="e">
        <f t="shared" ca="1" si="1"/>
        <v>#NAME?</v>
      </c>
      <c r="Y26" s="178">
        <f t="shared" ca="1" si="2"/>
        <v>96</v>
      </c>
      <c r="Z26" s="40" t="e">
        <f t="shared" ca="1" si="3"/>
        <v>#NAME?</v>
      </c>
      <c r="BJ26" s="178" t="s">
        <v>77</v>
      </c>
      <c r="BK26" s="7" t="s">
        <v>303</v>
      </c>
      <c r="BL26" s="7" t="s">
        <v>308</v>
      </c>
      <c r="BM26" s="40">
        <v>25</v>
      </c>
      <c r="BO26" s="178" t="s">
        <v>77</v>
      </c>
      <c r="BP26" s="7" t="s">
        <v>304</v>
      </c>
      <c r="BQ26" s="7" t="s">
        <v>308</v>
      </c>
      <c r="BR26" s="40">
        <v>36</v>
      </c>
      <c r="BT26" s="178" t="s">
        <v>72</v>
      </c>
      <c r="BU26" s="7" t="s">
        <v>303</v>
      </c>
      <c r="BV26" s="7" t="s">
        <v>308</v>
      </c>
      <c r="BW26" s="40">
        <v>16</v>
      </c>
      <c r="BY26" s="221" t="s">
        <v>72</v>
      </c>
      <c r="BZ26" s="222" t="s">
        <v>304</v>
      </c>
      <c r="CA26" s="222" t="s">
        <v>308</v>
      </c>
      <c r="CB26" s="223">
        <v>25</v>
      </c>
    </row>
    <row r="27" spans="17:80" x14ac:dyDescent="0.25">
      <c r="Q27" s="178" t="e">
        <f ca="1"/>
        <v>#NAME?</v>
      </c>
      <c r="R27" s="7" t="e">
        <f ca="1"/>
        <v>#NAME?</v>
      </c>
      <c r="S27" s="7" t="e">
        <f ca="1"/>
        <v>#NAME?</v>
      </c>
      <c r="T27" s="40" t="e">
        <f ca="1"/>
        <v>#NAME?</v>
      </c>
      <c r="V27" s="178" t="e">
        <f ca="1">$V$5</f>
        <v>#NAME?</v>
      </c>
      <c r="W27" s="7" t="e">
        <f t="shared" ca="1" si="1"/>
        <v>#NAME?</v>
      </c>
      <c r="X27" s="40" t="e">
        <f t="shared" ca="1" si="1"/>
        <v>#NAME?</v>
      </c>
      <c r="Y27" s="178">
        <f t="shared" ca="1" si="2"/>
        <v>96</v>
      </c>
      <c r="Z27" s="40" t="e">
        <f t="shared" ca="1" si="3"/>
        <v>#NAME?</v>
      </c>
    </row>
    <row r="28" spans="17:80" x14ac:dyDescent="0.25">
      <c r="Q28" s="178" t="e">
        <f ca="1"/>
        <v>#NAME?</v>
      </c>
      <c r="R28" s="7" t="e">
        <f ca="1"/>
        <v>#NAME?</v>
      </c>
      <c r="S28" s="7" t="e">
        <f ca="1"/>
        <v>#NAME?</v>
      </c>
      <c r="T28" s="40" t="e">
        <f ca="1"/>
        <v>#NAME?</v>
      </c>
      <c r="V28" s="178" t="e">
        <f ca="1">$V$5</f>
        <v>#NAME?</v>
      </c>
      <c r="W28" s="7" t="e">
        <f t="shared" ca="1" si="1"/>
        <v>#NAME?</v>
      </c>
      <c r="X28" s="40" t="e">
        <f t="shared" ca="1" si="1"/>
        <v>#NAME?</v>
      </c>
      <c r="Y28" s="178">
        <f t="shared" ca="1" si="2"/>
        <v>96</v>
      </c>
      <c r="Z28" s="40" t="e">
        <f t="shared" ca="1" si="3"/>
        <v>#NAME?</v>
      </c>
    </row>
    <row r="29" spans="17:80" x14ac:dyDescent="0.25">
      <c r="Q29" s="178" t="e">
        <f ca="1"/>
        <v>#NAME?</v>
      </c>
      <c r="R29" s="7" t="e">
        <f ca="1"/>
        <v>#NAME?</v>
      </c>
      <c r="S29" s="7" t="e">
        <f ca="1"/>
        <v>#NAME?</v>
      </c>
      <c r="T29" s="40" t="e">
        <f ca="1"/>
        <v>#NAME?</v>
      </c>
      <c r="V29" s="221" t="e">
        <f ca="1">$V$5</f>
        <v>#NAME?</v>
      </c>
      <c r="W29" s="222" t="e">
        <f t="shared" ca="1" si="1"/>
        <v>#NAME?</v>
      </c>
      <c r="X29" s="223" t="e">
        <f t="shared" ca="1" si="1"/>
        <v>#NAME?</v>
      </c>
      <c r="Y29" s="221">
        <f t="shared" ca="1" si="2"/>
        <v>96</v>
      </c>
      <c r="Z29" s="223" t="e">
        <f t="shared" ca="1" si="3"/>
        <v>#NAME?</v>
      </c>
    </row>
    <row r="30" spans="17:80" x14ac:dyDescent="0.25">
      <c r="Q30" s="178" t="e">
        <f ca="1"/>
        <v>#NAME?</v>
      </c>
      <c r="R30" s="7" t="e">
        <f ca="1"/>
        <v>#NAME?</v>
      </c>
      <c r="S30" s="7" t="e">
        <f ca="1"/>
        <v>#NAME?</v>
      </c>
      <c r="T30" s="40" t="e">
        <f ca="1"/>
        <v>#NAME?</v>
      </c>
      <c r="Y30">
        <f ca="1">SUM(Y22:Y29)</f>
        <v>768</v>
      </c>
      <c r="Z30" t="e">
        <f ca="1">AVERAGE(Z22:Z29)</f>
        <v>#NAME?</v>
      </c>
    </row>
    <row r="31" spans="17:80" x14ac:dyDescent="0.25">
      <c r="Q31" s="178" t="e">
        <f ca="1"/>
        <v>#NAME?</v>
      </c>
      <c r="R31" s="7" t="e">
        <f ca="1"/>
        <v>#NAME?</v>
      </c>
      <c r="S31" s="7" t="e">
        <f ca="1"/>
        <v>#NAME?</v>
      </c>
      <c r="T31" s="40" t="e">
        <f ca="1"/>
        <v>#NAME?</v>
      </c>
      <c r="Y31" s="12" t="s">
        <v>268</v>
      </c>
      <c r="Z31" s="240" t="e">
        <f ca="1">DEVSQ(T3:T98)</f>
        <v>#NAME?</v>
      </c>
    </row>
    <row r="32" spans="17:80" x14ac:dyDescent="0.25">
      <c r="Q32" s="178" t="e">
        <f ca="1"/>
        <v>#NAME?</v>
      </c>
      <c r="R32" s="7" t="e">
        <f ca="1"/>
        <v>#NAME?</v>
      </c>
      <c r="S32" s="7" t="e">
        <f ca="1"/>
        <v>#NAME?</v>
      </c>
      <c r="T32" s="40" t="e">
        <f ca="1"/>
        <v>#NAME?</v>
      </c>
    </row>
    <row r="33" spans="17:20" x14ac:dyDescent="0.25">
      <c r="Q33" s="178" t="e">
        <f ca="1"/>
        <v>#NAME?</v>
      </c>
      <c r="R33" s="7" t="e">
        <f ca="1"/>
        <v>#NAME?</v>
      </c>
      <c r="S33" s="7" t="e">
        <f ca="1"/>
        <v>#NAME?</v>
      </c>
      <c r="T33" s="40" t="e">
        <f ca="1"/>
        <v>#NAME?</v>
      </c>
    </row>
    <row r="34" spans="17:20" x14ac:dyDescent="0.25">
      <c r="Q34" s="178" t="e">
        <f ca="1"/>
        <v>#NAME?</v>
      </c>
      <c r="R34" s="7" t="e">
        <f ca="1"/>
        <v>#NAME?</v>
      </c>
      <c r="S34" s="7" t="e">
        <f ca="1"/>
        <v>#NAME?</v>
      </c>
      <c r="T34" s="40" t="e">
        <f ca="1"/>
        <v>#NAME?</v>
      </c>
    </row>
    <row r="35" spans="17:20" x14ac:dyDescent="0.25">
      <c r="Q35" s="178" t="e">
        <f ca="1"/>
        <v>#NAME?</v>
      </c>
      <c r="R35" s="7" t="e">
        <f ca="1"/>
        <v>#NAME?</v>
      </c>
      <c r="S35" s="7" t="e">
        <f ca="1"/>
        <v>#NAME?</v>
      </c>
      <c r="T35" s="40" t="e">
        <f ca="1"/>
        <v>#NAME?</v>
      </c>
    </row>
    <row r="36" spans="17:20" x14ac:dyDescent="0.25">
      <c r="Q36" s="178" t="e">
        <f ca="1"/>
        <v>#NAME?</v>
      </c>
      <c r="R36" s="7" t="e">
        <f ca="1"/>
        <v>#NAME?</v>
      </c>
      <c r="S36" s="7" t="e">
        <f ca="1"/>
        <v>#NAME?</v>
      </c>
      <c r="T36" s="40" t="e">
        <f ca="1"/>
        <v>#NAME?</v>
      </c>
    </row>
    <row r="37" spans="17:20" x14ac:dyDescent="0.25">
      <c r="Q37" s="178" t="e">
        <f ca="1"/>
        <v>#NAME?</v>
      </c>
      <c r="R37" s="7" t="e">
        <f ca="1"/>
        <v>#NAME?</v>
      </c>
      <c r="S37" s="7" t="e">
        <f ca="1"/>
        <v>#NAME?</v>
      </c>
      <c r="T37" s="40" t="e">
        <f ca="1"/>
        <v>#NAME?</v>
      </c>
    </row>
    <row r="38" spans="17:20" x14ac:dyDescent="0.25">
      <c r="Q38" s="178" t="e">
        <f ca="1"/>
        <v>#NAME?</v>
      </c>
      <c r="R38" s="7" t="e">
        <f ca="1"/>
        <v>#NAME?</v>
      </c>
      <c r="S38" s="7" t="e">
        <f ca="1"/>
        <v>#NAME?</v>
      </c>
      <c r="T38" s="40" t="e">
        <f ca="1"/>
        <v>#NAME?</v>
      </c>
    </row>
    <row r="39" spans="17:20" x14ac:dyDescent="0.25">
      <c r="Q39" s="178" t="e">
        <f ca="1"/>
        <v>#NAME?</v>
      </c>
      <c r="R39" s="7" t="e">
        <f ca="1"/>
        <v>#NAME?</v>
      </c>
      <c r="S39" s="7" t="e">
        <f ca="1"/>
        <v>#NAME?</v>
      </c>
      <c r="T39" s="40" t="e">
        <f ca="1"/>
        <v>#NAME?</v>
      </c>
    </row>
    <row r="40" spans="17:20" x14ac:dyDescent="0.25">
      <c r="Q40" s="178" t="e">
        <f ca="1"/>
        <v>#NAME?</v>
      </c>
      <c r="R40" s="7" t="e">
        <f ca="1"/>
        <v>#NAME?</v>
      </c>
      <c r="S40" s="7" t="e">
        <f ca="1"/>
        <v>#NAME?</v>
      </c>
      <c r="T40" s="40" t="e">
        <f ca="1"/>
        <v>#NAME?</v>
      </c>
    </row>
    <row r="41" spans="17:20" x14ac:dyDescent="0.25">
      <c r="Q41" s="178" t="e">
        <f ca="1"/>
        <v>#NAME?</v>
      </c>
      <c r="R41" s="7" t="e">
        <f ca="1"/>
        <v>#NAME?</v>
      </c>
      <c r="S41" s="7" t="e">
        <f ca="1"/>
        <v>#NAME?</v>
      </c>
      <c r="T41" s="40" t="e">
        <f ca="1"/>
        <v>#NAME?</v>
      </c>
    </row>
    <row r="42" spans="17:20" x14ac:dyDescent="0.25">
      <c r="Q42" s="178" t="e">
        <f ca="1"/>
        <v>#NAME?</v>
      </c>
      <c r="R42" s="7" t="e">
        <f ca="1"/>
        <v>#NAME?</v>
      </c>
      <c r="S42" s="7" t="e">
        <f ca="1"/>
        <v>#NAME?</v>
      </c>
      <c r="T42" s="40" t="e">
        <f ca="1"/>
        <v>#NAME?</v>
      </c>
    </row>
    <row r="43" spans="17:20" x14ac:dyDescent="0.25">
      <c r="Q43" s="178" t="e">
        <f ca="1"/>
        <v>#NAME?</v>
      </c>
      <c r="R43" s="7" t="e">
        <f ca="1"/>
        <v>#NAME?</v>
      </c>
      <c r="S43" s="7" t="e">
        <f ca="1"/>
        <v>#NAME?</v>
      </c>
      <c r="T43" s="40" t="e">
        <f ca="1"/>
        <v>#NAME?</v>
      </c>
    </row>
    <row r="44" spans="17:20" x14ac:dyDescent="0.25">
      <c r="Q44" s="178" t="e">
        <f ca="1"/>
        <v>#NAME?</v>
      </c>
      <c r="R44" s="7" t="e">
        <f ca="1"/>
        <v>#NAME?</v>
      </c>
      <c r="S44" s="7" t="e">
        <f ca="1"/>
        <v>#NAME?</v>
      </c>
      <c r="T44" s="40" t="e">
        <f ca="1"/>
        <v>#NAME?</v>
      </c>
    </row>
    <row r="45" spans="17:20" x14ac:dyDescent="0.25">
      <c r="Q45" s="178" t="e">
        <f ca="1"/>
        <v>#NAME?</v>
      </c>
      <c r="R45" s="7" t="e">
        <f ca="1"/>
        <v>#NAME?</v>
      </c>
      <c r="S45" s="7" t="e">
        <f ca="1"/>
        <v>#NAME?</v>
      </c>
      <c r="T45" s="40" t="e">
        <f ca="1"/>
        <v>#NAME?</v>
      </c>
    </row>
    <row r="46" spans="17:20" x14ac:dyDescent="0.25">
      <c r="Q46" s="178" t="e">
        <f ca="1"/>
        <v>#NAME?</v>
      </c>
      <c r="R46" s="7" t="e">
        <f ca="1"/>
        <v>#NAME?</v>
      </c>
      <c r="S46" s="7" t="e">
        <f ca="1"/>
        <v>#NAME?</v>
      </c>
      <c r="T46" s="40" t="e">
        <f ca="1"/>
        <v>#NAME?</v>
      </c>
    </row>
    <row r="47" spans="17:20" x14ac:dyDescent="0.25">
      <c r="Q47" s="178" t="e">
        <f ca="1"/>
        <v>#NAME?</v>
      </c>
      <c r="R47" s="7" t="e">
        <f ca="1"/>
        <v>#NAME?</v>
      </c>
      <c r="S47" s="7" t="e">
        <f ca="1"/>
        <v>#NAME?</v>
      </c>
      <c r="T47" s="40" t="e">
        <f ca="1"/>
        <v>#NAME?</v>
      </c>
    </row>
    <row r="48" spans="17:20" x14ac:dyDescent="0.25">
      <c r="Q48" s="178" t="e">
        <f ca="1"/>
        <v>#NAME?</v>
      </c>
      <c r="R48" s="7" t="e">
        <f ca="1"/>
        <v>#NAME?</v>
      </c>
      <c r="S48" s="7" t="e">
        <f ca="1"/>
        <v>#NAME?</v>
      </c>
      <c r="T48" s="40" t="e">
        <f ca="1"/>
        <v>#NAME?</v>
      </c>
    </row>
    <row r="49" spans="17:20" x14ac:dyDescent="0.25">
      <c r="Q49" s="178" t="e">
        <f ca="1"/>
        <v>#NAME?</v>
      </c>
      <c r="R49" s="7" t="e">
        <f ca="1"/>
        <v>#NAME?</v>
      </c>
      <c r="S49" s="7" t="e">
        <f ca="1"/>
        <v>#NAME?</v>
      </c>
      <c r="T49" s="40" t="e">
        <f ca="1"/>
        <v>#NAME?</v>
      </c>
    </row>
    <row r="50" spans="17:20" x14ac:dyDescent="0.25">
      <c r="Q50" s="178" t="e">
        <f ca="1"/>
        <v>#NAME?</v>
      </c>
      <c r="R50" s="7" t="e">
        <f ca="1"/>
        <v>#NAME?</v>
      </c>
      <c r="S50" s="7" t="e">
        <f ca="1"/>
        <v>#NAME?</v>
      </c>
      <c r="T50" s="40" t="e">
        <f ca="1"/>
        <v>#NAME?</v>
      </c>
    </row>
    <row r="51" spans="17:20" x14ac:dyDescent="0.25">
      <c r="Q51" s="178" t="e">
        <f ca="1"/>
        <v>#NAME?</v>
      </c>
      <c r="R51" s="7" t="e">
        <f ca="1"/>
        <v>#NAME?</v>
      </c>
      <c r="S51" s="7" t="e">
        <f ca="1"/>
        <v>#NAME?</v>
      </c>
      <c r="T51" s="40" t="e">
        <f ca="1"/>
        <v>#NAME?</v>
      </c>
    </row>
    <row r="52" spans="17:20" x14ac:dyDescent="0.25">
      <c r="Q52" s="178" t="e">
        <f ca="1"/>
        <v>#NAME?</v>
      </c>
      <c r="R52" s="7" t="e">
        <f ca="1"/>
        <v>#NAME?</v>
      </c>
      <c r="S52" s="7" t="e">
        <f ca="1"/>
        <v>#NAME?</v>
      </c>
      <c r="T52" s="40" t="e">
        <f ca="1"/>
        <v>#NAME?</v>
      </c>
    </row>
    <row r="53" spans="17:20" x14ac:dyDescent="0.25">
      <c r="Q53" s="178" t="e">
        <f ca="1"/>
        <v>#NAME?</v>
      </c>
      <c r="R53" s="7" t="e">
        <f ca="1"/>
        <v>#NAME?</v>
      </c>
      <c r="S53" s="7" t="e">
        <f ca="1"/>
        <v>#NAME?</v>
      </c>
      <c r="T53" s="40" t="e">
        <f ca="1"/>
        <v>#NAME?</v>
      </c>
    </row>
    <row r="54" spans="17:20" x14ac:dyDescent="0.25">
      <c r="Q54" s="178" t="e">
        <f ca="1"/>
        <v>#NAME?</v>
      </c>
      <c r="R54" s="7" t="e">
        <f ca="1"/>
        <v>#NAME?</v>
      </c>
      <c r="S54" s="7" t="e">
        <f ca="1"/>
        <v>#NAME?</v>
      </c>
      <c r="T54" s="40" t="e">
        <f ca="1"/>
        <v>#NAME?</v>
      </c>
    </row>
    <row r="55" spans="17:20" x14ac:dyDescent="0.25">
      <c r="Q55" s="178" t="e">
        <f ca="1"/>
        <v>#NAME?</v>
      </c>
      <c r="R55" s="7" t="e">
        <f ca="1"/>
        <v>#NAME?</v>
      </c>
      <c r="S55" s="7" t="e">
        <f ca="1"/>
        <v>#NAME?</v>
      </c>
      <c r="T55" s="40" t="e">
        <f ca="1"/>
        <v>#NAME?</v>
      </c>
    </row>
    <row r="56" spans="17:20" x14ac:dyDescent="0.25">
      <c r="Q56" s="178" t="e">
        <f ca="1"/>
        <v>#NAME?</v>
      </c>
      <c r="R56" s="7" t="e">
        <f ca="1"/>
        <v>#NAME?</v>
      </c>
      <c r="S56" s="7" t="e">
        <f ca="1"/>
        <v>#NAME?</v>
      </c>
      <c r="T56" s="40" t="e">
        <f ca="1"/>
        <v>#NAME?</v>
      </c>
    </row>
    <row r="57" spans="17:20" x14ac:dyDescent="0.25">
      <c r="Q57" s="178" t="e">
        <f ca="1"/>
        <v>#NAME?</v>
      </c>
      <c r="R57" s="7" t="e">
        <f ca="1"/>
        <v>#NAME?</v>
      </c>
      <c r="S57" s="7" t="e">
        <f ca="1"/>
        <v>#NAME?</v>
      </c>
      <c r="T57" s="40" t="e">
        <f ca="1"/>
        <v>#NAME?</v>
      </c>
    </row>
    <row r="58" spans="17:20" x14ac:dyDescent="0.25">
      <c r="Q58" s="178" t="e">
        <f ca="1"/>
        <v>#NAME?</v>
      </c>
      <c r="R58" s="7" t="e">
        <f ca="1"/>
        <v>#NAME?</v>
      </c>
      <c r="S58" s="7" t="e">
        <f ca="1"/>
        <v>#NAME?</v>
      </c>
      <c r="T58" s="40" t="e">
        <f ca="1"/>
        <v>#NAME?</v>
      </c>
    </row>
    <row r="59" spans="17:20" x14ac:dyDescent="0.25">
      <c r="Q59" s="178" t="e">
        <f ca="1"/>
        <v>#NAME?</v>
      </c>
      <c r="R59" s="7" t="e">
        <f ca="1"/>
        <v>#NAME?</v>
      </c>
      <c r="S59" s="7" t="e">
        <f ca="1"/>
        <v>#NAME?</v>
      </c>
      <c r="T59" s="40" t="e">
        <f ca="1"/>
        <v>#NAME?</v>
      </c>
    </row>
    <row r="60" spans="17:20" x14ac:dyDescent="0.25">
      <c r="Q60" s="178" t="e">
        <f ca="1"/>
        <v>#NAME?</v>
      </c>
      <c r="R60" s="7" t="e">
        <f ca="1"/>
        <v>#NAME?</v>
      </c>
      <c r="S60" s="7" t="e">
        <f ca="1"/>
        <v>#NAME?</v>
      </c>
      <c r="T60" s="40" t="e">
        <f ca="1"/>
        <v>#NAME?</v>
      </c>
    </row>
    <row r="61" spans="17:20" x14ac:dyDescent="0.25">
      <c r="Q61" s="178" t="e">
        <f ca="1"/>
        <v>#NAME?</v>
      </c>
      <c r="R61" s="7" t="e">
        <f ca="1"/>
        <v>#NAME?</v>
      </c>
      <c r="S61" s="7" t="e">
        <f ca="1"/>
        <v>#NAME?</v>
      </c>
      <c r="T61" s="40" t="e">
        <f ca="1"/>
        <v>#NAME?</v>
      </c>
    </row>
    <row r="62" spans="17:20" x14ac:dyDescent="0.25">
      <c r="Q62" s="178" t="e">
        <f ca="1"/>
        <v>#NAME?</v>
      </c>
      <c r="R62" s="7" t="e">
        <f ca="1"/>
        <v>#NAME?</v>
      </c>
      <c r="S62" s="7" t="e">
        <f ca="1"/>
        <v>#NAME?</v>
      </c>
      <c r="T62" s="40" t="e">
        <f ca="1"/>
        <v>#NAME?</v>
      </c>
    </row>
    <row r="63" spans="17:20" x14ac:dyDescent="0.25">
      <c r="Q63" s="178" t="e">
        <f ca="1"/>
        <v>#NAME?</v>
      </c>
      <c r="R63" s="7" t="e">
        <f ca="1"/>
        <v>#NAME?</v>
      </c>
      <c r="S63" s="7" t="e">
        <f ca="1"/>
        <v>#NAME?</v>
      </c>
      <c r="T63" s="40" t="e">
        <f ca="1"/>
        <v>#NAME?</v>
      </c>
    </row>
    <row r="64" spans="17:20" x14ac:dyDescent="0.25">
      <c r="Q64" s="178" t="e">
        <f ca="1"/>
        <v>#NAME?</v>
      </c>
      <c r="R64" s="7" t="e">
        <f ca="1"/>
        <v>#NAME?</v>
      </c>
      <c r="S64" s="7" t="e">
        <f ca="1"/>
        <v>#NAME?</v>
      </c>
      <c r="T64" s="40" t="e">
        <f ca="1"/>
        <v>#NAME?</v>
      </c>
    </row>
    <row r="65" spans="17:20" x14ac:dyDescent="0.25">
      <c r="Q65" s="178" t="e">
        <f ca="1"/>
        <v>#NAME?</v>
      </c>
      <c r="R65" s="7" t="e">
        <f ca="1"/>
        <v>#NAME?</v>
      </c>
      <c r="S65" s="7" t="e">
        <f ca="1"/>
        <v>#NAME?</v>
      </c>
      <c r="T65" s="40" t="e">
        <f ca="1"/>
        <v>#NAME?</v>
      </c>
    </row>
    <row r="66" spans="17:20" x14ac:dyDescent="0.25">
      <c r="Q66" s="178" t="e">
        <f ca="1"/>
        <v>#NAME?</v>
      </c>
      <c r="R66" s="7" t="e">
        <f ca="1"/>
        <v>#NAME?</v>
      </c>
      <c r="S66" s="7" t="e">
        <f ca="1"/>
        <v>#NAME?</v>
      </c>
      <c r="T66" s="40" t="e">
        <f ca="1"/>
        <v>#NAME?</v>
      </c>
    </row>
    <row r="67" spans="17:20" x14ac:dyDescent="0.25">
      <c r="Q67" s="178" t="e">
        <f ca="1"/>
        <v>#NAME?</v>
      </c>
      <c r="R67" s="7" t="e">
        <f ca="1"/>
        <v>#NAME?</v>
      </c>
      <c r="S67" s="7" t="e">
        <f ca="1"/>
        <v>#NAME?</v>
      </c>
      <c r="T67" s="40" t="e">
        <f ca="1"/>
        <v>#NAME?</v>
      </c>
    </row>
    <row r="68" spans="17:20" x14ac:dyDescent="0.25">
      <c r="Q68" s="178" t="e">
        <f ca="1"/>
        <v>#NAME?</v>
      </c>
      <c r="R68" s="7" t="e">
        <f ca="1"/>
        <v>#NAME?</v>
      </c>
      <c r="S68" s="7" t="e">
        <f ca="1"/>
        <v>#NAME?</v>
      </c>
      <c r="T68" s="40" t="e">
        <f ca="1"/>
        <v>#NAME?</v>
      </c>
    </row>
    <row r="69" spans="17:20" x14ac:dyDescent="0.25">
      <c r="Q69" s="178" t="e">
        <f ca="1"/>
        <v>#NAME?</v>
      </c>
      <c r="R69" s="7" t="e">
        <f ca="1"/>
        <v>#NAME?</v>
      </c>
      <c r="S69" s="7" t="e">
        <f ca="1"/>
        <v>#NAME?</v>
      </c>
      <c r="T69" s="40" t="e">
        <f ca="1"/>
        <v>#NAME?</v>
      </c>
    </row>
    <row r="70" spans="17:20" x14ac:dyDescent="0.25">
      <c r="Q70" s="178" t="e">
        <f ca="1"/>
        <v>#NAME?</v>
      </c>
      <c r="R70" s="7" t="e">
        <f ca="1"/>
        <v>#NAME?</v>
      </c>
      <c r="S70" s="7" t="e">
        <f ca="1"/>
        <v>#NAME?</v>
      </c>
      <c r="T70" s="40" t="e">
        <f ca="1"/>
        <v>#NAME?</v>
      </c>
    </row>
    <row r="71" spans="17:20" x14ac:dyDescent="0.25">
      <c r="Q71" s="178" t="e">
        <f ca="1"/>
        <v>#NAME?</v>
      </c>
      <c r="R71" s="7" t="e">
        <f ca="1"/>
        <v>#NAME?</v>
      </c>
      <c r="S71" s="7" t="e">
        <f ca="1"/>
        <v>#NAME?</v>
      </c>
      <c r="T71" s="40" t="e">
        <f ca="1"/>
        <v>#NAME?</v>
      </c>
    </row>
    <row r="72" spans="17:20" x14ac:dyDescent="0.25">
      <c r="Q72" s="178" t="e">
        <f ca="1"/>
        <v>#NAME?</v>
      </c>
      <c r="R72" s="7" t="e">
        <f ca="1"/>
        <v>#NAME?</v>
      </c>
      <c r="S72" s="7" t="e">
        <f ca="1"/>
        <v>#NAME?</v>
      </c>
      <c r="T72" s="40" t="e">
        <f ca="1"/>
        <v>#NAME?</v>
      </c>
    </row>
    <row r="73" spans="17:20" x14ac:dyDescent="0.25">
      <c r="Q73" s="178" t="e">
        <f ca="1"/>
        <v>#NAME?</v>
      </c>
      <c r="R73" s="7" t="e">
        <f ca="1"/>
        <v>#NAME?</v>
      </c>
      <c r="S73" s="7" t="e">
        <f ca="1"/>
        <v>#NAME?</v>
      </c>
      <c r="T73" s="40" t="e">
        <f ca="1"/>
        <v>#NAME?</v>
      </c>
    </row>
    <row r="74" spans="17:20" x14ac:dyDescent="0.25">
      <c r="Q74" s="178" t="e">
        <f ca="1"/>
        <v>#NAME?</v>
      </c>
      <c r="R74" s="7" t="e">
        <f ca="1"/>
        <v>#NAME?</v>
      </c>
      <c r="S74" s="7" t="e">
        <f ca="1"/>
        <v>#NAME?</v>
      </c>
      <c r="T74" s="40" t="e">
        <f ca="1"/>
        <v>#NAME?</v>
      </c>
    </row>
    <row r="75" spans="17:20" x14ac:dyDescent="0.25">
      <c r="Q75" s="178" t="e">
        <f ca="1"/>
        <v>#NAME?</v>
      </c>
      <c r="R75" s="7" t="e">
        <f ca="1"/>
        <v>#NAME?</v>
      </c>
      <c r="S75" s="7" t="e">
        <f ca="1"/>
        <v>#NAME?</v>
      </c>
      <c r="T75" s="40" t="e">
        <f ca="1"/>
        <v>#NAME?</v>
      </c>
    </row>
    <row r="76" spans="17:20" x14ac:dyDescent="0.25">
      <c r="Q76" s="178" t="e">
        <f ca="1"/>
        <v>#NAME?</v>
      </c>
      <c r="R76" s="7" t="e">
        <f ca="1"/>
        <v>#NAME?</v>
      </c>
      <c r="S76" s="7" t="e">
        <f ca="1"/>
        <v>#NAME?</v>
      </c>
      <c r="T76" s="40" t="e">
        <f ca="1"/>
        <v>#NAME?</v>
      </c>
    </row>
    <row r="77" spans="17:20" x14ac:dyDescent="0.25">
      <c r="Q77" s="178" t="e">
        <f ca="1"/>
        <v>#NAME?</v>
      </c>
      <c r="R77" s="7" t="e">
        <f ca="1"/>
        <v>#NAME?</v>
      </c>
      <c r="S77" s="7" t="e">
        <f ca="1"/>
        <v>#NAME?</v>
      </c>
      <c r="T77" s="40" t="e">
        <f ca="1"/>
        <v>#NAME?</v>
      </c>
    </row>
    <row r="78" spans="17:20" x14ac:dyDescent="0.25">
      <c r="Q78" s="178" t="e">
        <f ca="1"/>
        <v>#NAME?</v>
      </c>
      <c r="R78" s="7" t="e">
        <f ca="1"/>
        <v>#NAME?</v>
      </c>
      <c r="S78" s="7" t="e">
        <f ca="1"/>
        <v>#NAME?</v>
      </c>
      <c r="T78" s="40" t="e">
        <f ca="1"/>
        <v>#NAME?</v>
      </c>
    </row>
    <row r="79" spans="17:20" x14ac:dyDescent="0.25">
      <c r="Q79" s="178" t="e">
        <f ca="1"/>
        <v>#NAME?</v>
      </c>
      <c r="R79" s="7" t="e">
        <f ca="1"/>
        <v>#NAME?</v>
      </c>
      <c r="S79" s="7" t="e">
        <f ca="1"/>
        <v>#NAME?</v>
      </c>
      <c r="T79" s="40" t="e">
        <f ca="1"/>
        <v>#NAME?</v>
      </c>
    </row>
    <row r="80" spans="17:20" x14ac:dyDescent="0.25">
      <c r="Q80" s="178" t="e">
        <f ca="1"/>
        <v>#NAME?</v>
      </c>
      <c r="R80" s="7" t="e">
        <f ca="1"/>
        <v>#NAME?</v>
      </c>
      <c r="S80" s="7" t="e">
        <f ca="1"/>
        <v>#NAME?</v>
      </c>
      <c r="T80" s="40" t="e">
        <f ca="1"/>
        <v>#NAME?</v>
      </c>
    </row>
    <row r="81" spans="17:20" x14ac:dyDescent="0.25">
      <c r="Q81" s="178" t="e">
        <f ca="1"/>
        <v>#NAME?</v>
      </c>
      <c r="R81" s="7" t="e">
        <f ca="1"/>
        <v>#NAME?</v>
      </c>
      <c r="S81" s="7" t="e">
        <f ca="1"/>
        <v>#NAME?</v>
      </c>
      <c r="T81" s="40" t="e">
        <f ca="1"/>
        <v>#NAME?</v>
      </c>
    </row>
    <row r="82" spans="17:20" x14ac:dyDescent="0.25">
      <c r="Q82" s="178" t="e">
        <f ca="1"/>
        <v>#NAME?</v>
      </c>
      <c r="R82" s="7" t="e">
        <f ca="1"/>
        <v>#NAME?</v>
      </c>
      <c r="S82" s="7" t="e">
        <f ca="1"/>
        <v>#NAME?</v>
      </c>
      <c r="T82" s="40" t="e">
        <f ca="1"/>
        <v>#NAME?</v>
      </c>
    </row>
    <row r="83" spans="17:20" x14ac:dyDescent="0.25">
      <c r="Q83" s="178" t="e">
        <f ca="1"/>
        <v>#NAME?</v>
      </c>
      <c r="R83" s="7" t="e">
        <f ca="1"/>
        <v>#NAME?</v>
      </c>
      <c r="S83" s="7" t="e">
        <f ca="1"/>
        <v>#NAME?</v>
      </c>
      <c r="T83" s="40" t="e">
        <f ca="1"/>
        <v>#NAME?</v>
      </c>
    </row>
    <row r="84" spans="17:20" x14ac:dyDescent="0.25">
      <c r="Q84" s="178" t="e">
        <f ca="1"/>
        <v>#NAME?</v>
      </c>
      <c r="R84" s="7" t="e">
        <f ca="1"/>
        <v>#NAME?</v>
      </c>
      <c r="S84" s="7" t="e">
        <f ca="1"/>
        <v>#NAME?</v>
      </c>
      <c r="T84" s="40" t="e">
        <f ca="1"/>
        <v>#NAME?</v>
      </c>
    </row>
    <row r="85" spans="17:20" x14ac:dyDescent="0.25">
      <c r="Q85" s="178" t="e">
        <f ca="1"/>
        <v>#NAME?</v>
      </c>
      <c r="R85" s="7" t="e">
        <f ca="1"/>
        <v>#NAME?</v>
      </c>
      <c r="S85" s="7" t="e">
        <f ca="1"/>
        <v>#NAME?</v>
      </c>
      <c r="T85" s="40" t="e">
        <f ca="1"/>
        <v>#NAME?</v>
      </c>
    </row>
    <row r="86" spans="17:20" x14ac:dyDescent="0.25">
      <c r="Q86" s="178" t="e">
        <f ca="1"/>
        <v>#NAME?</v>
      </c>
      <c r="R86" s="7" t="e">
        <f ca="1"/>
        <v>#NAME?</v>
      </c>
      <c r="S86" s="7" t="e">
        <f ca="1"/>
        <v>#NAME?</v>
      </c>
      <c r="T86" s="40" t="e">
        <f ca="1"/>
        <v>#NAME?</v>
      </c>
    </row>
    <row r="87" spans="17:20" x14ac:dyDescent="0.25">
      <c r="Q87" s="178" t="e">
        <f ca="1"/>
        <v>#NAME?</v>
      </c>
      <c r="R87" s="7" t="e">
        <f ca="1"/>
        <v>#NAME?</v>
      </c>
      <c r="S87" s="7" t="e">
        <f ca="1"/>
        <v>#NAME?</v>
      </c>
      <c r="T87" s="40" t="e">
        <f ca="1"/>
        <v>#NAME?</v>
      </c>
    </row>
    <row r="88" spans="17:20" x14ac:dyDescent="0.25">
      <c r="Q88" s="178" t="e">
        <f ca="1"/>
        <v>#NAME?</v>
      </c>
      <c r="R88" s="7" t="e">
        <f ca="1"/>
        <v>#NAME?</v>
      </c>
      <c r="S88" s="7" t="e">
        <f ca="1"/>
        <v>#NAME?</v>
      </c>
      <c r="T88" s="40" t="e">
        <f ca="1"/>
        <v>#NAME?</v>
      </c>
    </row>
    <row r="89" spans="17:20" x14ac:dyDescent="0.25">
      <c r="Q89" s="178" t="e">
        <f ca="1"/>
        <v>#NAME?</v>
      </c>
      <c r="R89" s="7" t="e">
        <f ca="1"/>
        <v>#NAME?</v>
      </c>
      <c r="S89" s="7" t="e">
        <f ca="1"/>
        <v>#NAME?</v>
      </c>
      <c r="T89" s="40" t="e">
        <f ca="1"/>
        <v>#NAME?</v>
      </c>
    </row>
    <row r="90" spans="17:20" x14ac:dyDescent="0.25">
      <c r="Q90" s="178" t="e">
        <f ca="1"/>
        <v>#NAME?</v>
      </c>
      <c r="R90" s="7" t="e">
        <f ca="1"/>
        <v>#NAME?</v>
      </c>
      <c r="S90" s="7" t="e">
        <f ca="1"/>
        <v>#NAME?</v>
      </c>
      <c r="T90" s="40" t="e">
        <f ca="1"/>
        <v>#NAME?</v>
      </c>
    </row>
    <row r="91" spans="17:20" x14ac:dyDescent="0.25">
      <c r="Q91" s="178" t="e">
        <f ca="1"/>
        <v>#NAME?</v>
      </c>
      <c r="R91" s="7" t="e">
        <f ca="1"/>
        <v>#NAME?</v>
      </c>
      <c r="S91" s="7" t="e">
        <f ca="1"/>
        <v>#NAME?</v>
      </c>
      <c r="T91" s="40" t="e">
        <f ca="1"/>
        <v>#NAME?</v>
      </c>
    </row>
    <row r="92" spans="17:20" x14ac:dyDescent="0.25">
      <c r="Q92" s="178" t="e">
        <f ca="1"/>
        <v>#NAME?</v>
      </c>
      <c r="R92" s="7" t="e">
        <f ca="1"/>
        <v>#NAME?</v>
      </c>
      <c r="S92" s="7" t="e">
        <f ca="1"/>
        <v>#NAME?</v>
      </c>
      <c r="T92" s="40" t="e">
        <f ca="1"/>
        <v>#NAME?</v>
      </c>
    </row>
    <row r="93" spans="17:20" x14ac:dyDescent="0.25">
      <c r="Q93" s="178" t="e">
        <f ca="1"/>
        <v>#NAME?</v>
      </c>
      <c r="R93" s="7" t="e">
        <f ca="1"/>
        <v>#NAME?</v>
      </c>
      <c r="S93" s="7" t="e">
        <f ca="1"/>
        <v>#NAME?</v>
      </c>
      <c r="T93" s="40" t="e">
        <f ca="1"/>
        <v>#NAME?</v>
      </c>
    </row>
    <row r="94" spans="17:20" x14ac:dyDescent="0.25">
      <c r="Q94" s="178" t="e">
        <f ca="1"/>
        <v>#NAME?</v>
      </c>
      <c r="R94" s="7" t="e">
        <f ca="1"/>
        <v>#NAME?</v>
      </c>
      <c r="S94" s="7" t="e">
        <f ca="1"/>
        <v>#NAME?</v>
      </c>
      <c r="T94" s="40" t="e">
        <f ca="1"/>
        <v>#NAME?</v>
      </c>
    </row>
    <row r="95" spans="17:20" x14ac:dyDescent="0.25">
      <c r="Q95" s="178" t="e">
        <f ca="1"/>
        <v>#NAME?</v>
      </c>
      <c r="R95" s="7" t="e">
        <f ca="1"/>
        <v>#NAME?</v>
      </c>
      <c r="S95" s="7" t="e">
        <f ca="1"/>
        <v>#NAME?</v>
      </c>
      <c r="T95" s="40" t="e">
        <f ca="1"/>
        <v>#NAME?</v>
      </c>
    </row>
    <row r="96" spans="17:20" x14ac:dyDescent="0.25">
      <c r="Q96" s="178" t="e">
        <f ca="1"/>
        <v>#NAME?</v>
      </c>
      <c r="R96" s="7" t="e">
        <f ca="1"/>
        <v>#NAME?</v>
      </c>
      <c r="S96" s="7" t="e">
        <f ca="1"/>
        <v>#NAME?</v>
      </c>
      <c r="T96" s="40" t="e">
        <f ca="1"/>
        <v>#NAME?</v>
      </c>
    </row>
    <row r="97" spans="17:20" x14ac:dyDescent="0.25">
      <c r="Q97" s="178" t="e">
        <f ca="1"/>
        <v>#NAME?</v>
      </c>
      <c r="R97" s="7" t="e">
        <f ca="1"/>
        <v>#NAME?</v>
      </c>
      <c r="S97" s="7" t="e">
        <f ca="1"/>
        <v>#NAME?</v>
      </c>
      <c r="T97" s="40" t="e">
        <f ca="1"/>
        <v>#NAME?</v>
      </c>
    </row>
    <row r="98" spans="17:20" x14ac:dyDescent="0.25">
      <c r="Q98" s="221" t="e">
        <f ca="1"/>
        <v>#NAME?</v>
      </c>
      <c r="R98" s="222" t="e">
        <f ca="1"/>
        <v>#NAME?</v>
      </c>
      <c r="S98" s="222" t="e">
        <f ca="1"/>
        <v>#NAME?</v>
      </c>
      <c r="T98" s="223" t="e">
        <f ca="1"/>
        <v>#NAME?</v>
      </c>
    </row>
  </sheetData>
  <mergeCells count="2">
    <mergeCell ref="D3:O3"/>
    <mergeCell ref="AW3:BH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9"/>
  <dimension ref="A1:AH91"/>
  <sheetViews>
    <sheetView zoomScaleNormal="100" workbookViewId="0"/>
  </sheetViews>
  <sheetFormatPr defaultRowHeight="15" x14ac:dyDescent="0.25"/>
  <cols>
    <col min="3" max="3" width="9.140625" customWidth="1"/>
    <col min="4" max="15" width="4.42578125" customWidth="1"/>
    <col min="16" max="16" width="9.140625" customWidth="1"/>
    <col min="19" max="21" width="9.140625" customWidth="1"/>
    <col min="24" max="25" width="9.140625" customWidth="1"/>
    <col min="27" max="28" width="9.140625" customWidth="1"/>
    <col min="30" max="30" width="9.140625" customWidth="1"/>
    <col min="34" max="34" width="9.140625" customWidth="1"/>
  </cols>
  <sheetData>
    <row r="1" spans="1:34" x14ac:dyDescent="0.25">
      <c r="A1" s="1" t="s">
        <v>720</v>
      </c>
      <c r="Q1" t="s">
        <v>507</v>
      </c>
      <c r="V1" t="s">
        <v>24</v>
      </c>
      <c r="AB1" t="s">
        <v>508</v>
      </c>
    </row>
    <row r="3" spans="1:34" ht="15.75" thickBot="1" x14ac:dyDescent="0.3">
      <c r="A3" s="134" t="s">
        <v>269</v>
      </c>
      <c r="B3" s="135" t="s">
        <v>302</v>
      </c>
      <c r="C3" s="136" t="s">
        <v>306</v>
      </c>
      <c r="D3" s="574" t="s">
        <v>270</v>
      </c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6"/>
      <c r="Q3" s="242" t="e">
        <f t="array" aca="1" ref="Q3:T91" ca="1">Anova3Cols(A4:O11)</f>
        <v>#NAME?</v>
      </c>
      <c r="R3" s="243" t="e">
        <f ca="1"/>
        <v>#NAME?</v>
      </c>
      <c r="S3" s="243" t="e">
        <f ca="1"/>
        <v>#NAME?</v>
      </c>
      <c r="T3" s="244" t="e">
        <f ca="1"/>
        <v>#NAME?</v>
      </c>
      <c r="Y3" s="12" t="s">
        <v>19</v>
      </c>
      <c r="Z3" s="12" t="s">
        <v>7</v>
      </c>
      <c r="AB3" t="s">
        <v>101</v>
      </c>
      <c r="AF3" s="236" t="s">
        <v>31</v>
      </c>
      <c r="AG3" s="236">
        <v>0.05</v>
      </c>
    </row>
    <row r="4" spans="1:34" ht="15.75" thickTop="1" x14ac:dyDescent="0.25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78" t="e">
        <f ca="1"/>
        <v>#NAME?</v>
      </c>
      <c r="R4" s="7" t="e">
        <f ca="1"/>
        <v>#NAME?</v>
      </c>
      <c r="S4" s="7" t="e">
        <f ca="1"/>
        <v>#NAME?</v>
      </c>
      <c r="T4" s="40" t="e">
        <f ca="1"/>
        <v>#NAME?</v>
      </c>
      <c r="V4" s="242" t="e">
        <f t="array" aca="1" ref="V4:V5" ca="1">SortUnique(Q3:Q91)</f>
        <v>#NAME?</v>
      </c>
      <c r="W4" s="243"/>
      <c r="X4" s="244"/>
      <c r="Y4" s="242">
        <f ca="1">SUMIF($V$22:$V$29,V4,$Y$22:$Y$29)</f>
        <v>712</v>
      </c>
      <c r="Z4" s="244" t="e">
        <f ca="1">IF(Y4=0,"",AVERAGEIF($V$22:$V$29,V4,$Z$22:$Z$29))</f>
        <v>#NAME?</v>
      </c>
      <c r="AB4" s="217"/>
      <c r="AC4" s="217" t="s">
        <v>88</v>
      </c>
      <c r="AD4" s="217" t="s">
        <v>51</v>
      </c>
      <c r="AE4" s="217" t="s">
        <v>92</v>
      </c>
      <c r="AF4" s="217" t="s">
        <v>82</v>
      </c>
      <c r="AG4" s="217" t="s">
        <v>56</v>
      </c>
      <c r="AH4" s="251" t="s">
        <v>865</v>
      </c>
    </row>
    <row r="5" spans="1:34" x14ac:dyDescent="0.25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/>
      <c r="N5" s="7"/>
      <c r="O5" s="8"/>
      <c r="Q5" s="178" t="e">
        <f ca="1"/>
        <v>#NAME?</v>
      </c>
      <c r="R5" s="7" t="e">
        <f ca="1"/>
        <v>#NAME?</v>
      </c>
      <c r="S5" s="7" t="e">
        <f ca="1"/>
        <v>#NAME?</v>
      </c>
      <c r="T5" s="40" t="e">
        <f ca="1"/>
        <v>#NAME?</v>
      </c>
      <c r="V5" s="178" t="e">
        <f ca="1"/>
        <v>#NAME?</v>
      </c>
      <c r="W5" s="7"/>
      <c r="X5" s="40"/>
      <c r="Y5" s="178">
        <f ca="1">SUMIF($V$22:$V$29,V5,$Y$22:$Y$29)</f>
        <v>712</v>
      </c>
      <c r="Z5" s="40" t="e">
        <f ca="1">IF(Y5=0,"",AVERAGEIF($V$22:$V$29,V5,$Z$22:$Z$29))</f>
        <v>#NAME?</v>
      </c>
      <c r="AB5" t="s">
        <v>86</v>
      </c>
      <c r="AC5" t="e">
        <f t="array" aca="1" ref="AC5:AC12" ca="1">SSAnova3(Q3:T91)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204" t="e">
        <f ca="1">AC5/(AC5+AC12)</f>
        <v>#NAME?</v>
      </c>
    </row>
    <row r="6" spans="1:34" x14ac:dyDescent="0.25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/>
      <c r="Q6" s="178" t="e">
        <f ca="1"/>
        <v>#NAME?</v>
      </c>
      <c r="R6" s="7" t="e">
        <f ca="1"/>
        <v>#NAME?</v>
      </c>
      <c r="S6" s="7" t="e">
        <f ca="1"/>
        <v>#NAME?</v>
      </c>
      <c r="T6" s="40" t="e">
        <f ca="1"/>
        <v>#NAME?</v>
      </c>
      <c r="V6" s="178"/>
      <c r="W6" s="7" t="e">
        <f t="array" aca="1" ref="W6:W7" ca="1">SortUnique(R3:R91)</f>
        <v>#NAME?</v>
      </c>
      <c r="X6" s="40"/>
      <c r="Y6" s="178">
        <f ca="1">SUMIF($W$22:$W$29,W6,$Y$22:$Y$29)</f>
        <v>712</v>
      </c>
      <c r="Z6" s="40" t="e">
        <f ca="1">IF(Y6=0,"",AVERAGEIF($W$22:$W$29,W6,$Z$22:$Z$29))</f>
        <v>#NAME?</v>
      </c>
      <c r="AB6" t="s">
        <v>78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t="e">
        <f ca="1">AC6/(AC6+AC12)</f>
        <v>#NAME?</v>
      </c>
    </row>
    <row r="7" spans="1:34" x14ac:dyDescent="0.25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78" t="e">
        <f ca="1"/>
        <v>#NAME?</v>
      </c>
      <c r="R7" s="7" t="e">
        <f ca="1"/>
        <v>#NAME?</v>
      </c>
      <c r="S7" s="7" t="e">
        <f ca="1"/>
        <v>#NAME?</v>
      </c>
      <c r="T7" s="40" t="e">
        <f ca="1"/>
        <v>#NAME?</v>
      </c>
      <c r="V7" s="178"/>
      <c r="W7" s="7" t="e">
        <f ca="1"/>
        <v>#NAME?</v>
      </c>
      <c r="X7" s="40"/>
      <c r="Y7" s="178">
        <f ca="1">SUMIF($W$22:$W$29,W7,$Y$22:$Y$29)</f>
        <v>712</v>
      </c>
      <c r="Z7" s="40" t="e">
        <f ca="1">IF(Y7=0,"",AVERAGEIF($W$22:$W$29,W7,$Z$22:$Z$29))</f>
        <v>#NAME?</v>
      </c>
      <c r="AB7" t="s">
        <v>79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40" t="e">
        <f ca="1">AC7/(AC7+AC12)</f>
        <v>#NAME?</v>
      </c>
    </row>
    <row r="8" spans="1:34" x14ac:dyDescent="0.25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78" t="e">
        <f ca="1"/>
        <v>#NAME?</v>
      </c>
      <c r="R8" s="7" t="e">
        <f ca="1"/>
        <v>#NAME?</v>
      </c>
      <c r="S8" s="7" t="e">
        <f ca="1"/>
        <v>#NAME?</v>
      </c>
      <c r="T8" s="40" t="e">
        <f ca="1"/>
        <v>#NAME?</v>
      </c>
      <c r="V8" s="178"/>
      <c r="W8" s="7"/>
      <c r="X8" s="40" t="e">
        <f t="array" aca="1" ref="X8:X9" ca="1">SortUnique(S3:S91)</f>
        <v>#NAME?</v>
      </c>
      <c r="Y8" s="178">
        <f ca="1">SUMIF($X$22:$X$29,X8,$Y$22:$Y$29)</f>
        <v>712</v>
      </c>
      <c r="Z8" s="40" t="e">
        <f ca="1">IF(Y8=0,"",AVERAGEIF($X$22:$X$29,X8,$Z$22:$Z$29))</f>
        <v>#NAME?</v>
      </c>
      <c r="AB8" t="s">
        <v>271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t="e">
        <f ca="1">AC8/(AC8+AC12)</f>
        <v>#NAME?</v>
      </c>
    </row>
    <row r="9" spans="1:34" x14ac:dyDescent="0.25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/>
      <c r="O9" s="8"/>
      <c r="Q9" s="178" t="e">
        <f ca="1"/>
        <v>#NAME?</v>
      </c>
      <c r="R9" s="7" t="e">
        <f ca="1"/>
        <v>#NAME?</v>
      </c>
      <c r="S9" s="7" t="e">
        <f ca="1"/>
        <v>#NAME?</v>
      </c>
      <c r="T9" s="40" t="e">
        <f ca="1"/>
        <v>#NAME?</v>
      </c>
      <c r="V9" s="221"/>
      <c r="W9" s="222"/>
      <c r="X9" s="223" t="e">
        <f ca="1"/>
        <v>#NAME?</v>
      </c>
      <c r="Y9" s="221">
        <f ca="1">SUMIF($X$22:$X$29,X9,$Y$22:$Y$29)</f>
        <v>712</v>
      </c>
      <c r="Z9" s="223" t="e">
        <f ca="1">IF(Y9=0,"",AVERAGEIF($X$22:$X$29,X9,$Z$22:$Z$29))</f>
        <v>#NAME?</v>
      </c>
      <c r="AB9" t="s">
        <v>273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t="e">
        <f ca="1">AC9/(AC9+AC12)</f>
        <v>#NAME?</v>
      </c>
    </row>
    <row r="10" spans="1:34" x14ac:dyDescent="0.25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78" t="e">
        <f ca="1"/>
        <v>#NAME?</v>
      </c>
      <c r="R10" s="7" t="e">
        <f ca="1"/>
        <v>#NAME?</v>
      </c>
      <c r="S10" s="7" t="e">
        <f ca="1"/>
        <v>#NAME?</v>
      </c>
      <c r="T10" s="40" t="e">
        <f ca="1"/>
        <v>#NAME?</v>
      </c>
      <c r="V10" s="242" t="e">
        <f ca="1">$V$4</f>
        <v>#NAME?</v>
      </c>
      <c r="W10" s="243" t="e">
        <f ca="1">$W6</f>
        <v>#NAME?</v>
      </c>
      <c r="X10" s="244"/>
      <c r="Y10" s="242">
        <f ca="1">SUMIFS($Y$22:$Y$29,$V$22:$V$29,V10,$W$22:$W$29,W10)</f>
        <v>712</v>
      </c>
      <c r="Z10" s="244" t="e">
        <f ca="1">IF(Y10=0,"",AVERAGEIFS($Z$22:$Z$29,$V$22:$V$29,V10,$W$22:$W$29,W10))</f>
        <v>#NAME?</v>
      </c>
      <c r="AB10" t="s">
        <v>275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t="e">
        <f ca="1">AC10/(AC10+AC12)</f>
        <v>#NAME?</v>
      </c>
    </row>
    <row r="11" spans="1:34" x14ac:dyDescent="0.25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/>
      <c r="Q11" s="178" t="e">
        <f ca="1"/>
        <v>#NAME?</v>
      </c>
      <c r="R11" s="7" t="e">
        <f ca="1"/>
        <v>#NAME?</v>
      </c>
      <c r="S11" s="7" t="e">
        <f ca="1"/>
        <v>#NAME?</v>
      </c>
      <c r="T11" s="40" t="e">
        <f ca="1"/>
        <v>#NAME?</v>
      </c>
      <c r="V11" s="178" t="e">
        <f ca="1">$V$4</f>
        <v>#NAME?</v>
      </c>
      <c r="W11" s="7" t="e">
        <f ca="1">$W7</f>
        <v>#NAME?</v>
      </c>
      <c r="X11" s="40"/>
      <c r="Y11" s="178">
        <f ca="1">SUMIFS($Y$22:$Y$29,$V$22:$V$29,V11,$W$22:$W$29,W11)</f>
        <v>712</v>
      </c>
      <c r="Z11" s="40" t="e">
        <f ca="1">IF(Y11=0,"",AVERAGEIFS($Z$22:$Z$29,$V$22:$V$29,V11,$W$22:$W$29,W11))</f>
        <v>#NAME?</v>
      </c>
      <c r="AB11" t="s">
        <v>277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t="e">
        <f ca="1">AC11/(AC11+AC12)</f>
        <v>#NAME?</v>
      </c>
    </row>
    <row r="12" spans="1:34" x14ac:dyDescent="0.25">
      <c r="Q12" s="178" t="e">
        <f ca="1"/>
        <v>#NAME?</v>
      </c>
      <c r="R12" s="7" t="e">
        <f ca="1"/>
        <v>#NAME?</v>
      </c>
      <c r="S12" s="7" t="e">
        <f ca="1"/>
        <v>#NAME?</v>
      </c>
      <c r="T12" s="40" t="e">
        <f ca="1"/>
        <v>#NAME?</v>
      </c>
      <c r="V12" s="178" t="e">
        <f ca="1">$V$5</f>
        <v>#NAME?</v>
      </c>
      <c r="W12" s="7" t="e">
        <f ca="1">$W6</f>
        <v>#NAME?</v>
      </c>
      <c r="X12" s="40"/>
      <c r="Y12" s="178">
        <f ca="1">SUMIFS($Y$22:$Y$29,$V$22:$V$29,V12,$W$22:$W$29,W12)</f>
        <v>712</v>
      </c>
      <c r="Z12" s="40" t="e">
        <f ca="1">IF(Y12=0,"",AVERAGEIFS($Z$22:$Z$29,$V$22:$V$29,V12,$W$22:$W$29,W12))</f>
        <v>#NAME?</v>
      </c>
      <c r="AB12" t="s">
        <v>249</v>
      </c>
      <c r="AC12" t="e">
        <f ca="1"/>
        <v>#NAME?</v>
      </c>
      <c r="AD12">
        <f ca="1">Y30-(AD5+1)*(AD6+1)*(AD7+1)</f>
        <v>712</v>
      </c>
      <c r="AE12" t="e">
        <f t="shared" ca="1" si="0"/>
        <v>#NAME?</v>
      </c>
    </row>
    <row r="13" spans="1:34" x14ac:dyDescent="0.25">
      <c r="Q13" s="178" t="e">
        <f ca="1"/>
        <v>#NAME?</v>
      </c>
      <c r="R13" s="7" t="e">
        <f ca="1"/>
        <v>#NAME?</v>
      </c>
      <c r="S13" s="7" t="e">
        <f ca="1"/>
        <v>#NAME?</v>
      </c>
      <c r="T13" s="40" t="e">
        <f ca="1"/>
        <v>#NAME?</v>
      </c>
      <c r="V13" s="221" t="e">
        <f ca="1">$V$5</f>
        <v>#NAME?</v>
      </c>
      <c r="W13" s="222" t="e">
        <f ca="1">$W7</f>
        <v>#NAME?</v>
      </c>
      <c r="X13" s="223"/>
      <c r="Y13" s="221">
        <f ca="1">SUMIFS($Y$22:$Y$29,$V$22:$V$29,V13,$W$22:$W$29,W13)</f>
        <v>712</v>
      </c>
      <c r="Z13" s="223" t="e">
        <f ca="1">IF(Y13=0,"",AVERAGEIFS($Z$22:$Z$29,$V$22:$V$29,V13,$W$22:$W$29,W13))</f>
        <v>#NAME?</v>
      </c>
      <c r="AB13" s="224" t="s">
        <v>1</v>
      </c>
      <c r="AC13" s="224" t="e">
        <f ca="1">Z31</f>
        <v>#NAME?</v>
      </c>
      <c r="AD13" s="224">
        <f ca="1">Y30-1</f>
        <v>711</v>
      </c>
      <c r="AE13" s="224" t="e">
        <f t="shared" ca="1" si="0"/>
        <v>#NAME?</v>
      </c>
      <c r="AF13" s="224"/>
      <c r="AG13" s="224"/>
      <c r="AH13" s="224"/>
    </row>
    <row r="14" spans="1:34" x14ac:dyDescent="0.25">
      <c r="Q14" s="178" t="e">
        <f ca="1"/>
        <v>#NAME?</v>
      </c>
      <c r="R14" s="7" t="e">
        <f ca="1"/>
        <v>#NAME?</v>
      </c>
      <c r="S14" s="7" t="e">
        <f ca="1"/>
        <v>#NAME?</v>
      </c>
      <c r="T14" s="40" t="e">
        <f ca="1"/>
        <v>#NAME?</v>
      </c>
      <c r="V14" s="242" t="e">
        <f ca="1">$V$4</f>
        <v>#NAME?</v>
      </c>
      <c r="W14" s="243"/>
      <c r="X14" s="244" t="e">
        <f ca="1">$X8</f>
        <v>#NAME?</v>
      </c>
      <c r="Y14" s="242">
        <f ca="1">SUMIFS($Y$22:$Y$29,$V$22:$V$29,V14,$X$22:$X$29,X14)</f>
        <v>712</v>
      </c>
      <c r="Z14" s="244" t="e">
        <f ca="1">IF(Y14=0,"",AVERAGEIFS($Z$22:$Z$29,$V$22:$V$29,V14,$X$22:$X$29,X14))</f>
        <v>#NAME?</v>
      </c>
    </row>
    <row r="15" spans="1:34" x14ac:dyDescent="0.25">
      <c r="Q15" s="178" t="e">
        <f ca="1"/>
        <v>#NAME?</v>
      </c>
      <c r="R15" s="7" t="e">
        <f ca="1"/>
        <v>#NAME?</v>
      </c>
      <c r="S15" s="7" t="e">
        <f ca="1"/>
        <v>#NAME?</v>
      </c>
      <c r="T15" s="40" t="e">
        <f ca="1"/>
        <v>#NAME?</v>
      </c>
      <c r="V15" s="178" t="e">
        <f ca="1">$V$4</f>
        <v>#NAME?</v>
      </c>
      <c r="W15" s="7"/>
      <c r="X15" s="40" t="e">
        <f ca="1">$X9</f>
        <v>#NAME?</v>
      </c>
      <c r="Y15" s="178">
        <f ca="1">SUMIFS($Y$22:$Y$29,$V$22:$V$29,V15,$X$22:$X$29,X15)</f>
        <v>712</v>
      </c>
      <c r="Z15" s="40" t="e">
        <f ca="1">IF(Y15=0,"",AVERAGEIFS($Z$22:$Z$29,$V$22:$V$29,V15,$X$22:$X$29,X15))</f>
        <v>#NAME?</v>
      </c>
    </row>
    <row r="16" spans="1:34" x14ac:dyDescent="0.25">
      <c r="Q16" s="178" t="e">
        <f ca="1"/>
        <v>#NAME?</v>
      </c>
      <c r="R16" s="7" t="e">
        <f ca="1"/>
        <v>#NAME?</v>
      </c>
      <c r="S16" s="7" t="e">
        <f ca="1"/>
        <v>#NAME?</v>
      </c>
      <c r="T16" s="40" t="e">
        <f ca="1"/>
        <v>#NAME?</v>
      </c>
      <c r="V16" s="178" t="e">
        <f ca="1">$V$5</f>
        <v>#NAME?</v>
      </c>
      <c r="W16" s="7"/>
      <c r="X16" s="40" t="e">
        <f ca="1">$X8</f>
        <v>#NAME?</v>
      </c>
      <c r="Y16" s="178">
        <f ca="1">SUMIFS($Y$22:$Y$29,$V$22:$V$29,V16,$X$22:$X$29,X16)</f>
        <v>712</v>
      </c>
      <c r="Z16" s="40" t="e">
        <f ca="1">IF(Y16=0,"",AVERAGEIFS($Z$22:$Z$29,$V$22:$V$29,V16,$X$22:$X$29,X16))</f>
        <v>#NAME?</v>
      </c>
    </row>
    <row r="17" spans="17:26" x14ac:dyDescent="0.25">
      <c r="Q17" s="178" t="e">
        <f ca="1"/>
        <v>#NAME?</v>
      </c>
      <c r="R17" s="7" t="e">
        <f ca="1"/>
        <v>#NAME?</v>
      </c>
      <c r="S17" s="7" t="e">
        <f ca="1"/>
        <v>#NAME?</v>
      </c>
      <c r="T17" s="40" t="e">
        <f ca="1"/>
        <v>#NAME?</v>
      </c>
      <c r="V17" s="221" t="e">
        <f ca="1">$V$5</f>
        <v>#NAME?</v>
      </c>
      <c r="W17" s="222"/>
      <c r="X17" s="223" t="e">
        <f ca="1">$X9</f>
        <v>#NAME?</v>
      </c>
      <c r="Y17" s="221">
        <f ca="1">SUMIFS($Y$22:$Y$29,$V$22:$V$29,V17,$X$22:$X$29,X17)</f>
        <v>712</v>
      </c>
      <c r="Z17" s="223" t="e">
        <f ca="1">IF(Y17=0,"",AVERAGEIFS($Z$22:$Z$29,$V$22:$V$29,V17,$X$22:$X$29,X17))</f>
        <v>#NAME?</v>
      </c>
    </row>
    <row r="18" spans="17:26" x14ac:dyDescent="0.25">
      <c r="Q18" s="178" t="e">
        <f ca="1"/>
        <v>#NAME?</v>
      </c>
      <c r="R18" s="7" t="e">
        <f ca="1"/>
        <v>#NAME?</v>
      </c>
      <c r="S18" s="7" t="e">
        <f ca="1"/>
        <v>#NAME?</v>
      </c>
      <c r="T18" s="40" t="e">
        <f ca="1"/>
        <v>#NAME?</v>
      </c>
      <c r="V18" s="242"/>
      <c r="W18" s="243" t="e">
        <f ca="1">$W$6</f>
        <v>#NAME?</v>
      </c>
      <c r="X18" s="244" t="e">
        <f ca="1">$X8</f>
        <v>#NAME?</v>
      </c>
      <c r="Y18" s="242">
        <f ca="1">SUMIFS($Y$22:$Y$29,$W$22:$W$29,W18,$X$22:$X$29,X18)</f>
        <v>712</v>
      </c>
      <c r="Z18" s="244" t="e">
        <f ca="1">IF(Y18=0,"",AVERAGEIFS($Z$22:$Z$29,$W$22:$W$29,W18,$X$22:$X$29,X18))</f>
        <v>#NAME?</v>
      </c>
    </row>
    <row r="19" spans="17:26" x14ac:dyDescent="0.25">
      <c r="Q19" s="178" t="e">
        <f ca="1"/>
        <v>#NAME?</v>
      </c>
      <c r="R19" s="7" t="e">
        <f ca="1"/>
        <v>#NAME?</v>
      </c>
      <c r="S19" s="7" t="e">
        <f ca="1"/>
        <v>#NAME?</v>
      </c>
      <c r="T19" s="40" t="e">
        <f ca="1"/>
        <v>#NAME?</v>
      </c>
      <c r="V19" s="178"/>
      <c r="W19" s="7" t="e">
        <f ca="1">$W$6</f>
        <v>#NAME?</v>
      </c>
      <c r="X19" s="40" t="e">
        <f ca="1">$X9</f>
        <v>#NAME?</v>
      </c>
      <c r="Y19" s="178">
        <f ca="1">SUMIFS($Y$22:$Y$29,$W$22:$W$29,W19,$X$22:$X$29,X19)</f>
        <v>712</v>
      </c>
      <c r="Z19" s="40" t="e">
        <f ca="1">IF(Y19=0,"",AVERAGEIFS($Z$22:$Z$29,$W$22:$W$29,W19,$X$22:$X$29,X19))</f>
        <v>#NAME?</v>
      </c>
    </row>
    <row r="20" spans="17:26" x14ac:dyDescent="0.25">
      <c r="Q20" s="178" t="e">
        <f ca="1"/>
        <v>#NAME?</v>
      </c>
      <c r="R20" s="7" t="e">
        <f ca="1"/>
        <v>#NAME?</v>
      </c>
      <c r="S20" s="7" t="e">
        <f ca="1"/>
        <v>#NAME?</v>
      </c>
      <c r="T20" s="40" t="e">
        <f ca="1"/>
        <v>#NAME?</v>
      </c>
      <c r="V20" s="178"/>
      <c r="W20" s="7" t="e">
        <f ca="1">$W$7</f>
        <v>#NAME?</v>
      </c>
      <c r="X20" s="40" t="e">
        <f ca="1">$X8</f>
        <v>#NAME?</v>
      </c>
      <c r="Y20" s="178">
        <f ca="1">SUMIFS($Y$22:$Y$29,$W$22:$W$29,W20,$X$22:$X$29,X20)</f>
        <v>712</v>
      </c>
      <c r="Z20" s="40" t="e">
        <f ca="1">IF(Y20=0,"",AVERAGEIFS($Z$22:$Z$29,$W$22:$W$29,W20,$X$22:$X$29,X20))</f>
        <v>#NAME?</v>
      </c>
    </row>
    <row r="21" spans="17:26" x14ac:dyDescent="0.25">
      <c r="Q21" s="178" t="e">
        <f ca="1"/>
        <v>#NAME?</v>
      </c>
      <c r="R21" s="7" t="e">
        <f ca="1"/>
        <v>#NAME?</v>
      </c>
      <c r="S21" s="7" t="e">
        <f ca="1"/>
        <v>#NAME?</v>
      </c>
      <c r="T21" s="40" t="e">
        <f ca="1"/>
        <v>#NAME?</v>
      </c>
      <c r="V21" s="221"/>
      <c r="W21" s="222" t="e">
        <f ca="1">$W$7</f>
        <v>#NAME?</v>
      </c>
      <c r="X21" s="223" t="e">
        <f ca="1">$X9</f>
        <v>#NAME?</v>
      </c>
      <c r="Y21" s="221">
        <f ca="1">SUMIFS($Y$22:$Y$29,$W$22:$W$29,W21,$X$22:$X$29,X21)</f>
        <v>712</v>
      </c>
      <c r="Z21" s="223" t="e">
        <f ca="1">IF(Y21=0,"",AVERAGEIFS($Z$22:$Z$29,$W$22:$W$29,W21,$X$22:$X$29,X21))</f>
        <v>#NAME?</v>
      </c>
    </row>
    <row r="22" spans="17:26" x14ac:dyDescent="0.25">
      <c r="Q22" s="178" t="e">
        <f ca="1"/>
        <v>#NAME?</v>
      </c>
      <c r="R22" s="7" t="e">
        <f ca="1"/>
        <v>#NAME?</v>
      </c>
      <c r="S22" s="7" t="e">
        <f ca="1"/>
        <v>#NAME?</v>
      </c>
      <c r="T22" s="40" t="e">
        <f ca="1"/>
        <v>#NAME?</v>
      </c>
      <c r="V22" s="242" t="e">
        <f ca="1">$V$4</f>
        <v>#NAME?</v>
      </c>
      <c r="W22" s="243" t="e">
        <f t="shared" ref="W22:X29" ca="1" si="1">W18</f>
        <v>#NAME?</v>
      </c>
      <c r="X22" s="244" t="e">
        <f t="shared" ca="1" si="1"/>
        <v>#NAME?</v>
      </c>
      <c r="Y22" s="242">
        <f ca="1">COUNTIFS($Q$3:$Q$91,$V22,$R$3:$R$91,$W22,$S$3:$S$91,$X22)</f>
        <v>89</v>
      </c>
      <c r="Z22" s="244" t="e">
        <f ca="1">IF(Y22=0,"",AVERAGEIFS($T$3:$T$91,$Q$3:$Q$91,$V22,$R$3:$R$91,$W22,$S$3:$S$91,$X22))</f>
        <v>#NAME?</v>
      </c>
    </row>
    <row r="23" spans="17:26" x14ac:dyDescent="0.25">
      <c r="Q23" s="178" t="e">
        <f ca="1"/>
        <v>#NAME?</v>
      </c>
      <c r="R23" s="7" t="e">
        <f ca="1"/>
        <v>#NAME?</v>
      </c>
      <c r="S23" s="7" t="e">
        <f ca="1"/>
        <v>#NAME?</v>
      </c>
      <c r="T23" s="40" t="e">
        <f ca="1"/>
        <v>#NAME?</v>
      </c>
      <c r="V23" s="178" t="e">
        <f ca="1">$V$4</f>
        <v>#NAME?</v>
      </c>
      <c r="W23" s="7" t="e">
        <f t="shared" ca="1" si="1"/>
        <v>#NAME?</v>
      </c>
      <c r="X23" s="40" t="e">
        <f t="shared" ca="1" si="1"/>
        <v>#NAME?</v>
      </c>
      <c r="Y23" s="178">
        <f t="shared" ref="Y23:Y29" ca="1" si="2">COUNTIFS($Q$3:$Q$91,$V23,$R$3:$R$91,$W23,$S$3:$S$91,$X23)</f>
        <v>89</v>
      </c>
      <c r="Z23" s="40" t="e">
        <f t="shared" ref="Z23:Z29" ca="1" si="3">IF(Y23=0,"",AVERAGEIFS($T$3:$T$91,$Q$3:$Q$91,$V23,$R$3:$R$91,$W23,$S$3:$S$91,$X23))</f>
        <v>#NAME?</v>
      </c>
    </row>
    <row r="24" spans="17:26" x14ac:dyDescent="0.25">
      <c r="Q24" s="178" t="e">
        <f ca="1"/>
        <v>#NAME?</v>
      </c>
      <c r="R24" s="7" t="e">
        <f ca="1"/>
        <v>#NAME?</v>
      </c>
      <c r="S24" s="7" t="e">
        <f ca="1"/>
        <v>#NAME?</v>
      </c>
      <c r="T24" s="40" t="e">
        <f ca="1"/>
        <v>#NAME?</v>
      </c>
      <c r="V24" s="178" t="e">
        <f ca="1">$V$4</f>
        <v>#NAME?</v>
      </c>
      <c r="W24" s="7" t="e">
        <f t="shared" ca="1" si="1"/>
        <v>#NAME?</v>
      </c>
      <c r="X24" s="40" t="e">
        <f t="shared" ca="1" si="1"/>
        <v>#NAME?</v>
      </c>
      <c r="Y24" s="178">
        <f t="shared" ca="1" si="2"/>
        <v>89</v>
      </c>
      <c r="Z24" s="40" t="e">
        <f t="shared" ca="1" si="3"/>
        <v>#NAME?</v>
      </c>
    </row>
    <row r="25" spans="17:26" x14ac:dyDescent="0.25">
      <c r="Q25" s="178" t="e">
        <f ca="1"/>
        <v>#NAME?</v>
      </c>
      <c r="R25" s="7" t="e">
        <f ca="1"/>
        <v>#NAME?</v>
      </c>
      <c r="S25" s="7" t="e">
        <f ca="1"/>
        <v>#NAME?</v>
      </c>
      <c r="T25" s="40" t="e">
        <f ca="1"/>
        <v>#NAME?</v>
      </c>
      <c r="V25" s="178" t="e">
        <f ca="1">$V$4</f>
        <v>#NAME?</v>
      </c>
      <c r="W25" s="7" t="e">
        <f t="shared" ca="1" si="1"/>
        <v>#NAME?</v>
      </c>
      <c r="X25" s="40" t="e">
        <f t="shared" ca="1" si="1"/>
        <v>#NAME?</v>
      </c>
      <c r="Y25" s="178">
        <f t="shared" ca="1" si="2"/>
        <v>89</v>
      </c>
      <c r="Z25" s="40" t="e">
        <f t="shared" ca="1" si="3"/>
        <v>#NAME?</v>
      </c>
    </row>
    <row r="26" spans="17:26" x14ac:dyDescent="0.25">
      <c r="Q26" s="178" t="e">
        <f ca="1"/>
        <v>#NAME?</v>
      </c>
      <c r="R26" s="7" t="e">
        <f ca="1"/>
        <v>#NAME?</v>
      </c>
      <c r="S26" s="7" t="e">
        <f ca="1"/>
        <v>#NAME?</v>
      </c>
      <c r="T26" s="40" t="e">
        <f ca="1"/>
        <v>#NAME?</v>
      </c>
      <c r="V26" s="178" t="e">
        <f ca="1">$V$5</f>
        <v>#NAME?</v>
      </c>
      <c r="W26" s="7" t="e">
        <f t="shared" ca="1" si="1"/>
        <v>#NAME?</v>
      </c>
      <c r="X26" s="40" t="e">
        <f t="shared" ca="1" si="1"/>
        <v>#NAME?</v>
      </c>
      <c r="Y26" s="178">
        <f t="shared" ca="1" si="2"/>
        <v>89</v>
      </c>
      <c r="Z26" s="40" t="e">
        <f t="shared" ca="1" si="3"/>
        <v>#NAME?</v>
      </c>
    </row>
    <row r="27" spans="17:26" x14ac:dyDescent="0.25">
      <c r="Q27" s="178" t="e">
        <f ca="1"/>
        <v>#NAME?</v>
      </c>
      <c r="R27" s="7" t="e">
        <f ca="1"/>
        <v>#NAME?</v>
      </c>
      <c r="S27" s="7" t="e">
        <f ca="1"/>
        <v>#NAME?</v>
      </c>
      <c r="T27" s="40" t="e">
        <f ca="1"/>
        <v>#NAME?</v>
      </c>
      <c r="V27" s="178" t="e">
        <f ca="1">$V$5</f>
        <v>#NAME?</v>
      </c>
      <c r="W27" s="7" t="e">
        <f t="shared" ca="1" si="1"/>
        <v>#NAME?</v>
      </c>
      <c r="X27" s="40" t="e">
        <f t="shared" ca="1" si="1"/>
        <v>#NAME?</v>
      </c>
      <c r="Y27" s="178">
        <f t="shared" ca="1" si="2"/>
        <v>89</v>
      </c>
      <c r="Z27" s="40" t="e">
        <f t="shared" ca="1" si="3"/>
        <v>#NAME?</v>
      </c>
    </row>
    <row r="28" spans="17:26" x14ac:dyDescent="0.25">
      <c r="Q28" s="178" t="e">
        <f ca="1"/>
        <v>#NAME?</v>
      </c>
      <c r="R28" s="7" t="e">
        <f ca="1"/>
        <v>#NAME?</v>
      </c>
      <c r="S28" s="7" t="e">
        <f ca="1"/>
        <v>#NAME?</v>
      </c>
      <c r="T28" s="40" t="e">
        <f ca="1"/>
        <v>#NAME?</v>
      </c>
      <c r="V28" s="178" t="e">
        <f ca="1">$V$5</f>
        <v>#NAME?</v>
      </c>
      <c r="W28" s="7" t="e">
        <f t="shared" ca="1" si="1"/>
        <v>#NAME?</v>
      </c>
      <c r="X28" s="40" t="e">
        <f t="shared" ca="1" si="1"/>
        <v>#NAME?</v>
      </c>
      <c r="Y28" s="178">
        <f t="shared" ca="1" si="2"/>
        <v>89</v>
      </c>
      <c r="Z28" s="40" t="e">
        <f t="shared" ca="1" si="3"/>
        <v>#NAME?</v>
      </c>
    </row>
    <row r="29" spans="17:26" x14ac:dyDescent="0.25">
      <c r="Q29" s="178" t="e">
        <f ca="1"/>
        <v>#NAME?</v>
      </c>
      <c r="R29" s="7" t="e">
        <f ca="1"/>
        <v>#NAME?</v>
      </c>
      <c r="S29" s="7" t="e">
        <f ca="1"/>
        <v>#NAME?</v>
      </c>
      <c r="T29" s="40" t="e">
        <f ca="1"/>
        <v>#NAME?</v>
      </c>
      <c r="V29" s="221" t="e">
        <f ca="1">$V$5</f>
        <v>#NAME?</v>
      </c>
      <c r="W29" s="222" t="e">
        <f t="shared" ca="1" si="1"/>
        <v>#NAME?</v>
      </c>
      <c r="X29" s="223" t="e">
        <f t="shared" ca="1" si="1"/>
        <v>#NAME?</v>
      </c>
      <c r="Y29" s="221">
        <f t="shared" ca="1" si="2"/>
        <v>89</v>
      </c>
      <c r="Z29" s="223" t="e">
        <f t="shared" ca="1" si="3"/>
        <v>#NAME?</v>
      </c>
    </row>
    <row r="30" spans="17:26" x14ac:dyDescent="0.25">
      <c r="Q30" s="178" t="e">
        <f ca="1"/>
        <v>#NAME?</v>
      </c>
      <c r="R30" s="7" t="e">
        <f ca="1"/>
        <v>#NAME?</v>
      </c>
      <c r="S30" s="7" t="e">
        <f ca="1"/>
        <v>#NAME?</v>
      </c>
      <c r="T30" s="40" t="e">
        <f ca="1"/>
        <v>#NAME?</v>
      </c>
      <c r="Y30">
        <f ca="1">SUM(Y22:Y29)</f>
        <v>712</v>
      </c>
      <c r="Z30" t="e">
        <f ca="1">AVERAGE(Z22:Z29)</f>
        <v>#NAME?</v>
      </c>
    </row>
    <row r="31" spans="17:26" x14ac:dyDescent="0.25">
      <c r="Q31" s="178" t="e">
        <f ca="1"/>
        <v>#NAME?</v>
      </c>
      <c r="R31" s="7" t="e">
        <f ca="1"/>
        <v>#NAME?</v>
      </c>
      <c r="S31" s="7" t="e">
        <f ca="1"/>
        <v>#NAME?</v>
      </c>
      <c r="T31" s="40" t="e">
        <f ca="1"/>
        <v>#NAME?</v>
      </c>
      <c r="Y31" s="12" t="s">
        <v>268</v>
      </c>
      <c r="Z31" s="245" t="e">
        <f ca="1">DEVSQ(T3:T91)</f>
        <v>#NAME?</v>
      </c>
    </row>
    <row r="32" spans="17:26" x14ac:dyDescent="0.25">
      <c r="Q32" s="178" t="e">
        <f ca="1"/>
        <v>#NAME?</v>
      </c>
      <c r="R32" s="7" t="e">
        <f ca="1"/>
        <v>#NAME?</v>
      </c>
      <c r="S32" s="7" t="e">
        <f ca="1"/>
        <v>#NAME?</v>
      </c>
      <c r="T32" s="40" t="e">
        <f ca="1"/>
        <v>#NAME?</v>
      </c>
    </row>
    <row r="33" spans="17:20" x14ac:dyDescent="0.25">
      <c r="Q33" s="178" t="e">
        <f ca="1"/>
        <v>#NAME?</v>
      </c>
      <c r="R33" s="7" t="e">
        <f ca="1"/>
        <v>#NAME?</v>
      </c>
      <c r="S33" s="7" t="e">
        <f ca="1"/>
        <v>#NAME?</v>
      </c>
      <c r="T33" s="40" t="e">
        <f ca="1"/>
        <v>#NAME?</v>
      </c>
    </row>
    <row r="34" spans="17:20" x14ac:dyDescent="0.25">
      <c r="Q34" s="178" t="e">
        <f ca="1"/>
        <v>#NAME?</v>
      </c>
      <c r="R34" s="7" t="e">
        <f ca="1"/>
        <v>#NAME?</v>
      </c>
      <c r="S34" s="7" t="e">
        <f ca="1"/>
        <v>#NAME?</v>
      </c>
      <c r="T34" s="40" t="e">
        <f ca="1"/>
        <v>#NAME?</v>
      </c>
    </row>
    <row r="35" spans="17:20" x14ac:dyDescent="0.25">
      <c r="Q35" s="178" t="e">
        <f ca="1"/>
        <v>#NAME?</v>
      </c>
      <c r="R35" s="7" t="e">
        <f ca="1"/>
        <v>#NAME?</v>
      </c>
      <c r="S35" s="7" t="e">
        <f ca="1"/>
        <v>#NAME?</v>
      </c>
      <c r="T35" s="40" t="e">
        <f ca="1"/>
        <v>#NAME?</v>
      </c>
    </row>
    <row r="36" spans="17:20" x14ac:dyDescent="0.25">
      <c r="Q36" s="178" t="e">
        <f ca="1"/>
        <v>#NAME?</v>
      </c>
      <c r="R36" s="7" t="e">
        <f ca="1"/>
        <v>#NAME?</v>
      </c>
      <c r="S36" s="7" t="e">
        <f ca="1"/>
        <v>#NAME?</v>
      </c>
      <c r="T36" s="40" t="e">
        <f ca="1"/>
        <v>#NAME?</v>
      </c>
    </row>
    <row r="37" spans="17:20" x14ac:dyDescent="0.25">
      <c r="Q37" s="178" t="e">
        <f ca="1"/>
        <v>#NAME?</v>
      </c>
      <c r="R37" s="7" t="e">
        <f ca="1"/>
        <v>#NAME?</v>
      </c>
      <c r="S37" s="7" t="e">
        <f ca="1"/>
        <v>#NAME?</v>
      </c>
      <c r="T37" s="40" t="e">
        <f ca="1"/>
        <v>#NAME?</v>
      </c>
    </row>
    <row r="38" spans="17:20" x14ac:dyDescent="0.25">
      <c r="Q38" s="178" t="e">
        <f ca="1"/>
        <v>#NAME?</v>
      </c>
      <c r="R38" s="7" t="e">
        <f ca="1"/>
        <v>#NAME?</v>
      </c>
      <c r="S38" s="7" t="e">
        <f ca="1"/>
        <v>#NAME?</v>
      </c>
      <c r="T38" s="40" t="e">
        <f ca="1"/>
        <v>#NAME?</v>
      </c>
    </row>
    <row r="39" spans="17:20" x14ac:dyDescent="0.25">
      <c r="Q39" s="178" t="e">
        <f ca="1"/>
        <v>#NAME?</v>
      </c>
      <c r="R39" s="7" t="e">
        <f ca="1"/>
        <v>#NAME?</v>
      </c>
      <c r="S39" s="7" t="e">
        <f ca="1"/>
        <v>#NAME?</v>
      </c>
      <c r="T39" s="40" t="e">
        <f ca="1"/>
        <v>#NAME?</v>
      </c>
    </row>
    <row r="40" spans="17:20" x14ac:dyDescent="0.25">
      <c r="Q40" s="178" t="e">
        <f ca="1"/>
        <v>#NAME?</v>
      </c>
      <c r="R40" s="7" t="e">
        <f ca="1"/>
        <v>#NAME?</v>
      </c>
      <c r="S40" s="7" t="e">
        <f ca="1"/>
        <v>#NAME?</v>
      </c>
      <c r="T40" s="40" t="e">
        <f ca="1"/>
        <v>#NAME?</v>
      </c>
    </row>
    <row r="41" spans="17:20" x14ac:dyDescent="0.25">
      <c r="Q41" s="178" t="e">
        <f ca="1"/>
        <v>#NAME?</v>
      </c>
      <c r="R41" s="7" t="e">
        <f ca="1"/>
        <v>#NAME?</v>
      </c>
      <c r="S41" s="7" t="e">
        <f ca="1"/>
        <v>#NAME?</v>
      </c>
      <c r="T41" s="40" t="e">
        <f ca="1"/>
        <v>#NAME?</v>
      </c>
    </row>
    <row r="42" spans="17:20" x14ac:dyDescent="0.25">
      <c r="Q42" s="178" t="e">
        <f ca="1"/>
        <v>#NAME?</v>
      </c>
      <c r="R42" s="7" t="e">
        <f ca="1"/>
        <v>#NAME?</v>
      </c>
      <c r="S42" s="7" t="e">
        <f ca="1"/>
        <v>#NAME?</v>
      </c>
      <c r="T42" s="40" t="e">
        <f ca="1"/>
        <v>#NAME?</v>
      </c>
    </row>
    <row r="43" spans="17:20" x14ac:dyDescent="0.25">
      <c r="Q43" s="178" t="e">
        <f ca="1"/>
        <v>#NAME?</v>
      </c>
      <c r="R43" s="7" t="e">
        <f ca="1"/>
        <v>#NAME?</v>
      </c>
      <c r="S43" s="7" t="e">
        <f ca="1"/>
        <v>#NAME?</v>
      </c>
      <c r="T43" s="40" t="e">
        <f ca="1"/>
        <v>#NAME?</v>
      </c>
    </row>
    <row r="44" spans="17:20" x14ac:dyDescent="0.25">
      <c r="Q44" s="178" t="e">
        <f ca="1"/>
        <v>#NAME?</v>
      </c>
      <c r="R44" s="7" t="e">
        <f ca="1"/>
        <v>#NAME?</v>
      </c>
      <c r="S44" s="7" t="e">
        <f ca="1"/>
        <v>#NAME?</v>
      </c>
      <c r="T44" s="40" t="e">
        <f ca="1"/>
        <v>#NAME?</v>
      </c>
    </row>
    <row r="45" spans="17:20" x14ac:dyDescent="0.25">
      <c r="Q45" s="178" t="e">
        <f ca="1"/>
        <v>#NAME?</v>
      </c>
      <c r="R45" s="7" t="e">
        <f ca="1"/>
        <v>#NAME?</v>
      </c>
      <c r="S45" s="7" t="e">
        <f ca="1"/>
        <v>#NAME?</v>
      </c>
      <c r="T45" s="40" t="e">
        <f ca="1"/>
        <v>#NAME?</v>
      </c>
    </row>
    <row r="46" spans="17:20" x14ac:dyDescent="0.25">
      <c r="Q46" s="178" t="e">
        <f ca="1"/>
        <v>#NAME?</v>
      </c>
      <c r="R46" s="7" t="e">
        <f ca="1"/>
        <v>#NAME?</v>
      </c>
      <c r="S46" s="7" t="e">
        <f ca="1"/>
        <v>#NAME?</v>
      </c>
      <c r="T46" s="40" t="e">
        <f ca="1"/>
        <v>#NAME?</v>
      </c>
    </row>
    <row r="47" spans="17:20" x14ac:dyDescent="0.25">
      <c r="Q47" s="178" t="e">
        <f ca="1"/>
        <v>#NAME?</v>
      </c>
      <c r="R47" s="7" t="e">
        <f ca="1"/>
        <v>#NAME?</v>
      </c>
      <c r="S47" s="7" t="e">
        <f ca="1"/>
        <v>#NAME?</v>
      </c>
      <c r="T47" s="40" t="e">
        <f ca="1"/>
        <v>#NAME?</v>
      </c>
    </row>
    <row r="48" spans="17:20" x14ac:dyDescent="0.25">
      <c r="Q48" s="178" t="e">
        <f ca="1"/>
        <v>#NAME?</v>
      </c>
      <c r="R48" s="7" t="e">
        <f ca="1"/>
        <v>#NAME?</v>
      </c>
      <c r="S48" s="7" t="e">
        <f ca="1"/>
        <v>#NAME?</v>
      </c>
      <c r="T48" s="40" t="e">
        <f ca="1"/>
        <v>#NAME?</v>
      </c>
    </row>
    <row r="49" spans="17:20" x14ac:dyDescent="0.25">
      <c r="Q49" s="178" t="e">
        <f ca="1"/>
        <v>#NAME?</v>
      </c>
      <c r="R49" s="7" t="e">
        <f ca="1"/>
        <v>#NAME?</v>
      </c>
      <c r="S49" s="7" t="e">
        <f ca="1"/>
        <v>#NAME?</v>
      </c>
      <c r="T49" s="40" t="e">
        <f ca="1"/>
        <v>#NAME?</v>
      </c>
    </row>
    <row r="50" spans="17:20" x14ac:dyDescent="0.25">
      <c r="Q50" s="178" t="e">
        <f ca="1"/>
        <v>#NAME?</v>
      </c>
      <c r="R50" s="7" t="e">
        <f ca="1"/>
        <v>#NAME?</v>
      </c>
      <c r="S50" s="7" t="e">
        <f ca="1"/>
        <v>#NAME?</v>
      </c>
      <c r="T50" s="40" t="e">
        <f ca="1"/>
        <v>#NAME?</v>
      </c>
    </row>
    <row r="51" spans="17:20" x14ac:dyDescent="0.25">
      <c r="Q51" s="178" t="e">
        <f ca="1"/>
        <v>#NAME?</v>
      </c>
      <c r="R51" s="7" t="e">
        <f ca="1"/>
        <v>#NAME?</v>
      </c>
      <c r="S51" s="7" t="e">
        <f ca="1"/>
        <v>#NAME?</v>
      </c>
      <c r="T51" s="40" t="e">
        <f ca="1"/>
        <v>#NAME?</v>
      </c>
    </row>
    <row r="52" spans="17:20" x14ac:dyDescent="0.25">
      <c r="Q52" s="178" t="e">
        <f ca="1"/>
        <v>#NAME?</v>
      </c>
      <c r="R52" s="7" t="e">
        <f ca="1"/>
        <v>#NAME?</v>
      </c>
      <c r="S52" s="7" t="e">
        <f ca="1"/>
        <v>#NAME?</v>
      </c>
      <c r="T52" s="40" t="e">
        <f ca="1"/>
        <v>#NAME?</v>
      </c>
    </row>
    <row r="53" spans="17:20" x14ac:dyDescent="0.25">
      <c r="Q53" s="178" t="e">
        <f ca="1"/>
        <v>#NAME?</v>
      </c>
      <c r="R53" s="7" t="e">
        <f ca="1"/>
        <v>#NAME?</v>
      </c>
      <c r="S53" s="7" t="e">
        <f ca="1"/>
        <v>#NAME?</v>
      </c>
      <c r="T53" s="40" t="e">
        <f ca="1"/>
        <v>#NAME?</v>
      </c>
    </row>
    <row r="54" spans="17:20" x14ac:dyDescent="0.25">
      <c r="Q54" s="178" t="e">
        <f ca="1"/>
        <v>#NAME?</v>
      </c>
      <c r="R54" s="7" t="e">
        <f ca="1"/>
        <v>#NAME?</v>
      </c>
      <c r="S54" s="7" t="e">
        <f ca="1"/>
        <v>#NAME?</v>
      </c>
      <c r="T54" s="40" t="e">
        <f ca="1"/>
        <v>#NAME?</v>
      </c>
    </row>
    <row r="55" spans="17:20" x14ac:dyDescent="0.25">
      <c r="Q55" s="178" t="e">
        <f ca="1"/>
        <v>#NAME?</v>
      </c>
      <c r="R55" s="7" t="e">
        <f ca="1"/>
        <v>#NAME?</v>
      </c>
      <c r="S55" s="7" t="e">
        <f ca="1"/>
        <v>#NAME?</v>
      </c>
      <c r="T55" s="40" t="e">
        <f ca="1"/>
        <v>#NAME?</v>
      </c>
    </row>
    <row r="56" spans="17:20" x14ac:dyDescent="0.25">
      <c r="Q56" s="178" t="e">
        <f ca="1"/>
        <v>#NAME?</v>
      </c>
      <c r="R56" s="7" t="e">
        <f ca="1"/>
        <v>#NAME?</v>
      </c>
      <c r="S56" s="7" t="e">
        <f ca="1"/>
        <v>#NAME?</v>
      </c>
      <c r="T56" s="40" t="e">
        <f ca="1"/>
        <v>#NAME?</v>
      </c>
    </row>
    <row r="57" spans="17:20" x14ac:dyDescent="0.25">
      <c r="Q57" s="178" t="e">
        <f ca="1"/>
        <v>#NAME?</v>
      </c>
      <c r="R57" s="7" t="e">
        <f ca="1"/>
        <v>#NAME?</v>
      </c>
      <c r="S57" s="7" t="e">
        <f ca="1"/>
        <v>#NAME?</v>
      </c>
      <c r="T57" s="40" t="e">
        <f ca="1"/>
        <v>#NAME?</v>
      </c>
    </row>
    <row r="58" spans="17:20" x14ac:dyDescent="0.25">
      <c r="Q58" s="178" t="e">
        <f ca="1"/>
        <v>#NAME?</v>
      </c>
      <c r="R58" s="7" t="e">
        <f ca="1"/>
        <v>#NAME?</v>
      </c>
      <c r="S58" s="7" t="e">
        <f ca="1"/>
        <v>#NAME?</v>
      </c>
      <c r="T58" s="40" t="e">
        <f ca="1"/>
        <v>#NAME?</v>
      </c>
    </row>
    <row r="59" spans="17:20" x14ac:dyDescent="0.25">
      <c r="Q59" s="178" t="e">
        <f ca="1"/>
        <v>#NAME?</v>
      </c>
      <c r="R59" s="7" t="e">
        <f ca="1"/>
        <v>#NAME?</v>
      </c>
      <c r="S59" s="7" t="e">
        <f ca="1"/>
        <v>#NAME?</v>
      </c>
      <c r="T59" s="40" t="e">
        <f ca="1"/>
        <v>#NAME?</v>
      </c>
    </row>
    <row r="60" spans="17:20" x14ac:dyDescent="0.25">
      <c r="Q60" s="178" t="e">
        <f ca="1"/>
        <v>#NAME?</v>
      </c>
      <c r="R60" s="7" t="e">
        <f ca="1"/>
        <v>#NAME?</v>
      </c>
      <c r="S60" s="7" t="e">
        <f ca="1"/>
        <v>#NAME?</v>
      </c>
      <c r="T60" s="40" t="e">
        <f ca="1"/>
        <v>#NAME?</v>
      </c>
    </row>
    <row r="61" spans="17:20" x14ac:dyDescent="0.25">
      <c r="Q61" s="178" t="e">
        <f ca="1"/>
        <v>#NAME?</v>
      </c>
      <c r="R61" s="7" t="e">
        <f ca="1"/>
        <v>#NAME?</v>
      </c>
      <c r="S61" s="7" t="e">
        <f ca="1"/>
        <v>#NAME?</v>
      </c>
      <c r="T61" s="40" t="e">
        <f ca="1"/>
        <v>#NAME?</v>
      </c>
    </row>
    <row r="62" spans="17:20" x14ac:dyDescent="0.25">
      <c r="Q62" s="178" t="e">
        <f ca="1"/>
        <v>#NAME?</v>
      </c>
      <c r="R62" s="7" t="e">
        <f ca="1"/>
        <v>#NAME?</v>
      </c>
      <c r="S62" s="7" t="e">
        <f ca="1"/>
        <v>#NAME?</v>
      </c>
      <c r="T62" s="40" t="e">
        <f ca="1"/>
        <v>#NAME?</v>
      </c>
    </row>
    <row r="63" spans="17:20" x14ac:dyDescent="0.25">
      <c r="Q63" s="178" t="e">
        <f ca="1"/>
        <v>#NAME?</v>
      </c>
      <c r="R63" s="7" t="e">
        <f ca="1"/>
        <v>#NAME?</v>
      </c>
      <c r="S63" s="7" t="e">
        <f ca="1"/>
        <v>#NAME?</v>
      </c>
      <c r="T63" s="40" t="e">
        <f ca="1"/>
        <v>#NAME?</v>
      </c>
    </row>
    <row r="64" spans="17:20" x14ac:dyDescent="0.25">
      <c r="Q64" s="178" t="e">
        <f ca="1"/>
        <v>#NAME?</v>
      </c>
      <c r="R64" s="7" t="e">
        <f ca="1"/>
        <v>#NAME?</v>
      </c>
      <c r="S64" s="7" t="e">
        <f ca="1"/>
        <v>#NAME?</v>
      </c>
      <c r="T64" s="40" t="e">
        <f ca="1"/>
        <v>#NAME?</v>
      </c>
    </row>
    <row r="65" spans="17:20" x14ac:dyDescent="0.25">
      <c r="Q65" s="178" t="e">
        <f ca="1"/>
        <v>#NAME?</v>
      </c>
      <c r="R65" s="7" t="e">
        <f ca="1"/>
        <v>#NAME?</v>
      </c>
      <c r="S65" s="7" t="e">
        <f ca="1"/>
        <v>#NAME?</v>
      </c>
      <c r="T65" s="40" t="e">
        <f ca="1"/>
        <v>#NAME?</v>
      </c>
    </row>
    <row r="66" spans="17:20" x14ac:dyDescent="0.25">
      <c r="Q66" s="178" t="e">
        <f ca="1"/>
        <v>#NAME?</v>
      </c>
      <c r="R66" s="7" t="e">
        <f ca="1"/>
        <v>#NAME?</v>
      </c>
      <c r="S66" s="7" t="e">
        <f ca="1"/>
        <v>#NAME?</v>
      </c>
      <c r="T66" s="40" t="e">
        <f ca="1"/>
        <v>#NAME?</v>
      </c>
    </row>
    <row r="67" spans="17:20" x14ac:dyDescent="0.25">
      <c r="Q67" s="178" t="e">
        <f ca="1"/>
        <v>#NAME?</v>
      </c>
      <c r="R67" s="7" t="e">
        <f ca="1"/>
        <v>#NAME?</v>
      </c>
      <c r="S67" s="7" t="e">
        <f ca="1"/>
        <v>#NAME?</v>
      </c>
      <c r="T67" s="40" t="e">
        <f ca="1"/>
        <v>#NAME?</v>
      </c>
    </row>
    <row r="68" spans="17:20" x14ac:dyDescent="0.25">
      <c r="Q68" s="178" t="e">
        <f ca="1"/>
        <v>#NAME?</v>
      </c>
      <c r="R68" s="7" t="e">
        <f ca="1"/>
        <v>#NAME?</v>
      </c>
      <c r="S68" s="7" t="e">
        <f ca="1"/>
        <v>#NAME?</v>
      </c>
      <c r="T68" s="40" t="e">
        <f ca="1"/>
        <v>#NAME?</v>
      </c>
    </row>
    <row r="69" spans="17:20" x14ac:dyDescent="0.25">
      <c r="Q69" s="178" t="e">
        <f ca="1"/>
        <v>#NAME?</v>
      </c>
      <c r="R69" s="7" t="e">
        <f ca="1"/>
        <v>#NAME?</v>
      </c>
      <c r="S69" s="7" t="e">
        <f ca="1"/>
        <v>#NAME?</v>
      </c>
      <c r="T69" s="40" t="e">
        <f ca="1"/>
        <v>#NAME?</v>
      </c>
    </row>
    <row r="70" spans="17:20" x14ac:dyDescent="0.25">
      <c r="Q70" s="178" t="e">
        <f ca="1"/>
        <v>#NAME?</v>
      </c>
      <c r="R70" s="7" t="e">
        <f ca="1"/>
        <v>#NAME?</v>
      </c>
      <c r="S70" s="7" t="e">
        <f ca="1"/>
        <v>#NAME?</v>
      </c>
      <c r="T70" s="40" t="e">
        <f ca="1"/>
        <v>#NAME?</v>
      </c>
    </row>
    <row r="71" spans="17:20" x14ac:dyDescent="0.25">
      <c r="Q71" s="178" t="e">
        <f ca="1"/>
        <v>#NAME?</v>
      </c>
      <c r="R71" s="7" t="e">
        <f ca="1"/>
        <v>#NAME?</v>
      </c>
      <c r="S71" s="7" t="e">
        <f ca="1"/>
        <v>#NAME?</v>
      </c>
      <c r="T71" s="40" t="e">
        <f ca="1"/>
        <v>#NAME?</v>
      </c>
    </row>
    <row r="72" spans="17:20" x14ac:dyDescent="0.25">
      <c r="Q72" s="178" t="e">
        <f ca="1"/>
        <v>#NAME?</v>
      </c>
      <c r="R72" s="7" t="e">
        <f ca="1"/>
        <v>#NAME?</v>
      </c>
      <c r="S72" s="7" t="e">
        <f ca="1"/>
        <v>#NAME?</v>
      </c>
      <c r="T72" s="40" t="e">
        <f ca="1"/>
        <v>#NAME?</v>
      </c>
    </row>
    <row r="73" spans="17:20" x14ac:dyDescent="0.25">
      <c r="Q73" s="178" t="e">
        <f ca="1"/>
        <v>#NAME?</v>
      </c>
      <c r="R73" s="7" t="e">
        <f ca="1"/>
        <v>#NAME?</v>
      </c>
      <c r="S73" s="7" t="e">
        <f ca="1"/>
        <v>#NAME?</v>
      </c>
      <c r="T73" s="40" t="e">
        <f ca="1"/>
        <v>#NAME?</v>
      </c>
    </row>
    <row r="74" spans="17:20" x14ac:dyDescent="0.25">
      <c r="Q74" s="178" t="e">
        <f ca="1"/>
        <v>#NAME?</v>
      </c>
      <c r="R74" s="7" t="e">
        <f ca="1"/>
        <v>#NAME?</v>
      </c>
      <c r="S74" s="7" t="e">
        <f ca="1"/>
        <v>#NAME?</v>
      </c>
      <c r="T74" s="40" t="e">
        <f ca="1"/>
        <v>#NAME?</v>
      </c>
    </row>
    <row r="75" spans="17:20" x14ac:dyDescent="0.25">
      <c r="Q75" s="178" t="e">
        <f ca="1"/>
        <v>#NAME?</v>
      </c>
      <c r="R75" s="7" t="e">
        <f ca="1"/>
        <v>#NAME?</v>
      </c>
      <c r="S75" s="7" t="e">
        <f ca="1"/>
        <v>#NAME?</v>
      </c>
      <c r="T75" s="40" t="e">
        <f ca="1"/>
        <v>#NAME?</v>
      </c>
    </row>
    <row r="76" spans="17:20" x14ac:dyDescent="0.25">
      <c r="Q76" s="178" t="e">
        <f ca="1"/>
        <v>#NAME?</v>
      </c>
      <c r="R76" s="7" t="e">
        <f ca="1"/>
        <v>#NAME?</v>
      </c>
      <c r="S76" s="7" t="e">
        <f ca="1"/>
        <v>#NAME?</v>
      </c>
      <c r="T76" s="40" t="e">
        <f ca="1"/>
        <v>#NAME?</v>
      </c>
    </row>
    <row r="77" spans="17:20" x14ac:dyDescent="0.25">
      <c r="Q77" s="178" t="e">
        <f ca="1"/>
        <v>#NAME?</v>
      </c>
      <c r="R77" s="7" t="e">
        <f ca="1"/>
        <v>#NAME?</v>
      </c>
      <c r="S77" s="7" t="e">
        <f ca="1"/>
        <v>#NAME?</v>
      </c>
      <c r="T77" s="40" t="e">
        <f ca="1"/>
        <v>#NAME?</v>
      </c>
    </row>
    <row r="78" spans="17:20" x14ac:dyDescent="0.25">
      <c r="Q78" s="178" t="e">
        <f ca="1"/>
        <v>#NAME?</v>
      </c>
      <c r="R78" s="7" t="e">
        <f ca="1"/>
        <v>#NAME?</v>
      </c>
      <c r="S78" s="7" t="e">
        <f ca="1"/>
        <v>#NAME?</v>
      </c>
      <c r="T78" s="40" t="e">
        <f ca="1"/>
        <v>#NAME?</v>
      </c>
    </row>
    <row r="79" spans="17:20" x14ac:dyDescent="0.25">
      <c r="Q79" s="178" t="e">
        <f ca="1"/>
        <v>#NAME?</v>
      </c>
      <c r="R79" s="7" t="e">
        <f ca="1"/>
        <v>#NAME?</v>
      </c>
      <c r="S79" s="7" t="e">
        <f ca="1"/>
        <v>#NAME?</v>
      </c>
      <c r="T79" s="40" t="e">
        <f ca="1"/>
        <v>#NAME?</v>
      </c>
    </row>
    <row r="80" spans="17:20" x14ac:dyDescent="0.25">
      <c r="Q80" s="178" t="e">
        <f ca="1"/>
        <v>#NAME?</v>
      </c>
      <c r="R80" s="7" t="e">
        <f ca="1"/>
        <v>#NAME?</v>
      </c>
      <c r="S80" s="7" t="e">
        <f ca="1"/>
        <v>#NAME?</v>
      </c>
      <c r="T80" s="40" t="e">
        <f ca="1"/>
        <v>#NAME?</v>
      </c>
    </row>
    <row r="81" spans="17:20" x14ac:dyDescent="0.25">
      <c r="Q81" s="178" t="e">
        <f ca="1"/>
        <v>#NAME?</v>
      </c>
      <c r="R81" s="7" t="e">
        <f ca="1"/>
        <v>#NAME?</v>
      </c>
      <c r="S81" s="7" t="e">
        <f ca="1"/>
        <v>#NAME?</v>
      </c>
      <c r="T81" s="40" t="e">
        <f ca="1"/>
        <v>#NAME?</v>
      </c>
    </row>
    <row r="82" spans="17:20" x14ac:dyDescent="0.25">
      <c r="Q82" s="178" t="e">
        <f ca="1"/>
        <v>#NAME?</v>
      </c>
      <c r="R82" s="7" t="e">
        <f ca="1"/>
        <v>#NAME?</v>
      </c>
      <c r="S82" s="7" t="e">
        <f ca="1"/>
        <v>#NAME?</v>
      </c>
      <c r="T82" s="40" t="e">
        <f ca="1"/>
        <v>#NAME?</v>
      </c>
    </row>
    <row r="83" spans="17:20" x14ac:dyDescent="0.25">
      <c r="Q83" s="178" t="e">
        <f ca="1"/>
        <v>#NAME?</v>
      </c>
      <c r="R83" s="7" t="e">
        <f ca="1"/>
        <v>#NAME?</v>
      </c>
      <c r="S83" s="7" t="e">
        <f ca="1"/>
        <v>#NAME?</v>
      </c>
      <c r="T83" s="40" t="e">
        <f ca="1"/>
        <v>#NAME?</v>
      </c>
    </row>
    <row r="84" spans="17:20" x14ac:dyDescent="0.25">
      <c r="Q84" s="178" t="e">
        <f ca="1"/>
        <v>#NAME?</v>
      </c>
      <c r="R84" s="7" t="e">
        <f ca="1"/>
        <v>#NAME?</v>
      </c>
      <c r="S84" s="7" t="e">
        <f ca="1"/>
        <v>#NAME?</v>
      </c>
      <c r="T84" s="40" t="e">
        <f ca="1"/>
        <v>#NAME?</v>
      </c>
    </row>
    <row r="85" spans="17:20" x14ac:dyDescent="0.25">
      <c r="Q85" s="178" t="e">
        <f ca="1"/>
        <v>#NAME?</v>
      </c>
      <c r="R85" s="7" t="e">
        <f ca="1"/>
        <v>#NAME?</v>
      </c>
      <c r="S85" s="7" t="e">
        <f ca="1"/>
        <v>#NAME?</v>
      </c>
      <c r="T85" s="40" t="e">
        <f ca="1"/>
        <v>#NAME?</v>
      </c>
    </row>
    <row r="86" spans="17:20" x14ac:dyDescent="0.25">
      <c r="Q86" s="178" t="e">
        <f ca="1"/>
        <v>#NAME?</v>
      </c>
      <c r="R86" s="7" t="e">
        <f ca="1"/>
        <v>#NAME?</v>
      </c>
      <c r="S86" s="7" t="e">
        <f ca="1"/>
        <v>#NAME?</v>
      </c>
      <c r="T86" s="40" t="e">
        <f ca="1"/>
        <v>#NAME?</v>
      </c>
    </row>
    <row r="87" spans="17:20" x14ac:dyDescent="0.25">
      <c r="Q87" s="178" t="e">
        <f ca="1"/>
        <v>#NAME?</v>
      </c>
      <c r="R87" s="7" t="e">
        <f ca="1"/>
        <v>#NAME?</v>
      </c>
      <c r="S87" s="7" t="e">
        <f ca="1"/>
        <v>#NAME?</v>
      </c>
      <c r="T87" s="40" t="e">
        <f ca="1"/>
        <v>#NAME?</v>
      </c>
    </row>
    <row r="88" spans="17:20" x14ac:dyDescent="0.25">
      <c r="Q88" s="178" t="e">
        <f ca="1"/>
        <v>#NAME?</v>
      </c>
      <c r="R88" s="7" t="e">
        <f ca="1"/>
        <v>#NAME?</v>
      </c>
      <c r="S88" s="7" t="e">
        <f ca="1"/>
        <v>#NAME?</v>
      </c>
      <c r="T88" s="40" t="e">
        <f ca="1"/>
        <v>#NAME?</v>
      </c>
    </row>
    <row r="89" spans="17:20" x14ac:dyDescent="0.25">
      <c r="Q89" s="178" t="e">
        <f ca="1"/>
        <v>#NAME?</v>
      </c>
      <c r="R89" s="7" t="e">
        <f ca="1"/>
        <v>#NAME?</v>
      </c>
      <c r="S89" s="7" t="e">
        <f ca="1"/>
        <v>#NAME?</v>
      </c>
      <c r="T89" s="40" t="e">
        <f ca="1"/>
        <v>#NAME?</v>
      </c>
    </row>
    <row r="90" spans="17:20" x14ac:dyDescent="0.25">
      <c r="Q90" s="178" t="e">
        <f ca="1"/>
        <v>#NAME?</v>
      </c>
      <c r="R90" s="7" t="e">
        <f ca="1"/>
        <v>#NAME?</v>
      </c>
      <c r="S90" s="7" t="e">
        <f ca="1"/>
        <v>#NAME?</v>
      </c>
      <c r="T90" s="40" t="e">
        <f ca="1"/>
        <v>#NAME?</v>
      </c>
    </row>
    <row r="91" spans="17:20" x14ac:dyDescent="0.25">
      <c r="Q91" s="221" t="e">
        <f ca="1"/>
        <v>#NAME?</v>
      </c>
      <c r="R91" s="222" t="e">
        <f ca="1"/>
        <v>#NAME?</v>
      </c>
      <c r="S91" s="222" t="e">
        <f ca="1"/>
        <v>#NAME?</v>
      </c>
      <c r="T91" s="223" t="e">
        <f ca="1"/>
        <v>#NAME?</v>
      </c>
    </row>
  </sheetData>
  <mergeCells count="1">
    <mergeCell ref="D3:O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T151"/>
  <sheetViews>
    <sheetView workbookViewId="0"/>
  </sheetViews>
  <sheetFormatPr defaultRowHeight="15" x14ac:dyDescent="0.25"/>
  <cols>
    <col min="1" max="1" width="4.28515625" customWidth="1"/>
    <col min="2" max="20" width="7.5703125" customWidth="1"/>
  </cols>
  <sheetData>
    <row r="1" spans="1:20" x14ac:dyDescent="0.25">
      <c r="A1" s="1" t="s">
        <v>750</v>
      </c>
    </row>
    <row r="3" spans="1:20" x14ac:dyDescent="0.25">
      <c r="B3" t="s">
        <v>31</v>
      </c>
      <c r="C3" s="13">
        <v>0.1</v>
      </c>
    </row>
    <row r="4" spans="1:20" x14ac:dyDescent="0.25">
      <c r="B4" t="s">
        <v>751</v>
      </c>
    </row>
    <row r="5" spans="1:20" x14ac:dyDescent="0.25">
      <c r="A5" s="12" t="s">
        <v>51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 x14ac:dyDescent="0.25">
      <c r="A6">
        <v>1</v>
      </c>
      <c r="B6" s="414">
        <v>8.9290000000000003</v>
      </c>
      <c r="C6" s="415">
        <v>13.436999999999999</v>
      </c>
      <c r="D6" s="415">
        <v>16.358000000000001</v>
      </c>
      <c r="E6" s="415">
        <v>18.488</v>
      </c>
      <c r="F6" s="415">
        <v>20.149999999999999</v>
      </c>
      <c r="G6" s="415">
        <v>21.504000000000001</v>
      </c>
      <c r="H6" s="415">
        <v>22.641999999999999</v>
      </c>
      <c r="I6" s="415">
        <v>23.620999999999999</v>
      </c>
      <c r="J6" s="415">
        <v>24.477</v>
      </c>
      <c r="K6" s="415">
        <v>25.236999999999998</v>
      </c>
      <c r="L6" s="415">
        <v>25.917999999999999</v>
      </c>
      <c r="M6" s="415">
        <v>26.536000000000001</v>
      </c>
      <c r="N6" s="415">
        <v>27.1</v>
      </c>
      <c r="O6" s="415">
        <v>27.617999999999999</v>
      </c>
      <c r="P6" s="415">
        <v>28.097000000000001</v>
      </c>
      <c r="Q6" s="415">
        <v>28.542000000000002</v>
      </c>
      <c r="R6" s="415">
        <v>28.957999999999998</v>
      </c>
      <c r="S6" s="415">
        <v>29.347000000000001</v>
      </c>
      <c r="T6" s="416">
        <v>29.713000000000001</v>
      </c>
    </row>
    <row r="7" spans="1:20" x14ac:dyDescent="0.25">
      <c r="A7">
        <v>2</v>
      </c>
      <c r="B7" s="417">
        <v>4.1289999999999996</v>
      </c>
      <c r="C7" s="418">
        <v>5.7329999999999997</v>
      </c>
      <c r="D7" s="418">
        <v>6.7720000000000002</v>
      </c>
      <c r="E7" s="418">
        <v>7.5380000000000003</v>
      </c>
      <c r="F7" s="418">
        <v>8.1389999999999993</v>
      </c>
      <c r="G7" s="418">
        <v>8.6329999999999991</v>
      </c>
      <c r="H7" s="418">
        <v>9.0489999999999995</v>
      </c>
      <c r="I7" s="418">
        <v>9.4090000000000007</v>
      </c>
      <c r="J7" s="418">
        <v>9.7249999999999996</v>
      </c>
      <c r="K7" s="418">
        <v>10.006</v>
      </c>
      <c r="L7" s="418">
        <v>10.259</v>
      </c>
      <c r="M7" s="418">
        <v>10.488</v>
      </c>
      <c r="N7" s="418">
        <v>10.698</v>
      </c>
      <c r="O7" s="418">
        <v>10.891</v>
      </c>
      <c r="P7" s="418">
        <v>11.07</v>
      </c>
      <c r="Q7" s="418">
        <v>11.237</v>
      </c>
      <c r="R7" s="418">
        <v>11.391999999999999</v>
      </c>
      <c r="S7" s="418">
        <v>11.538</v>
      </c>
      <c r="T7" s="419">
        <v>11.676</v>
      </c>
    </row>
    <row r="8" spans="1:20" x14ac:dyDescent="0.25">
      <c r="A8">
        <v>3</v>
      </c>
      <c r="B8" s="417">
        <v>3.3279999999999998</v>
      </c>
      <c r="C8" s="418">
        <v>4.4669999999999996</v>
      </c>
      <c r="D8" s="418">
        <v>5.1989999999999998</v>
      </c>
      <c r="E8" s="418">
        <v>5.7380000000000004</v>
      </c>
      <c r="F8" s="418">
        <v>6.1619999999999999</v>
      </c>
      <c r="G8" s="418">
        <v>6.5110000000000001</v>
      </c>
      <c r="H8" s="418">
        <v>6.806</v>
      </c>
      <c r="I8" s="418">
        <v>7.0620000000000003</v>
      </c>
      <c r="J8" s="418">
        <v>7.2869999999999999</v>
      </c>
      <c r="K8" s="418">
        <v>7.4870000000000001</v>
      </c>
      <c r="L8" s="418">
        <v>7.6669999999999998</v>
      </c>
      <c r="M8" s="418">
        <v>7.8310000000000004</v>
      </c>
      <c r="N8" s="418">
        <v>7.9820000000000002</v>
      </c>
      <c r="O8" s="418">
        <v>8.1199999999999992</v>
      </c>
      <c r="P8" s="418">
        <v>8.2479999999999993</v>
      </c>
      <c r="Q8" s="418">
        <v>8.3680000000000003</v>
      </c>
      <c r="R8" s="418">
        <v>8.4789999999999992</v>
      </c>
      <c r="S8" s="418">
        <v>8.5839999999999996</v>
      </c>
      <c r="T8" s="419">
        <v>8.6829999999999998</v>
      </c>
    </row>
    <row r="9" spans="1:20" x14ac:dyDescent="0.25">
      <c r="A9">
        <v>4</v>
      </c>
      <c r="B9" s="417">
        <v>3.0150000000000001</v>
      </c>
      <c r="C9" s="418">
        <v>3.976</v>
      </c>
      <c r="D9" s="418">
        <v>4.5860000000000003</v>
      </c>
      <c r="E9" s="418">
        <v>5.0350000000000001</v>
      </c>
      <c r="F9" s="418">
        <v>5.3879999999999999</v>
      </c>
      <c r="G9" s="418">
        <v>5.6790000000000003</v>
      </c>
      <c r="H9" s="418">
        <v>5.9260000000000002</v>
      </c>
      <c r="I9" s="418">
        <v>6.1390000000000002</v>
      </c>
      <c r="J9" s="418">
        <v>6.327</v>
      </c>
      <c r="K9" s="418">
        <v>6.4939999999999998</v>
      </c>
      <c r="L9" s="418">
        <v>6.6449999999999996</v>
      </c>
      <c r="M9" s="418">
        <v>6.7830000000000004</v>
      </c>
      <c r="N9" s="418">
        <v>6.9089999999999998</v>
      </c>
      <c r="O9" s="418">
        <v>7.0250000000000004</v>
      </c>
      <c r="P9" s="418">
        <v>7.1319999999999997</v>
      </c>
      <c r="Q9" s="418">
        <v>7.2329999999999997</v>
      </c>
      <c r="R9" s="418">
        <v>7.3259999999999996</v>
      </c>
      <c r="S9" s="418">
        <v>7.4139999999999997</v>
      </c>
      <c r="T9" s="419">
        <v>7.4969999999999999</v>
      </c>
    </row>
    <row r="10" spans="1:20" x14ac:dyDescent="0.25">
      <c r="A10">
        <v>5</v>
      </c>
      <c r="B10" s="417">
        <v>2.85</v>
      </c>
      <c r="C10" s="418">
        <v>3.7170000000000001</v>
      </c>
      <c r="D10" s="418">
        <v>4.2640000000000002</v>
      </c>
      <c r="E10" s="418">
        <v>4.6639999999999997</v>
      </c>
      <c r="F10" s="418">
        <v>4.9790000000000001</v>
      </c>
      <c r="G10" s="418">
        <v>5.2380000000000004</v>
      </c>
      <c r="H10" s="418">
        <v>5.4580000000000002</v>
      </c>
      <c r="I10" s="418">
        <v>5.6479999999999997</v>
      </c>
      <c r="J10" s="418">
        <v>5.8159999999999998</v>
      </c>
      <c r="K10" s="418">
        <v>5.9649999999999999</v>
      </c>
      <c r="L10" s="418">
        <v>6.1</v>
      </c>
      <c r="M10" s="418">
        <v>6.2229999999999999</v>
      </c>
      <c r="N10" s="418">
        <v>6.3360000000000003</v>
      </c>
      <c r="O10" s="418">
        <v>6.4390000000000001</v>
      </c>
      <c r="P10" s="418">
        <v>6.5359999999999996</v>
      </c>
      <c r="Q10" s="418">
        <v>6.6260000000000003</v>
      </c>
      <c r="R10" s="418">
        <v>6.71</v>
      </c>
      <c r="S10" s="418">
        <v>6.7880000000000003</v>
      </c>
      <c r="T10" s="419">
        <v>6.8630000000000004</v>
      </c>
    </row>
    <row r="11" spans="1:20" x14ac:dyDescent="0.25">
      <c r="A11">
        <v>6</v>
      </c>
      <c r="B11" s="417">
        <v>2.7480000000000002</v>
      </c>
      <c r="C11" s="418">
        <v>3.5579999999999998</v>
      </c>
      <c r="D11" s="418">
        <v>4.0650000000000004</v>
      </c>
      <c r="E11" s="418">
        <v>4.4349999999999996</v>
      </c>
      <c r="F11" s="418">
        <v>4.726</v>
      </c>
      <c r="G11" s="418">
        <v>4.9660000000000002</v>
      </c>
      <c r="H11" s="418">
        <v>5.1680000000000001</v>
      </c>
      <c r="I11" s="418">
        <v>5.3440000000000003</v>
      </c>
      <c r="J11" s="418">
        <v>5.4989999999999997</v>
      </c>
      <c r="K11" s="418">
        <v>5.6369999999999996</v>
      </c>
      <c r="L11" s="418">
        <v>5.7619999999999996</v>
      </c>
      <c r="M11" s="418">
        <v>5.875</v>
      </c>
      <c r="N11" s="418">
        <v>5.9790000000000001</v>
      </c>
      <c r="O11" s="418">
        <v>6.0750000000000002</v>
      </c>
      <c r="P11" s="418">
        <v>6.1639999999999997</v>
      </c>
      <c r="Q11" s="418">
        <v>6.2469999999999999</v>
      </c>
      <c r="R11" s="418">
        <v>6.3250000000000002</v>
      </c>
      <c r="S11" s="418">
        <v>6.3979999999999997</v>
      </c>
      <c r="T11" s="419">
        <v>6.4660000000000002</v>
      </c>
    </row>
    <row r="12" spans="1:20" x14ac:dyDescent="0.25">
      <c r="A12">
        <v>7</v>
      </c>
      <c r="B12" s="417">
        <v>2.6789999999999998</v>
      </c>
      <c r="C12" s="418">
        <v>3.4510000000000001</v>
      </c>
      <c r="D12" s="418">
        <v>3.931</v>
      </c>
      <c r="E12" s="418">
        <v>4.28</v>
      </c>
      <c r="F12" s="418">
        <v>4.5549999999999997</v>
      </c>
      <c r="G12" s="418">
        <v>4.78</v>
      </c>
      <c r="H12" s="418">
        <v>4.9710000000000001</v>
      </c>
      <c r="I12" s="418">
        <v>5.1369999999999996</v>
      </c>
      <c r="J12" s="418">
        <v>5.2830000000000004</v>
      </c>
      <c r="K12" s="418">
        <v>5.4130000000000003</v>
      </c>
      <c r="L12" s="418">
        <v>5.53</v>
      </c>
      <c r="M12" s="418">
        <v>5.6369999999999996</v>
      </c>
      <c r="N12" s="418">
        <v>5.7350000000000003</v>
      </c>
      <c r="O12" s="418">
        <v>5.8259999999999996</v>
      </c>
      <c r="P12" s="418">
        <v>5.91</v>
      </c>
      <c r="Q12" s="418">
        <v>5.9880000000000004</v>
      </c>
      <c r="R12" s="418">
        <v>6.0609999999999999</v>
      </c>
      <c r="S12" s="418">
        <v>6.13</v>
      </c>
      <c r="T12" s="419">
        <v>6.1950000000000003</v>
      </c>
    </row>
    <row r="13" spans="1:20" x14ac:dyDescent="0.25">
      <c r="A13">
        <v>8</v>
      </c>
      <c r="B13" s="417">
        <v>2.63</v>
      </c>
      <c r="C13" s="418">
        <v>3.3740000000000001</v>
      </c>
      <c r="D13" s="418">
        <v>3.8340000000000001</v>
      </c>
      <c r="E13" s="418">
        <v>4.1689999999999996</v>
      </c>
      <c r="F13" s="418">
        <v>4.431</v>
      </c>
      <c r="G13" s="418">
        <v>4.6459999999999999</v>
      </c>
      <c r="H13" s="418">
        <v>4.8289999999999997</v>
      </c>
      <c r="I13" s="418">
        <v>4.9870000000000001</v>
      </c>
      <c r="J13" s="418">
        <v>5.1260000000000003</v>
      </c>
      <c r="K13" s="418">
        <v>5.25</v>
      </c>
      <c r="L13" s="418">
        <v>5.3620000000000001</v>
      </c>
      <c r="M13" s="418">
        <v>5.4640000000000004</v>
      </c>
      <c r="N13" s="418">
        <v>5.5579999999999998</v>
      </c>
      <c r="O13" s="418">
        <v>5.6440000000000001</v>
      </c>
      <c r="P13" s="418">
        <v>5.7240000000000002</v>
      </c>
      <c r="Q13" s="418">
        <v>5.7990000000000004</v>
      </c>
      <c r="R13" s="418">
        <v>5.8689999999999998</v>
      </c>
      <c r="S13" s="418">
        <v>5.9349999999999996</v>
      </c>
      <c r="T13" s="419">
        <v>5.9969999999999999</v>
      </c>
    </row>
    <row r="14" spans="1:20" x14ac:dyDescent="0.25">
      <c r="A14">
        <v>9</v>
      </c>
      <c r="B14" s="417">
        <v>2.5920000000000001</v>
      </c>
      <c r="C14" s="418">
        <v>3.3159999999999998</v>
      </c>
      <c r="D14" s="418">
        <v>3.7610000000000001</v>
      </c>
      <c r="E14" s="418">
        <v>4.0839999999999996</v>
      </c>
      <c r="F14" s="418">
        <v>4.3369999999999997</v>
      </c>
      <c r="G14" s="418">
        <v>4.5449999999999999</v>
      </c>
      <c r="H14" s="418">
        <v>4.7210000000000001</v>
      </c>
      <c r="I14" s="418">
        <v>4.8730000000000002</v>
      </c>
      <c r="J14" s="418">
        <v>5.0069999999999997</v>
      </c>
      <c r="K14" s="418">
        <v>5.1260000000000003</v>
      </c>
      <c r="L14" s="418">
        <v>5.234</v>
      </c>
      <c r="M14" s="418">
        <v>5.3330000000000002</v>
      </c>
      <c r="N14" s="418">
        <v>5.423</v>
      </c>
      <c r="O14" s="418">
        <v>5.5060000000000002</v>
      </c>
      <c r="P14" s="418">
        <v>5.5830000000000002</v>
      </c>
      <c r="Q14" s="418">
        <v>5.6550000000000002</v>
      </c>
      <c r="R14" s="418">
        <v>5.7220000000000004</v>
      </c>
      <c r="S14" s="418">
        <v>5.7859999999999996</v>
      </c>
      <c r="T14" s="419">
        <v>5.8449999999999998</v>
      </c>
    </row>
    <row r="15" spans="1:20" x14ac:dyDescent="0.25">
      <c r="A15">
        <v>10</v>
      </c>
      <c r="B15" s="417">
        <v>2.5630000000000002</v>
      </c>
      <c r="C15" s="418">
        <v>3.27</v>
      </c>
      <c r="D15" s="418">
        <v>3.7040000000000002</v>
      </c>
      <c r="E15" s="418">
        <v>4.0179999999999998</v>
      </c>
      <c r="F15" s="418">
        <v>4.2640000000000002</v>
      </c>
      <c r="G15" s="418">
        <v>4.4649999999999999</v>
      </c>
      <c r="H15" s="418">
        <v>4.6360000000000001</v>
      </c>
      <c r="I15" s="418">
        <v>4.7830000000000004</v>
      </c>
      <c r="J15" s="418">
        <v>4.9130000000000003</v>
      </c>
      <c r="K15" s="418">
        <v>5.0289999999999999</v>
      </c>
      <c r="L15" s="418">
        <v>5.1340000000000003</v>
      </c>
      <c r="M15" s="418">
        <v>5.2290000000000001</v>
      </c>
      <c r="N15" s="418">
        <v>5.3159999999999998</v>
      </c>
      <c r="O15" s="418">
        <v>5.3970000000000002</v>
      </c>
      <c r="P15" s="418">
        <v>5.4720000000000004</v>
      </c>
      <c r="Q15" s="418">
        <v>5.5419999999999998</v>
      </c>
      <c r="R15" s="418">
        <v>5.6070000000000002</v>
      </c>
      <c r="S15" s="418">
        <v>5.6680000000000001</v>
      </c>
      <c r="T15" s="419">
        <v>5.726</v>
      </c>
    </row>
    <row r="16" spans="1:20" x14ac:dyDescent="0.25">
      <c r="A16">
        <v>11</v>
      </c>
      <c r="B16" s="417">
        <v>2.54</v>
      </c>
      <c r="C16" s="418">
        <v>3.234</v>
      </c>
      <c r="D16" s="418">
        <v>3.6579999999999999</v>
      </c>
      <c r="E16" s="418">
        <v>3.9649999999999999</v>
      </c>
      <c r="F16" s="418">
        <v>4.2050000000000001</v>
      </c>
      <c r="G16" s="418">
        <v>4.4009999999999998</v>
      </c>
      <c r="H16" s="418">
        <v>4.5670000000000002</v>
      </c>
      <c r="I16" s="418">
        <v>4.7110000000000003</v>
      </c>
      <c r="J16" s="418">
        <v>4.8380000000000001</v>
      </c>
      <c r="K16" s="418">
        <v>4.9509999999999996</v>
      </c>
      <c r="L16" s="418">
        <v>5.0529999999999999</v>
      </c>
      <c r="M16" s="418">
        <v>5.1449999999999996</v>
      </c>
      <c r="N16" s="418">
        <v>5.2309999999999999</v>
      </c>
      <c r="O16" s="418">
        <v>5.3090000000000002</v>
      </c>
      <c r="P16" s="418">
        <v>5.3819999999999997</v>
      </c>
      <c r="Q16" s="418">
        <v>5.45</v>
      </c>
      <c r="R16" s="418">
        <v>5.5140000000000002</v>
      </c>
      <c r="S16" s="418">
        <v>5.5730000000000004</v>
      </c>
      <c r="T16" s="419">
        <v>5.63</v>
      </c>
    </row>
    <row r="17" spans="1:20" x14ac:dyDescent="0.25">
      <c r="A17">
        <v>12</v>
      </c>
      <c r="B17" s="417">
        <v>2.5209999999999999</v>
      </c>
      <c r="C17" s="418">
        <v>3.2040000000000002</v>
      </c>
      <c r="D17" s="418">
        <v>3.621</v>
      </c>
      <c r="E17" s="418">
        <v>3.9209999999999998</v>
      </c>
      <c r="F17" s="418">
        <v>4.1559999999999997</v>
      </c>
      <c r="G17" s="418">
        <v>4.3490000000000002</v>
      </c>
      <c r="H17" s="418">
        <v>4.5110000000000001</v>
      </c>
      <c r="I17" s="418">
        <v>4.6520000000000001</v>
      </c>
      <c r="J17" s="418">
        <v>4.7759999999999998</v>
      </c>
      <c r="K17" s="418">
        <v>4.8860000000000001</v>
      </c>
      <c r="L17" s="418">
        <v>4.9859999999999998</v>
      </c>
      <c r="M17" s="418">
        <v>5.0759999999999996</v>
      </c>
      <c r="N17" s="418">
        <v>5.16</v>
      </c>
      <c r="O17" s="418">
        <v>5.2359999999999998</v>
      </c>
      <c r="P17" s="418">
        <v>5.3079999999999998</v>
      </c>
      <c r="Q17" s="418">
        <v>5.3739999999999997</v>
      </c>
      <c r="R17" s="418">
        <v>5.4359999999999999</v>
      </c>
      <c r="S17" s="418">
        <v>5.4950000000000001</v>
      </c>
      <c r="T17" s="419">
        <v>5.55</v>
      </c>
    </row>
    <row r="18" spans="1:20" x14ac:dyDescent="0.25">
      <c r="A18">
        <v>13</v>
      </c>
      <c r="B18" s="417">
        <v>2.504</v>
      </c>
      <c r="C18" s="418">
        <v>3.1789999999999998</v>
      </c>
      <c r="D18" s="418">
        <v>3.589</v>
      </c>
      <c r="E18" s="418">
        <v>3.8849999999999998</v>
      </c>
      <c r="F18" s="418">
        <v>4.1159999999999997</v>
      </c>
      <c r="G18" s="418">
        <v>4.3040000000000003</v>
      </c>
      <c r="H18" s="418">
        <v>4.4640000000000004</v>
      </c>
      <c r="I18" s="418">
        <v>4.6020000000000003</v>
      </c>
      <c r="J18" s="418">
        <v>4.7240000000000002</v>
      </c>
      <c r="K18" s="418">
        <v>4.8319999999999999</v>
      </c>
      <c r="L18" s="418">
        <v>4.93</v>
      </c>
      <c r="M18" s="418">
        <v>5.0190000000000001</v>
      </c>
      <c r="N18" s="418">
        <v>5.0999999999999996</v>
      </c>
      <c r="O18" s="418">
        <v>5.1749999999999998</v>
      </c>
      <c r="P18" s="418">
        <v>5.2450000000000001</v>
      </c>
      <c r="Q18" s="418">
        <v>5.31</v>
      </c>
      <c r="R18" s="418">
        <v>5.3710000000000004</v>
      </c>
      <c r="S18" s="418">
        <v>5.4290000000000003</v>
      </c>
      <c r="T18" s="419">
        <v>5.4829999999999997</v>
      </c>
    </row>
    <row r="19" spans="1:20" x14ac:dyDescent="0.25">
      <c r="A19">
        <v>14</v>
      </c>
      <c r="B19" s="417">
        <v>2.4910000000000001</v>
      </c>
      <c r="C19" s="418">
        <v>3.1579999999999999</v>
      </c>
      <c r="D19" s="418">
        <v>3.5630000000000002</v>
      </c>
      <c r="E19" s="418">
        <v>3.8540000000000001</v>
      </c>
      <c r="F19" s="418">
        <v>4.0810000000000004</v>
      </c>
      <c r="G19" s="418">
        <v>4.2670000000000003</v>
      </c>
      <c r="H19" s="418">
        <v>4.4240000000000004</v>
      </c>
      <c r="I19" s="418">
        <v>4.5599999999999996</v>
      </c>
      <c r="J19" s="418">
        <v>4.6790000000000003</v>
      </c>
      <c r="K19" s="418">
        <v>4.7859999999999996</v>
      </c>
      <c r="L19" s="418">
        <v>4.8819999999999997</v>
      </c>
      <c r="M19" s="418">
        <v>4.9690000000000003</v>
      </c>
      <c r="N19" s="418">
        <v>5.05</v>
      </c>
      <c r="O19" s="418">
        <v>5.1239999999999997</v>
      </c>
      <c r="P19" s="418">
        <v>5.1920000000000002</v>
      </c>
      <c r="Q19" s="418">
        <v>5.2560000000000002</v>
      </c>
      <c r="R19" s="418">
        <v>5.3159999999999998</v>
      </c>
      <c r="S19" s="418">
        <v>5.3719999999999999</v>
      </c>
      <c r="T19" s="419">
        <v>5.4260000000000002</v>
      </c>
    </row>
    <row r="20" spans="1:20" x14ac:dyDescent="0.25">
      <c r="A20">
        <v>15</v>
      </c>
      <c r="B20" s="417">
        <v>2.4790000000000001</v>
      </c>
      <c r="C20" s="418">
        <v>3.14</v>
      </c>
      <c r="D20" s="418">
        <v>3.54</v>
      </c>
      <c r="E20" s="418">
        <v>3.8279999999999998</v>
      </c>
      <c r="F20" s="418">
        <v>4.0519999999999996</v>
      </c>
      <c r="G20" s="418">
        <v>4.2350000000000003</v>
      </c>
      <c r="H20" s="418">
        <v>4.3899999999999997</v>
      </c>
      <c r="I20" s="418">
        <v>4.524</v>
      </c>
      <c r="J20" s="418">
        <v>4.641</v>
      </c>
      <c r="K20" s="418">
        <v>4.7460000000000004</v>
      </c>
      <c r="L20" s="418">
        <v>4.8410000000000002</v>
      </c>
      <c r="M20" s="418">
        <v>4.9269999999999996</v>
      </c>
      <c r="N20" s="418">
        <v>5.0060000000000002</v>
      </c>
      <c r="O20" s="418">
        <v>5.0789999999999997</v>
      </c>
      <c r="P20" s="418">
        <v>5.1459999999999999</v>
      </c>
      <c r="Q20" s="418">
        <v>5.2089999999999996</v>
      </c>
      <c r="R20" s="418">
        <v>5.2679999999999998</v>
      </c>
      <c r="S20" s="418">
        <v>5.3239999999999998</v>
      </c>
      <c r="T20" s="419">
        <v>5.3760000000000003</v>
      </c>
    </row>
    <row r="21" spans="1:20" x14ac:dyDescent="0.25">
      <c r="A21">
        <v>16</v>
      </c>
      <c r="B21" s="417">
        <v>2.4689999999999999</v>
      </c>
      <c r="C21" s="418">
        <v>3.1240000000000001</v>
      </c>
      <c r="D21" s="418">
        <v>3.52</v>
      </c>
      <c r="E21" s="418">
        <v>3.8039999999999998</v>
      </c>
      <c r="F21" s="418">
        <v>4.0259999999999998</v>
      </c>
      <c r="G21" s="418">
        <v>4.2069999999999999</v>
      </c>
      <c r="H21" s="418">
        <v>4.3600000000000003</v>
      </c>
      <c r="I21" s="418">
        <v>4.492</v>
      </c>
      <c r="J21" s="418">
        <v>4.6079999999999997</v>
      </c>
      <c r="K21" s="418">
        <v>4.7119999999999997</v>
      </c>
      <c r="L21" s="418">
        <v>4.8049999999999997</v>
      </c>
      <c r="M21" s="418">
        <v>4.8899999999999997</v>
      </c>
      <c r="N21" s="418">
        <v>4.968</v>
      </c>
      <c r="O21" s="418">
        <v>5.04</v>
      </c>
      <c r="P21" s="418">
        <v>5.1059999999999999</v>
      </c>
      <c r="Q21" s="418">
        <v>5.1689999999999996</v>
      </c>
      <c r="R21" s="418">
        <v>5.2270000000000003</v>
      </c>
      <c r="S21" s="418">
        <v>5.282</v>
      </c>
      <c r="T21" s="419">
        <v>5.3330000000000002</v>
      </c>
    </row>
    <row r="22" spans="1:20" x14ac:dyDescent="0.25">
      <c r="A22">
        <v>17</v>
      </c>
      <c r="B22" s="417">
        <v>2.46</v>
      </c>
      <c r="C22" s="418">
        <v>3.11</v>
      </c>
      <c r="D22" s="418">
        <v>3.5030000000000001</v>
      </c>
      <c r="E22" s="418">
        <v>3.7839999999999998</v>
      </c>
      <c r="F22" s="418">
        <v>4.0030000000000001</v>
      </c>
      <c r="G22" s="418">
        <v>4.1820000000000004</v>
      </c>
      <c r="H22" s="418">
        <v>4.3339999999999996</v>
      </c>
      <c r="I22" s="418">
        <v>4.4640000000000004</v>
      </c>
      <c r="J22" s="418">
        <v>4.5789999999999997</v>
      </c>
      <c r="K22" s="418">
        <v>4.681</v>
      </c>
      <c r="L22" s="418">
        <v>4.774</v>
      </c>
      <c r="M22" s="418">
        <v>4.8570000000000002</v>
      </c>
      <c r="N22" s="418">
        <v>4.9340000000000002</v>
      </c>
      <c r="O22" s="418">
        <v>5.0049999999999999</v>
      </c>
      <c r="P22" s="418">
        <v>5.0709999999999997</v>
      </c>
      <c r="Q22" s="418">
        <v>5.133</v>
      </c>
      <c r="R22" s="418">
        <v>5.19</v>
      </c>
      <c r="S22" s="418">
        <v>5.2439999999999998</v>
      </c>
      <c r="T22" s="419">
        <v>5.2949999999999999</v>
      </c>
    </row>
    <row r="23" spans="1:20" x14ac:dyDescent="0.25">
      <c r="A23">
        <v>18</v>
      </c>
      <c r="B23" s="417">
        <v>2.452</v>
      </c>
      <c r="C23" s="418">
        <v>3.0979999999999999</v>
      </c>
      <c r="D23" s="418">
        <v>3.4870000000000001</v>
      </c>
      <c r="E23" s="418">
        <v>3.766</v>
      </c>
      <c r="F23" s="418">
        <v>3.984</v>
      </c>
      <c r="G23" s="418">
        <v>4.1609999999999996</v>
      </c>
      <c r="H23" s="418">
        <v>4.3099999999999996</v>
      </c>
      <c r="I23" s="418">
        <v>4.4400000000000004</v>
      </c>
      <c r="J23" s="418">
        <v>4.5529999999999999</v>
      </c>
      <c r="K23" s="418">
        <v>4.6539999999999999</v>
      </c>
      <c r="L23" s="418">
        <v>4.7460000000000004</v>
      </c>
      <c r="M23" s="418">
        <v>4.8289999999999997</v>
      </c>
      <c r="N23" s="418">
        <v>4.9050000000000002</v>
      </c>
      <c r="O23" s="418">
        <v>4.9749999999999996</v>
      </c>
      <c r="P23" s="418">
        <v>5.04</v>
      </c>
      <c r="Q23" s="418">
        <v>5.101</v>
      </c>
      <c r="R23" s="418">
        <v>5.1580000000000004</v>
      </c>
      <c r="S23" s="418">
        <v>5.2110000000000003</v>
      </c>
      <c r="T23" s="419">
        <v>5.2619999999999996</v>
      </c>
    </row>
    <row r="24" spans="1:20" x14ac:dyDescent="0.25">
      <c r="A24">
        <v>19</v>
      </c>
      <c r="B24" s="417">
        <v>2.4449999999999998</v>
      </c>
      <c r="C24" s="418">
        <v>3.0870000000000002</v>
      </c>
      <c r="D24" s="418">
        <v>3.4740000000000002</v>
      </c>
      <c r="E24" s="418">
        <v>3.7509999999999999</v>
      </c>
      <c r="F24" s="418">
        <v>3.9660000000000002</v>
      </c>
      <c r="G24" s="418">
        <v>4.1420000000000003</v>
      </c>
      <c r="H24" s="418">
        <v>4.29</v>
      </c>
      <c r="I24" s="418">
        <v>4.4180000000000001</v>
      </c>
      <c r="J24" s="418">
        <v>4.53</v>
      </c>
      <c r="K24" s="418">
        <v>4.63</v>
      </c>
      <c r="L24" s="418">
        <v>4.7210000000000001</v>
      </c>
      <c r="M24" s="418">
        <v>4.8029999999999999</v>
      </c>
      <c r="N24" s="418">
        <v>4.8780000000000001</v>
      </c>
      <c r="O24" s="418">
        <v>4.9480000000000004</v>
      </c>
      <c r="P24" s="418">
        <v>5.0119999999999996</v>
      </c>
      <c r="Q24" s="418">
        <v>5.0720000000000001</v>
      </c>
      <c r="R24" s="418">
        <v>5.1289999999999996</v>
      </c>
      <c r="S24" s="418">
        <v>5.1820000000000004</v>
      </c>
      <c r="T24" s="419">
        <v>5.2320000000000002</v>
      </c>
    </row>
    <row r="25" spans="1:20" x14ac:dyDescent="0.25">
      <c r="A25">
        <v>20</v>
      </c>
      <c r="B25" s="417">
        <v>2.4390000000000001</v>
      </c>
      <c r="C25" s="418">
        <v>3.077</v>
      </c>
      <c r="D25" s="418">
        <v>3.4620000000000002</v>
      </c>
      <c r="E25" s="418">
        <v>3.7360000000000002</v>
      </c>
      <c r="F25" s="418">
        <v>3.95</v>
      </c>
      <c r="G25" s="418">
        <v>4.1239999999999997</v>
      </c>
      <c r="H25" s="418">
        <v>4.2709999999999999</v>
      </c>
      <c r="I25" s="418">
        <v>4.3979999999999997</v>
      </c>
      <c r="J25" s="418">
        <v>4.51</v>
      </c>
      <c r="K25" s="418">
        <v>4.609</v>
      </c>
      <c r="L25" s="418">
        <v>4.6989999999999998</v>
      </c>
      <c r="M25" s="418">
        <v>4.78</v>
      </c>
      <c r="N25" s="418">
        <v>4.8550000000000004</v>
      </c>
      <c r="O25" s="418">
        <v>4.923</v>
      </c>
      <c r="P25" s="418">
        <v>4.9870000000000001</v>
      </c>
      <c r="Q25" s="418">
        <v>5.0469999999999997</v>
      </c>
      <c r="R25" s="418">
        <v>5.1029999999999998</v>
      </c>
      <c r="S25" s="418">
        <v>5.1550000000000002</v>
      </c>
      <c r="T25" s="419">
        <v>5.2050000000000001</v>
      </c>
    </row>
    <row r="26" spans="1:20" x14ac:dyDescent="0.25">
      <c r="A26">
        <v>21</v>
      </c>
      <c r="B26" s="417">
        <v>2.4329999999999998</v>
      </c>
      <c r="C26" s="418">
        <v>3.069</v>
      </c>
      <c r="D26" s="418">
        <v>3.4510000000000001</v>
      </c>
      <c r="E26" s="418">
        <v>3.7240000000000002</v>
      </c>
      <c r="F26" s="418">
        <v>3.9359999999999999</v>
      </c>
      <c r="G26" s="418">
        <v>4.109</v>
      </c>
      <c r="H26" s="418">
        <v>4.2549999999999999</v>
      </c>
      <c r="I26" s="418">
        <v>4.38</v>
      </c>
      <c r="J26" s="418">
        <v>4.4909999999999997</v>
      </c>
      <c r="K26" s="418">
        <v>4.59</v>
      </c>
      <c r="L26" s="418">
        <v>4.6779999999999999</v>
      </c>
      <c r="M26" s="418">
        <v>4.7590000000000003</v>
      </c>
      <c r="N26" s="418">
        <v>4.8330000000000002</v>
      </c>
      <c r="O26" s="418">
        <v>4.9009999999999998</v>
      </c>
      <c r="P26" s="418">
        <v>4.9649999999999999</v>
      </c>
      <c r="Q26" s="418">
        <v>5.024</v>
      </c>
      <c r="R26" s="418">
        <v>5.0789999999999997</v>
      </c>
      <c r="S26" s="418">
        <v>5.1310000000000002</v>
      </c>
      <c r="T26" s="419">
        <v>5.18</v>
      </c>
    </row>
    <row r="27" spans="1:20" x14ac:dyDescent="0.25">
      <c r="A27">
        <v>22</v>
      </c>
      <c r="B27" s="417">
        <v>2.4279999999999999</v>
      </c>
      <c r="C27" s="418">
        <v>3.0609999999999999</v>
      </c>
      <c r="D27" s="418">
        <v>3.4409999999999998</v>
      </c>
      <c r="E27" s="418">
        <v>3.7120000000000002</v>
      </c>
      <c r="F27" s="418">
        <v>3.923</v>
      </c>
      <c r="G27" s="418">
        <v>4.0949999999999998</v>
      </c>
      <c r="H27" s="418">
        <v>4.2389999999999999</v>
      </c>
      <c r="I27" s="418">
        <v>4.3639999999999999</v>
      </c>
      <c r="J27" s="418">
        <v>4.4740000000000002</v>
      </c>
      <c r="K27" s="418">
        <v>4.5720000000000001</v>
      </c>
      <c r="L27" s="418">
        <v>4.66</v>
      </c>
      <c r="M27" s="418">
        <v>4.74</v>
      </c>
      <c r="N27" s="418">
        <v>4.8140000000000001</v>
      </c>
      <c r="O27" s="418">
        <v>4.8819999999999997</v>
      </c>
      <c r="P27" s="418">
        <v>4.944</v>
      </c>
      <c r="Q27" s="418">
        <v>5.0030000000000001</v>
      </c>
      <c r="R27" s="418">
        <v>5.0579999999999998</v>
      </c>
      <c r="S27" s="418">
        <v>5.109</v>
      </c>
      <c r="T27" s="419">
        <v>5.1580000000000004</v>
      </c>
    </row>
    <row r="28" spans="1:20" x14ac:dyDescent="0.25">
      <c r="A28">
        <v>23</v>
      </c>
      <c r="B28" s="417">
        <v>2.4239999999999999</v>
      </c>
      <c r="C28" s="418">
        <v>3.0539999999999998</v>
      </c>
      <c r="D28" s="418">
        <v>3.4319999999999999</v>
      </c>
      <c r="E28" s="418">
        <v>3.7010000000000001</v>
      </c>
      <c r="F28" s="418">
        <v>3.911</v>
      </c>
      <c r="G28" s="418">
        <v>4.0819999999999999</v>
      </c>
      <c r="H28" s="418">
        <v>4.226</v>
      </c>
      <c r="I28" s="418">
        <v>4.3499999999999996</v>
      </c>
      <c r="J28" s="418">
        <v>4.4589999999999996</v>
      </c>
      <c r="K28" s="418">
        <v>4.556</v>
      </c>
      <c r="L28" s="418">
        <v>4.6440000000000001</v>
      </c>
      <c r="M28" s="418">
        <v>4.7229999999999999</v>
      </c>
      <c r="N28" s="418">
        <v>4.7960000000000003</v>
      </c>
      <c r="O28" s="418">
        <v>4.8630000000000004</v>
      </c>
      <c r="P28" s="418">
        <v>4.9260000000000002</v>
      </c>
      <c r="Q28" s="418">
        <v>4.984</v>
      </c>
      <c r="R28" s="418">
        <v>5.0380000000000003</v>
      </c>
      <c r="S28" s="418">
        <v>5.0890000000000004</v>
      </c>
      <c r="T28" s="419">
        <v>5.1379999999999999</v>
      </c>
    </row>
    <row r="29" spans="1:20" x14ac:dyDescent="0.25">
      <c r="A29">
        <v>24</v>
      </c>
      <c r="B29" s="417">
        <v>2.42</v>
      </c>
      <c r="C29" s="418">
        <v>3.0470000000000002</v>
      </c>
      <c r="D29" s="418">
        <v>3.423</v>
      </c>
      <c r="E29" s="418">
        <v>3.6920000000000002</v>
      </c>
      <c r="F29" s="418">
        <v>3.9</v>
      </c>
      <c r="G29" s="418">
        <v>4.07</v>
      </c>
      <c r="H29" s="418">
        <v>4.2130000000000001</v>
      </c>
      <c r="I29" s="418">
        <v>4.3360000000000003</v>
      </c>
      <c r="J29" s="418">
        <v>4.4450000000000003</v>
      </c>
      <c r="K29" s="418">
        <v>4.5410000000000004</v>
      </c>
      <c r="L29" s="418">
        <v>4.6280000000000001</v>
      </c>
      <c r="M29" s="418">
        <v>4.7069999999999999</v>
      </c>
      <c r="N29" s="418">
        <v>4.78</v>
      </c>
      <c r="O29" s="418">
        <v>4.8470000000000004</v>
      </c>
      <c r="P29" s="418">
        <v>4.9089999999999998</v>
      </c>
      <c r="Q29" s="418">
        <v>4.9660000000000002</v>
      </c>
      <c r="R29" s="418">
        <v>5.0199999999999996</v>
      </c>
      <c r="S29" s="418">
        <v>5.0709999999999997</v>
      </c>
      <c r="T29" s="419">
        <v>5.1189999999999998</v>
      </c>
    </row>
    <row r="30" spans="1:20" x14ac:dyDescent="0.25">
      <c r="A30">
        <v>25</v>
      </c>
      <c r="B30" s="417">
        <v>2.4159999999999999</v>
      </c>
      <c r="C30" s="418">
        <v>3.0409999999999999</v>
      </c>
      <c r="D30" s="418">
        <v>3.4159999999999999</v>
      </c>
      <c r="E30" s="418">
        <v>3.6829999999999998</v>
      </c>
      <c r="F30" s="418">
        <v>3.89</v>
      </c>
      <c r="G30" s="418">
        <v>4.0590000000000002</v>
      </c>
      <c r="H30" s="418">
        <v>4.2009999999999996</v>
      </c>
      <c r="I30" s="418">
        <v>4.3239999999999998</v>
      </c>
      <c r="J30" s="418">
        <v>4.4320000000000004</v>
      </c>
      <c r="K30" s="418">
        <v>4.5279999999999996</v>
      </c>
      <c r="L30" s="418">
        <v>4.6139999999999999</v>
      </c>
      <c r="M30" s="418">
        <v>4.6929999999999996</v>
      </c>
      <c r="N30" s="418">
        <v>4.7649999999999997</v>
      </c>
      <c r="O30" s="418">
        <v>4.8310000000000004</v>
      </c>
      <c r="P30" s="418">
        <v>4.8929999999999998</v>
      </c>
      <c r="Q30" s="418">
        <v>4.95</v>
      </c>
      <c r="R30" s="418">
        <v>5.0039999999999996</v>
      </c>
      <c r="S30" s="418">
        <v>5.0549999999999997</v>
      </c>
      <c r="T30" s="419">
        <v>5.1020000000000003</v>
      </c>
    </row>
    <row r="31" spans="1:20" x14ac:dyDescent="0.25">
      <c r="A31">
        <v>26</v>
      </c>
      <c r="B31" s="417">
        <v>2.4119999999999999</v>
      </c>
      <c r="C31" s="418">
        <v>3.036</v>
      </c>
      <c r="D31" s="418">
        <v>3.4089999999999998</v>
      </c>
      <c r="E31" s="418">
        <v>3.6749999999999998</v>
      </c>
      <c r="F31" s="418">
        <v>3.8809999999999998</v>
      </c>
      <c r="G31" s="418">
        <v>4.0490000000000004</v>
      </c>
      <c r="H31" s="418">
        <v>4.1909999999999998</v>
      </c>
      <c r="I31" s="418">
        <v>4.3129999999999997</v>
      </c>
      <c r="J31" s="418">
        <v>4.42</v>
      </c>
      <c r="K31" s="418">
        <v>4.5149999999999997</v>
      </c>
      <c r="L31" s="418">
        <v>4.601</v>
      </c>
      <c r="M31" s="418">
        <v>4.68</v>
      </c>
      <c r="N31" s="418">
        <v>4.7510000000000003</v>
      </c>
      <c r="O31" s="418">
        <v>4.8170000000000002</v>
      </c>
      <c r="P31" s="418">
        <v>4.8780000000000001</v>
      </c>
      <c r="Q31" s="418">
        <v>4.9359999999999999</v>
      </c>
      <c r="R31" s="418">
        <v>4.9889999999999999</v>
      </c>
      <c r="S31" s="418">
        <v>5.0389999999999997</v>
      </c>
      <c r="T31" s="419">
        <v>5.0860000000000003</v>
      </c>
    </row>
    <row r="32" spans="1:20" x14ac:dyDescent="0.25">
      <c r="A32">
        <v>27</v>
      </c>
      <c r="B32" s="417">
        <v>2.4089999999999998</v>
      </c>
      <c r="C32" s="418">
        <v>3.03</v>
      </c>
      <c r="D32" s="418">
        <v>3.4020000000000001</v>
      </c>
      <c r="E32" s="418">
        <v>3.6669999999999998</v>
      </c>
      <c r="F32" s="418">
        <v>3.8730000000000002</v>
      </c>
      <c r="G32" s="418">
        <v>4.04</v>
      </c>
      <c r="H32" s="418">
        <v>4.181</v>
      </c>
      <c r="I32" s="418">
        <v>4.3019999999999996</v>
      </c>
      <c r="J32" s="418">
        <v>4.4089999999999998</v>
      </c>
      <c r="K32" s="418">
        <v>4.5039999999999996</v>
      </c>
      <c r="L32" s="418">
        <v>4.59</v>
      </c>
      <c r="M32" s="418">
        <v>4.6669999999999998</v>
      </c>
      <c r="N32" s="418">
        <v>4.7389999999999999</v>
      </c>
      <c r="O32" s="418">
        <v>4.8040000000000003</v>
      </c>
      <c r="P32" s="418">
        <v>4.8650000000000002</v>
      </c>
      <c r="Q32" s="418">
        <v>4.9219999999999997</v>
      </c>
      <c r="R32" s="418">
        <v>4.9749999999999996</v>
      </c>
      <c r="S32" s="418">
        <v>5.0250000000000004</v>
      </c>
      <c r="T32" s="419">
        <v>5.0720000000000001</v>
      </c>
    </row>
    <row r="33" spans="1:20" x14ac:dyDescent="0.25">
      <c r="A33">
        <v>28</v>
      </c>
      <c r="B33" s="417">
        <v>2.4060000000000001</v>
      </c>
      <c r="C33" s="418">
        <v>3.0259999999999998</v>
      </c>
      <c r="D33" s="418">
        <v>3.3959999999999999</v>
      </c>
      <c r="E33" s="418">
        <v>3.66</v>
      </c>
      <c r="F33" s="418">
        <v>3.8650000000000002</v>
      </c>
      <c r="G33" s="418">
        <v>4.032</v>
      </c>
      <c r="H33" s="418">
        <v>4.1719999999999997</v>
      </c>
      <c r="I33" s="418">
        <v>4.2930000000000001</v>
      </c>
      <c r="J33" s="418">
        <v>4.399</v>
      </c>
      <c r="K33" s="418">
        <v>4.4930000000000003</v>
      </c>
      <c r="L33" s="418">
        <v>4.5789999999999997</v>
      </c>
      <c r="M33" s="418">
        <v>4.6559999999999997</v>
      </c>
      <c r="N33" s="418">
        <v>4.7270000000000003</v>
      </c>
      <c r="O33" s="418">
        <v>4.7919999999999998</v>
      </c>
      <c r="P33" s="418">
        <v>4.8529999999999998</v>
      </c>
      <c r="Q33" s="418">
        <v>4.9089999999999998</v>
      </c>
      <c r="R33" s="418">
        <v>4.9619999999999997</v>
      </c>
      <c r="S33" s="418">
        <v>5.0119999999999996</v>
      </c>
      <c r="T33" s="419">
        <v>5.0579999999999998</v>
      </c>
    </row>
    <row r="34" spans="1:20" x14ac:dyDescent="0.25">
      <c r="A34">
        <v>29</v>
      </c>
      <c r="B34" s="417">
        <v>2.403</v>
      </c>
      <c r="C34" s="418">
        <v>3.0209999999999999</v>
      </c>
      <c r="D34" s="418">
        <v>3.391</v>
      </c>
      <c r="E34" s="418">
        <v>3.6539999999999999</v>
      </c>
      <c r="F34" s="418">
        <v>3.8580000000000001</v>
      </c>
      <c r="G34" s="418">
        <v>4.024</v>
      </c>
      <c r="H34" s="418">
        <v>4.1630000000000003</v>
      </c>
      <c r="I34" s="418">
        <v>4.2839999999999998</v>
      </c>
      <c r="J34" s="418">
        <v>4.3890000000000002</v>
      </c>
      <c r="K34" s="418">
        <v>4.484</v>
      </c>
      <c r="L34" s="418">
        <v>4.5679999999999996</v>
      </c>
      <c r="M34" s="418">
        <v>4.6449999999999996</v>
      </c>
      <c r="N34" s="418">
        <v>4.7160000000000002</v>
      </c>
      <c r="O34" s="418">
        <v>4.7809999999999997</v>
      </c>
      <c r="P34" s="418">
        <v>4.8410000000000002</v>
      </c>
      <c r="Q34" s="418">
        <v>4.8970000000000002</v>
      </c>
      <c r="R34" s="418">
        <v>4.95</v>
      </c>
      <c r="S34" s="418">
        <v>4.9989999999999997</v>
      </c>
      <c r="T34" s="419">
        <v>5.0460000000000003</v>
      </c>
    </row>
    <row r="35" spans="1:20" x14ac:dyDescent="0.25">
      <c r="A35">
        <v>30</v>
      </c>
      <c r="B35" s="417">
        <v>2.4</v>
      </c>
      <c r="C35" s="418">
        <v>3.0169999999999999</v>
      </c>
      <c r="D35" s="418">
        <v>3.3860000000000001</v>
      </c>
      <c r="E35" s="418">
        <v>3.6480000000000001</v>
      </c>
      <c r="F35" s="418">
        <v>3.851</v>
      </c>
      <c r="G35" s="418">
        <v>4.016</v>
      </c>
      <c r="H35" s="418">
        <v>4.1550000000000002</v>
      </c>
      <c r="I35" s="418">
        <v>4.2750000000000004</v>
      </c>
      <c r="J35" s="418">
        <v>4.3810000000000002</v>
      </c>
      <c r="K35" s="418">
        <v>4.4740000000000002</v>
      </c>
      <c r="L35" s="418">
        <v>4.5590000000000002</v>
      </c>
      <c r="M35" s="418">
        <v>4.6349999999999998</v>
      </c>
      <c r="N35" s="418">
        <v>4.7060000000000004</v>
      </c>
      <c r="O35" s="418">
        <v>4.7699999999999996</v>
      </c>
      <c r="P35" s="418">
        <v>4.83</v>
      </c>
      <c r="Q35" s="418">
        <v>4.8860000000000001</v>
      </c>
      <c r="R35" s="418">
        <v>4.9390000000000001</v>
      </c>
      <c r="S35" s="418">
        <v>4.9880000000000004</v>
      </c>
      <c r="T35" s="419">
        <v>5.0339999999999998</v>
      </c>
    </row>
    <row r="36" spans="1:20" x14ac:dyDescent="0.25">
      <c r="A36">
        <v>31</v>
      </c>
      <c r="B36" s="417">
        <v>2.3980000000000001</v>
      </c>
      <c r="C36" s="418">
        <v>3.0129999999999999</v>
      </c>
      <c r="D36" s="418">
        <v>3.3809999999999998</v>
      </c>
      <c r="E36" s="418">
        <v>3.6419999999999999</v>
      </c>
      <c r="F36" s="418">
        <v>3.8450000000000002</v>
      </c>
      <c r="G36" s="418">
        <v>4.0090000000000003</v>
      </c>
      <c r="H36" s="418">
        <v>4.1479999999999997</v>
      </c>
      <c r="I36" s="418">
        <v>4.2679999999999998</v>
      </c>
      <c r="J36" s="418">
        <v>4.3719999999999999</v>
      </c>
      <c r="K36" s="418">
        <v>4.4660000000000002</v>
      </c>
      <c r="L36" s="418">
        <v>4.55</v>
      </c>
      <c r="M36" s="418">
        <v>4.6260000000000003</v>
      </c>
      <c r="N36" s="418">
        <v>4.6959999999999997</v>
      </c>
      <c r="O36" s="418">
        <v>4.76</v>
      </c>
      <c r="P36" s="418">
        <v>4.82</v>
      </c>
      <c r="Q36" s="418">
        <v>4.8760000000000003</v>
      </c>
      <c r="R36" s="418">
        <v>4.9279999999999999</v>
      </c>
      <c r="S36" s="418">
        <v>4.9770000000000003</v>
      </c>
      <c r="T36" s="419">
        <v>5.0229999999999997</v>
      </c>
    </row>
    <row r="37" spans="1:20" x14ac:dyDescent="0.25">
      <c r="A37">
        <v>32</v>
      </c>
      <c r="B37" s="417">
        <v>2.3959999999999999</v>
      </c>
      <c r="C37" s="418">
        <v>3.01</v>
      </c>
      <c r="D37" s="418">
        <v>3.3759999999999999</v>
      </c>
      <c r="E37" s="418">
        <v>3.637</v>
      </c>
      <c r="F37" s="418">
        <v>3.839</v>
      </c>
      <c r="G37" s="418">
        <v>4.0030000000000001</v>
      </c>
      <c r="H37" s="418">
        <v>4.141</v>
      </c>
      <c r="I37" s="418">
        <v>4.26</v>
      </c>
      <c r="J37" s="418">
        <v>4.3650000000000002</v>
      </c>
      <c r="K37" s="418">
        <v>4.4580000000000002</v>
      </c>
      <c r="L37" s="418">
        <v>4.5410000000000004</v>
      </c>
      <c r="M37" s="418">
        <v>4.617</v>
      </c>
      <c r="N37" s="418">
        <v>4.6870000000000003</v>
      </c>
      <c r="O37" s="418">
        <v>4.7510000000000003</v>
      </c>
      <c r="P37" s="418">
        <v>4.8109999999999999</v>
      </c>
      <c r="Q37" s="418">
        <v>4.8659999999999997</v>
      </c>
      <c r="R37" s="418">
        <v>4.9180000000000001</v>
      </c>
      <c r="S37" s="418">
        <v>4.9669999999999996</v>
      </c>
      <c r="T37" s="419">
        <v>5.0129999999999999</v>
      </c>
    </row>
    <row r="38" spans="1:20" x14ac:dyDescent="0.25">
      <c r="A38">
        <v>33</v>
      </c>
      <c r="B38" s="417">
        <v>2.3929999999999998</v>
      </c>
      <c r="C38" s="418">
        <v>3.0059999999999998</v>
      </c>
      <c r="D38" s="418">
        <v>3.3719999999999999</v>
      </c>
      <c r="E38" s="418">
        <v>3.6320000000000001</v>
      </c>
      <c r="F38" s="418">
        <v>3.8330000000000002</v>
      </c>
      <c r="G38" s="418">
        <v>3.9969999999999999</v>
      </c>
      <c r="H38" s="418">
        <v>4.1349999999999998</v>
      </c>
      <c r="I38" s="418">
        <v>4.2530000000000001</v>
      </c>
      <c r="J38" s="418">
        <v>4.3570000000000002</v>
      </c>
      <c r="K38" s="418">
        <v>4.45</v>
      </c>
      <c r="L38" s="418">
        <v>4.5330000000000004</v>
      </c>
      <c r="M38" s="418">
        <v>4.609</v>
      </c>
      <c r="N38" s="418">
        <v>4.6790000000000003</v>
      </c>
      <c r="O38" s="418">
        <v>4.7430000000000003</v>
      </c>
      <c r="P38" s="418">
        <v>4.8019999999999996</v>
      </c>
      <c r="Q38" s="418">
        <v>4.8570000000000002</v>
      </c>
      <c r="R38" s="418">
        <v>4.9089999999999998</v>
      </c>
      <c r="S38" s="418">
        <v>4.9569999999999999</v>
      </c>
      <c r="T38" s="419">
        <v>5.0030000000000001</v>
      </c>
    </row>
    <row r="39" spans="1:20" x14ac:dyDescent="0.25">
      <c r="A39">
        <v>34</v>
      </c>
      <c r="B39" s="417">
        <v>2.391</v>
      </c>
      <c r="C39" s="418">
        <v>3.0030000000000001</v>
      </c>
      <c r="D39" s="418">
        <v>3.3679999999999999</v>
      </c>
      <c r="E39" s="418">
        <v>3.6269999999999998</v>
      </c>
      <c r="F39" s="418">
        <v>3.8279999999999998</v>
      </c>
      <c r="G39" s="418">
        <v>3.9910000000000001</v>
      </c>
      <c r="H39" s="418">
        <v>4.1289999999999996</v>
      </c>
      <c r="I39" s="418">
        <v>4.2469999999999999</v>
      </c>
      <c r="J39" s="418">
        <v>4.351</v>
      </c>
      <c r="K39" s="418">
        <v>4.4429999999999996</v>
      </c>
      <c r="L39" s="418">
        <v>4.5259999999999998</v>
      </c>
      <c r="M39" s="418">
        <v>4.6020000000000003</v>
      </c>
      <c r="N39" s="418">
        <v>4.6710000000000003</v>
      </c>
      <c r="O39" s="418">
        <v>4.734</v>
      </c>
      <c r="P39" s="418">
        <v>4.7939999999999996</v>
      </c>
      <c r="Q39" s="418">
        <v>4.8490000000000002</v>
      </c>
      <c r="R39" s="418">
        <v>4.9000000000000004</v>
      </c>
      <c r="S39" s="418">
        <v>4.9489999999999998</v>
      </c>
      <c r="T39" s="419">
        <v>4.9939999999999998</v>
      </c>
    </row>
    <row r="40" spans="1:20" x14ac:dyDescent="0.25">
      <c r="A40">
        <v>35</v>
      </c>
      <c r="B40" s="417">
        <v>2.3889999999999998</v>
      </c>
      <c r="C40" s="418">
        <v>3</v>
      </c>
      <c r="D40" s="418">
        <v>3.3639999999999999</v>
      </c>
      <c r="E40" s="418">
        <v>3.6230000000000002</v>
      </c>
      <c r="F40" s="418">
        <v>3.823</v>
      </c>
      <c r="G40" s="418">
        <v>3.9860000000000002</v>
      </c>
      <c r="H40" s="418">
        <v>4.1230000000000002</v>
      </c>
      <c r="I40" s="418">
        <v>4.2409999999999997</v>
      </c>
      <c r="J40" s="418">
        <v>4.3440000000000003</v>
      </c>
      <c r="K40" s="418">
        <v>4.4359999999999999</v>
      </c>
      <c r="L40" s="418">
        <v>4.5190000000000001</v>
      </c>
      <c r="M40" s="418">
        <v>4.5940000000000003</v>
      </c>
      <c r="N40" s="418">
        <v>4.6630000000000003</v>
      </c>
      <c r="O40" s="418">
        <v>4.7270000000000003</v>
      </c>
      <c r="P40" s="418">
        <v>4.7859999999999996</v>
      </c>
      <c r="Q40" s="418">
        <v>4.8410000000000002</v>
      </c>
      <c r="R40" s="418">
        <v>4.8920000000000003</v>
      </c>
      <c r="S40" s="418">
        <v>4.9400000000000004</v>
      </c>
      <c r="T40" s="419">
        <v>4.9859999999999998</v>
      </c>
    </row>
    <row r="41" spans="1:20" x14ac:dyDescent="0.25">
      <c r="A41">
        <v>36</v>
      </c>
      <c r="B41" s="417">
        <v>2.3879999999999999</v>
      </c>
      <c r="C41" s="418">
        <v>2.9980000000000002</v>
      </c>
      <c r="D41" s="418">
        <v>3.3610000000000002</v>
      </c>
      <c r="E41" s="418">
        <v>3.6190000000000002</v>
      </c>
      <c r="F41" s="418">
        <v>3.819</v>
      </c>
      <c r="G41" s="418">
        <v>3.9809999999999999</v>
      </c>
      <c r="H41" s="418">
        <v>4.117</v>
      </c>
      <c r="I41" s="418">
        <v>4.2350000000000003</v>
      </c>
      <c r="J41" s="418">
        <v>4.3380000000000001</v>
      </c>
      <c r="K41" s="418">
        <v>4.43</v>
      </c>
      <c r="L41" s="418">
        <v>4.5119999999999996</v>
      </c>
      <c r="M41" s="418">
        <v>4.5880000000000001</v>
      </c>
      <c r="N41" s="418">
        <v>4.6559999999999997</v>
      </c>
      <c r="O41" s="418">
        <v>4.72</v>
      </c>
      <c r="P41" s="418">
        <v>4.7779999999999996</v>
      </c>
      <c r="Q41" s="418">
        <v>4.8330000000000002</v>
      </c>
      <c r="R41" s="418">
        <v>4.8840000000000003</v>
      </c>
      <c r="S41" s="418">
        <v>4.9320000000000004</v>
      </c>
      <c r="T41" s="419">
        <v>4.9779999999999998</v>
      </c>
    </row>
    <row r="42" spans="1:20" x14ac:dyDescent="0.25">
      <c r="A42">
        <v>37</v>
      </c>
      <c r="B42" s="417">
        <v>2.3860000000000001</v>
      </c>
      <c r="C42" s="418">
        <v>2.9950000000000001</v>
      </c>
      <c r="D42" s="418">
        <v>3.3570000000000002</v>
      </c>
      <c r="E42" s="418">
        <v>3.6150000000000002</v>
      </c>
      <c r="F42" s="418">
        <v>3.8140000000000001</v>
      </c>
      <c r="G42" s="418">
        <v>3.976</v>
      </c>
      <c r="H42" s="418">
        <v>4.1120000000000001</v>
      </c>
      <c r="I42" s="418">
        <v>4.2300000000000004</v>
      </c>
      <c r="J42" s="418">
        <v>4.3319999999999999</v>
      </c>
      <c r="K42" s="418">
        <v>4.4240000000000004</v>
      </c>
      <c r="L42" s="418">
        <v>4.5060000000000002</v>
      </c>
      <c r="M42" s="418">
        <v>4.5810000000000004</v>
      </c>
      <c r="N42" s="418">
        <v>4.6500000000000004</v>
      </c>
      <c r="O42" s="418">
        <v>4.7130000000000001</v>
      </c>
      <c r="P42" s="418">
        <v>4.7709999999999999</v>
      </c>
      <c r="Q42" s="418">
        <v>4.8259999999999996</v>
      </c>
      <c r="R42" s="418">
        <v>4.8769999999999998</v>
      </c>
      <c r="S42" s="418">
        <v>4.9249999999999998</v>
      </c>
      <c r="T42" s="419">
        <v>4.97</v>
      </c>
    </row>
    <row r="43" spans="1:20" x14ac:dyDescent="0.25">
      <c r="A43">
        <v>38</v>
      </c>
      <c r="B43" s="417">
        <v>2.3839999999999999</v>
      </c>
      <c r="C43" s="418">
        <v>2.992</v>
      </c>
      <c r="D43" s="418">
        <v>3.3540000000000001</v>
      </c>
      <c r="E43" s="418">
        <v>3.6110000000000002</v>
      </c>
      <c r="F43" s="418">
        <v>3.81</v>
      </c>
      <c r="G43" s="418">
        <v>3.972</v>
      </c>
      <c r="H43" s="418">
        <v>4.1070000000000002</v>
      </c>
      <c r="I43" s="418">
        <v>4.2240000000000002</v>
      </c>
      <c r="J43" s="418">
        <v>4.327</v>
      </c>
      <c r="K43" s="418">
        <v>4.4180000000000001</v>
      </c>
      <c r="L43" s="418">
        <v>4.5</v>
      </c>
      <c r="M43" s="418">
        <v>4.5750000000000002</v>
      </c>
      <c r="N43" s="418">
        <v>4.6429999999999998</v>
      </c>
      <c r="O43" s="418">
        <v>4.7060000000000004</v>
      </c>
      <c r="P43" s="418">
        <v>4.7649999999999997</v>
      </c>
      <c r="Q43" s="418">
        <v>4.819</v>
      </c>
      <c r="R43" s="418">
        <v>4.87</v>
      </c>
      <c r="S43" s="418">
        <v>4.9180000000000001</v>
      </c>
      <c r="T43" s="419">
        <v>4.9630000000000001</v>
      </c>
    </row>
    <row r="44" spans="1:20" x14ac:dyDescent="0.25">
      <c r="A44">
        <v>39</v>
      </c>
      <c r="B44" s="417">
        <v>2.383</v>
      </c>
      <c r="C44" s="418">
        <v>2.99</v>
      </c>
      <c r="D44" s="418">
        <v>3.351</v>
      </c>
      <c r="E44" s="418">
        <v>3.6080000000000001</v>
      </c>
      <c r="F44" s="418">
        <v>3.806</v>
      </c>
      <c r="G44" s="418">
        <v>3.9670000000000001</v>
      </c>
      <c r="H44" s="418">
        <v>4.1029999999999998</v>
      </c>
      <c r="I44" s="418">
        <v>4.22</v>
      </c>
      <c r="J44" s="418">
        <v>4.3220000000000001</v>
      </c>
      <c r="K44" s="418">
        <v>4.4130000000000003</v>
      </c>
      <c r="L44" s="418">
        <v>4.4950000000000001</v>
      </c>
      <c r="M44" s="418">
        <v>4.569</v>
      </c>
      <c r="N44" s="418">
        <v>4.6369999999999996</v>
      </c>
      <c r="O44" s="418">
        <v>4.7</v>
      </c>
      <c r="P44" s="418">
        <v>4.758</v>
      </c>
      <c r="Q44" s="418">
        <v>4.8120000000000003</v>
      </c>
      <c r="R44" s="418">
        <v>4.8630000000000004</v>
      </c>
      <c r="S44" s="418">
        <v>4.9109999999999996</v>
      </c>
      <c r="T44" s="419">
        <v>4.9560000000000004</v>
      </c>
    </row>
    <row r="45" spans="1:20" x14ac:dyDescent="0.25">
      <c r="A45">
        <v>40</v>
      </c>
      <c r="B45" s="417">
        <v>2.3809999999999998</v>
      </c>
      <c r="C45" s="418">
        <v>2.988</v>
      </c>
      <c r="D45" s="418">
        <v>3.3479999999999999</v>
      </c>
      <c r="E45" s="418">
        <v>3.605</v>
      </c>
      <c r="F45" s="418">
        <v>3.802</v>
      </c>
      <c r="G45" s="418">
        <v>3.9630000000000001</v>
      </c>
      <c r="H45" s="418">
        <v>4.0990000000000002</v>
      </c>
      <c r="I45" s="418">
        <v>4.2149999999999999</v>
      </c>
      <c r="J45" s="418">
        <v>4.3170000000000002</v>
      </c>
      <c r="K45" s="418">
        <v>4.4080000000000004</v>
      </c>
      <c r="L45" s="418">
        <v>4.49</v>
      </c>
      <c r="M45" s="418">
        <v>4.5640000000000001</v>
      </c>
      <c r="N45" s="418">
        <v>4.6319999999999997</v>
      </c>
      <c r="O45" s="418">
        <v>4.694</v>
      </c>
      <c r="P45" s="418">
        <v>4.7519999999999998</v>
      </c>
      <c r="Q45" s="418">
        <v>4.806</v>
      </c>
      <c r="R45" s="418">
        <v>4.8570000000000002</v>
      </c>
      <c r="S45" s="418">
        <v>4.9039999999999999</v>
      </c>
      <c r="T45" s="419">
        <v>4.9489999999999998</v>
      </c>
    </row>
    <row r="46" spans="1:20" x14ac:dyDescent="0.25">
      <c r="A46">
        <v>48</v>
      </c>
      <c r="B46" s="417">
        <v>2.3719999999999999</v>
      </c>
      <c r="C46" s="418">
        <v>2.9729999999999999</v>
      </c>
      <c r="D46" s="418">
        <v>3.33</v>
      </c>
      <c r="E46" s="418">
        <v>3.5830000000000002</v>
      </c>
      <c r="F46" s="418">
        <v>3.778</v>
      </c>
      <c r="G46" s="418">
        <v>3.9369999999999998</v>
      </c>
      <c r="H46" s="418">
        <v>4.07</v>
      </c>
      <c r="I46" s="418">
        <v>4.1849999999999996</v>
      </c>
      <c r="J46" s="418">
        <v>4.2850000000000001</v>
      </c>
      <c r="K46" s="418">
        <v>4.375</v>
      </c>
      <c r="L46" s="418">
        <v>4.4550000000000001</v>
      </c>
      <c r="M46" s="418">
        <v>4.5279999999999996</v>
      </c>
      <c r="N46" s="418">
        <v>4.5949999999999998</v>
      </c>
      <c r="O46" s="418">
        <v>4.6559999999999997</v>
      </c>
      <c r="P46" s="418">
        <v>4.7130000000000001</v>
      </c>
      <c r="Q46" s="418">
        <v>4.766</v>
      </c>
      <c r="R46" s="418">
        <v>4.8159999999999998</v>
      </c>
      <c r="S46" s="418">
        <v>4.8630000000000004</v>
      </c>
      <c r="T46" s="419">
        <v>4.907</v>
      </c>
    </row>
    <row r="47" spans="1:20" x14ac:dyDescent="0.25">
      <c r="A47">
        <v>60</v>
      </c>
      <c r="B47" s="417">
        <v>2.363</v>
      </c>
      <c r="C47" s="418">
        <v>2.9590000000000001</v>
      </c>
      <c r="D47" s="418">
        <v>3.3119999999999998</v>
      </c>
      <c r="E47" s="418">
        <v>3.5619999999999998</v>
      </c>
      <c r="F47" s="418">
        <v>3.7549999999999999</v>
      </c>
      <c r="G47" s="418">
        <v>3.911</v>
      </c>
      <c r="H47" s="418">
        <v>4.0419999999999998</v>
      </c>
      <c r="I47" s="418">
        <v>4.1550000000000002</v>
      </c>
      <c r="J47" s="418">
        <v>4.2539999999999996</v>
      </c>
      <c r="K47" s="418">
        <v>4.3419999999999996</v>
      </c>
      <c r="L47" s="418">
        <v>4.4210000000000003</v>
      </c>
      <c r="M47" s="418">
        <v>4.4930000000000003</v>
      </c>
      <c r="N47" s="418">
        <v>4.5579999999999998</v>
      </c>
      <c r="O47" s="418">
        <v>4.6189999999999998</v>
      </c>
      <c r="P47" s="418">
        <v>4.6749999999999998</v>
      </c>
      <c r="Q47" s="418">
        <v>4.7270000000000003</v>
      </c>
      <c r="R47" s="418">
        <v>4.7750000000000004</v>
      </c>
      <c r="S47" s="418">
        <v>4.8209999999999997</v>
      </c>
      <c r="T47" s="419">
        <v>4.8639999999999999</v>
      </c>
    </row>
    <row r="48" spans="1:20" x14ac:dyDescent="0.25">
      <c r="A48">
        <v>80</v>
      </c>
      <c r="B48" s="417">
        <v>2.3530000000000002</v>
      </c>
      <c r="C48" s="418">
        <v>2.9449999999999998</v>
      </c>
      <c r="D48" s="418">
        <v>3.294</v>
      </c>
      <c r="E48" s="418">
        <v>3.5409999999999999</v>
      </c>
      <c r="F48" s="418">
        <v>3.7309999999999999</v>
      </c>
      <c r="G48" s="418">
        <v>3.8849999999999998</v>
      </c>
      <c r="H48" s="418">
        <v>4.0140000000000002</v>
      </c>
      <c r="I48" s="418">
        <v>4.125</v>
      </c>
      <c r="J48" s="418">
        <v>4.2229999999999999</v>
      </c>
      <c r="K48" s="418">
        <v>4.3090000000000002</v>
      </c>
      <c r="L48" s="418">
        <v>4.3869999999999996</v>
      </c>
      <c r="M48" s="418">
        <v>4.4569999999999999</v>
      </c>
      <c r="N48" s="418">
        <v>4.5209999999999999</v>
      </c>
      <c r="O48" s="418">
        <v>4.5810000000000004</v>
      </c>
      <c r="P48" s="418">
        <v>4.6360000000000001</v>
      </c>
      <c r="Q48" s="418">
        <v>4.6870000000000003</v>
      </c>
      <c r="R48" s="418">
        <v>4.7350000000000003</v>
      </c>
      <c r="S48" s="418">
        <v>4.78</v>
      </c>
      <c r="T48" s="419">
        <v>4.8220000000000001</v>
      </c>
    </row>
    <row r="49" spans="1:20" x14ac:dyDescent="0.25">
      <c r="A49">
        <v>120</v>
      </c>
      <c r="B49" s="417">
        <v>2.3439999999999999</v>
      </c>
      <c r="C49" s="418">
        <v>2.93</v>
      </c>
      <c r="D49" s="418">
        <v>3.2759999999999998</v>
      </c>
      <c r="E49" s="418">
        <v>3.52</v>
      </c>
      <c r="F49" s="418">
        <v>3.7069999999999999</v>
      </c>
      <c r="G49" s="418">
        <v>3.859</v>
      </c>
      <c r="H49" s="418">
        <v>3.9860000000000002</v>
      </c>
      <c r="I49" s="418">
        <v>4.0960000000000001</v>
      </c>
      <c r="J49" s="418">
        <v>4.1909999999999998</v>
      </c>
      <c r="K49" s="418">
        <v>4.2759999999999998</v>
      </c>
      <c r="L49" s="418">
        <v>4.3529999999999998</v>
      </c>
      <c r="M49" s="418">
        <v>4.4219999999999997</v>
      </c>
      <c r="N49" s="418">
        <v>4.4850000000000003</v>
      </c>
      <c r="O49" s="418">
        <v>4.5430000000000001</v>
      </c>
      <c r="P49" s="418">
        <v>4.5970000000000004</v>
      </c>
      <c r="Q49" s="418">
        <v>4.6470000000000002</v>
      </c>
      <c r="R49" s="418">
        <v>4.694</v>
      </c>
      <c r="S49" s="418">
        <v>4.7380000000000004</v>
      </c>
      <c r="T49" s="419">
        <v>4.7789999999999999</v>
      </c>
    </row>
    <row r="50" spans="1:20" x14ac:dyDescent="0.25">
      <c r="A50">
        <v>240</v>
      </c>
      <c r="B50" s="417">
        <v>2.335</v>
      </c>
      <c r="C50" s="418">
        <v>2.9159999999999999</v>
      </c>
      <c r="D50" s="418">
        <v>3.258</v>
      </c>
      <c r="E50" s="418">
        <v>3.4990000000000001</v>
      </c>
      <c r="F50" s="418">
        <v>3.6840000000000002</v>
      </c>
      <c r="G50" s="418">
        <v>3.8340000000000001</v>
      </c>
      <c r="H50" s="418">
        <v>3.9590000000000001</v>
      </c>
      <c r="I50" s="418">
        <v>4.0659999999999998</v>
      </c>
      <c r="J50" s="418">
        <v>4.16</v>
      </c>
      <c r="K50" s="418">
        <v>4.2439999999999998</v>
      </c>
      <c r="L50" s="418">
        <v>4.319</v>
      </c>
      <c r="M50" s="418">
        <v>4.3860000000000001</v>
      </c>
      <c r="N50" s="418">
        <v>4.4480000000000004</v>
      </c>
      <c r="O50" s="418">
        <v>4.5049999999999999</v>
      </c>
      <c r="P50" s="418">
        <v>4.5579999999999998</v>
      </c>
      <c r="Q50" s="418">
        <v>4.6070000000000002</v>
      </c>
      <c r="R50" s="418">
        <v>4.6529999999999996</v>
      </c>
      <c r="S50" s="418">
        <v>4.6959999999999997</v>
      </c>
      <c r="T50" s="419">
        <v>4.7370000000000001</v>
      </c>
    </row>
    <row r="51" spans="1:20" x14ac:dyDescent="0.25">
      <c r="A51" s="12" t="s">
        <v>752</v>
      </c>
      <c r="B51" s="420">
        <v>2.3260000000000001</v>
      </c>
      <c r="C51" s="421">
        <v>2.9020000000000001</v>
      </c>
      <c r="D51" s="421">
        <v>3.24</v>
      </c>
      <c r="E51" s="421">
        <v>3.4780000000000002</v>
      </c>
      <c r="F51" s="421">
        <v>3.661</v>
      </c>
      <c r="G51" s="421">
        <v>3.8079999999999998</v>
      </c>
      <c r="H51" s="421">
        <v>3.931</v>
      </c>
      <c r="I51" s="421">
        <v>4.0369999999999999</v>
      </c>
      <c r="J51" s="421">
        <v>4.1289999999999996</v>
      </c>
      <c r="K51" s="421">
        <v>4.2110000000000003</v>
      </c>
      <c r="L51" s="421">
        <v>4.2850000000000001</v>
      </c>
      <c r="M51" s="421">
        <v>4.351</v>
      </c>
      <c r="N51" s="421">
        <v>4.4119999999999999</v>
      </c>
      <c r="O51" s="421">
        <v>4.468</v>
      </c>
      <c r="P51" s="421">
        <v>4.5190000000000001</v>
      </c>
      <c r="Q51" s="421">
        <v>4.5679999999999996</v>
      </c>
      <c r="R51" s="421">
        <v>4.6120000000000001</v>
      </c>
      <c r="S51" s="421">
        <v>4.6539999999999999</v>
      </c>
      <c r="T51" s="422">
        <v>4.694</v>
      </c>
    </row>
    <row r="53" spans="1:20" x14ac:dyDescent="0.25">
      <c r="B53" t="s">
        <v>31</v>
      </c>
      <c r="C53">
        <v>0.05</v>
      </c>
    </row>
    <row r="54" spans="1:20" x14ac:dyDescent="0.25">
      <c r="B54" t="s">
        <v>751</v>
      </c>
    </row>
    <row r="55" spans="1:20" x14ac:dyDescent="0.25">
      <c r="A55" s="12" t="s">
        <v>51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</row>
    <row r="56" spans="1:20" x14ac:dyDescent="0.25">
      <c r="A56">
        <v>1</v>
      </c>
      <c r="B56" s="414">
        <v>17.969000000000001</v>
      </c>
      <c r="C56" s="415">
        <v>26.975999999999999</v>
      </c>
      <c r="D56" s="415">
        <v>32.819000000000003</v>
      </c>
      <c r="E56" s="415">
        <v>37.082000000000001</v>
      </c>
      <c r="F56" s="415">
        <v>40.408000000000001</v>
      </c>
      <c r="G56" s="415">
        <v>43.119</v>
      </c>
      <c r="H56" s="415">
        <v>45.396999999999998</v>
      </c>
      <c r="I56" s="415">
        <v>47.356999999999999</v>
      </c>
      <c r="J56" s="415">
        <v>49.070999999999998</v>
      </c>
      <c r="K56" s="415">
        <v>50.591999999999999</v>
      </c>
      <c r="L56" s="415">
        <v>51.957000000000001</v>
      </c>
      <c r="M56" s="415">
        <v>53.194000000000003</v>
      </c>
      <c r="N56" s="415">
        <v>54.323</v>
      </c>
      <c r="O56" s="415">
        <v>55.360999999999997</v>
      </c>
      <c r="P56" s="415">
        <v>56.32</v>
      </c>
      <c r="Q56" s="415">
        <v>57.212000000000003</v>
      </c>
      <c r="R56" s="415">
        <v>58.043999999999997</v>
      </c>
      <c r="S56" s="415">
        <v>58.823999999999998</v>
      </c>
      <c r="T56" s="416">
        <v>59.558</v>
      </c>
    </row>
    <row r="57" spans="1:20" x14ac:dyDescent="0.25">
      <c r="A57">
        <v>2</v>
      </c>
      <c r="B57" s="417">
        <v>6.085</v>
      </c>
      <c r="C57" s="418">
        <v>8.3309999999999995</v>
      </c>
      <c r="D57" s="418">
        <v>9.798</v>
      </c>
      <c r="E57" s="418">
        <v>10.881</v>
      </c>
      <c r="F57" s="418">
        <v>11.734</v>
      </c>
      <c r="G57" s="418">
        <v>12.435</v>
      </c>
      <c r="H57" s="418">
        <v>13.026999999999999</v>
      </c>
      <c r="I57" s="418">
        <v>13.539</v>
      </c>
      <c r="J57" s="418">
        <v>13.988</v>
      </c>
      <c r="K57" s="418">
        <v>14.388999999999999</v>
      </c>
      <c r="L57" s="418">
        <v>14.749000000000001</v>
      </c>
      <c r="M57" s="418">
        <v>15.076000000000001</v>
      </c>
      <c r="N57" s="418">
        <v>15.375</v>
      </c>
      <c r="O57" s="418">
        <v>15.65</v>
      </c>
      <c r="P57" s="418">
        <v>15.904999999999999</v>
      </c>
      <c r="Q57" s="418">
        <v>16.143000000000001</v>
      </c>
      <c r="R57" s="418">
        <v>16.364999999999998</v>
      </c>
      <c r="S57" s="418">
        <v>16.573</v>
      </c>
      <c r="T57" s="419">
        <v>16.768999999999998</v>
      </c>
    </row>
    <row r="58" spans="1:20" x14ac:dyDescent="0.25">
      <c r="A58">
        <v>3</v>
      </c>
      <c r="B58" s="417">
        <v>4.5010000000000003</v>
      </c>
      <c r="C58" s="418">
        <v>5.91</v>
      </c>
      <c r="D58" s="418">
        <v>6.8250000000000002</v>
      </c>
      <c r="E58" s="418">
        <v>7.5019999999999998</v>
      </c>
      <c r="F58" s="418">
        <v>8.0370000000000008</v>
      </c>
      <c r="G58" s="418">
        <v>8.4779999999999998</v>
      </c>
      <c r="H58" s="418">
        <v>8.8520000000000003</v>
      </c>
      <c r="I58" s="418">
        <v>9.1769999999999996</v>
      </c>
      <c r="J58" s="418">
        <v>9.4619999999999997</v>
      </c>
      <c r="K58" s="418">
        <v>9.7170000000000005</v>
      </c>
      <c r="L58" s="418">
        <v>9.9459999999999997</v>
      </c>
      <c r="M58" s="418">
        <v>10.154999999999999</v>
      </c>
      <c r="N58" s="418">
        <v>10.346</v>
      </c>
      <c r="O58" s="418">
        <v>10.522</v>
      </c>
      <c r="P58" s="418">
        <v>10.686</v>
      </c>
      <c r="Q58" s="418">
        <v>10.837999999999999</v>
      </c>
      <c r="R58" s="418">
        <v>10.98</v>
      </c>
      <c r="S58" s="418">
        <v>11.114000000000001</v>
      </c>
      <c r="T58" s="419">
        <v>11.24</v>
      </c>
    </row>
    <row r="59" spans="1:20" x14ac:dyDescent="0.25">
      <c r="A59">
        <v>4</v>
      </c>
      <c r="B59" s="417">
        <v>3.9260000000000002</v>
      </c>
      <c r="C59" s="418">
        <v>5.04</v>
      </c>
      <c r="D59" s="418">
        <v>5.7569999999999997</v>
      </c>
      <c r="E59" s="418">
        <v>6.2869999999999999</v>
      </c>
      <c r="F59" s="418">
        <v>6.7060000000000004</v>
      </c>
      <c r="G59" s="418">
        <v>7.0529999999999999</v>
      </c>
      <c r="H59" s="418">
        <v>7.3470000000000004</v>
      </c>
      <c r="I59" s="418">
        <v>7.6020000000000003</v>
      </c>
      <c r="J59" s="418">
        <v>7.8259999999999996</v>
      </c>
      <c r="K59" s="418">
        <v>8.0269999999999992</v>
      </c>
      <c r="L59" s="418">
        <v>8.2080000000000002</v>
      </c>
      <c r="M59" s="418">
        <v>8.3729999999999993</v>
      </c>
      <c r="N59" s="418">
        <v>8.5239999999999991</v>
      </c>
      <c r="O59" s="418">
        <v>8.6639999999999997</v>
      </c>
      <c r="P59" s="418">
        <v>8.7929999999999993</v>
      </c>
      <c r="Q59" s="418">
        <v>8.9139999999999997</v>
      </c>
      <c r="R59" s="418">
        <v>9.0269999999999992</v>
      </c>
      <c r="S59" s="418">
        <v>9.1329999999999991</v>
      </c>
      <c r="T59" s="419">
        <v>9.2330000000000005</v>
      </c>
    </row>
    <row r="60" spans="1:20" x14ac:dyDescent="0.25">
      <c r="A60">
        <v>5</v>
      </c>
      <c r="B60" s="417">
        <v>3.6349999999999998</v>
      </c>
      <c r="C60" s="418">
        <v>4.6020000000000003</v>
      </c>
      <c r="D60" s="418">
        <v>5.218</v>
      </c>
      <c r="E60" s="418">
        <v>5.673</v>
      </c>
      <c r="F60" s="418">
        <v>6.0330000000000004</v>
      </c>
      <c r="G60" s="418">
        <v>6.33</v>
      </c>
      <c r="H60" s="418">
        <v>6.5819999999999999</v>
      </c>
      <c r="I60" s="418">
        <v>6.8010000000000002</v>
      </c>
      <c r="J60" s="418">
        <v>6.9950000000000001</v>
      </c>
      <c r="K60" s="418">
        <v>7.1669999999999998</v>
      </c>
      <c r="L60" s="418">
        <v>7.3230000000000004</v>
      </c>
      <c r="M60" s="418">
        <v>7.4660000000000002</v>
      </c>
      <c r="N60" s="418">
        <v>7.5960000000000001</v>
      </c>
      <c r="O60" s="418">
        <v>7.7160000000000002</v>
      </c>
      <c r="P60" s="418">
        <v>7.8280000000000003</v>
      </c>
      <c r="Q60" s="418">
        <v>7.9320000000000004</v>
      </c>
      <c r="R60" s="418">
        <v>8.0299999999999994</v>
      </c>
      <c r="S60" s="418">
        <v>8.1219999999999999</v>
      </c>
      <c r="T60" s="419">
        <v>8.2080000000000002</v>
      </c>
    </row>
    <row r="61" spans="1:20" x14ac:dyDescent="0.25">
      <c r="A61">
        <v>6</v>
      </c>
      <c r="B61" s="417">
        <v>3.46</v>
      </c>
      <c r="C61" s="418">
        <v>4.3390000000000004</v>
      </c>
      <c r="D61" s="418">
        <v>4.8959999999999999</v>
      </c>
      <c r="E61" s="418">
        <v>5.3049999999999997</v>
      </c>
      <c r="F61" s="418">
        <v>5.6280000000000001</v>
      </c>
      <c r="G61" s="418">
        <v>5.8949999999999996</v>
      </c>
      <c r="H61" s="418">
        <v>6.1219999999999999</v>
      </c>
      <c r="I61" s="418">
        <v>6.319</v>
      </c>
      <c r="J61" s="418">
        <v>6.4930000000000003</v>
      </c>
      <c r="K61" s="418">
        <v>6.649</v>
      </c>
      <c r="L61" s="418">
        <v>6.7889999999999997</v>
      </c>
      <c r="M61" s="418">
        <v>6.9169999999999998</v>
      </c>
      <c r="N61" s="418">
        <v>7.0339999999999998</v>
      </c>
      <c r="O61" s="418">
        <v>7.1429999999999998</v>
      </c>
      <c r="P61" s="418">
        <v>7.2439999999999998</v>
      </c>
      <c r="Q61" s="418">
        <v>7.3380000000000001</v>
      </c>
      <c r="R61" s="418">
        <v>7.4260000000000002</v>
      </c>
      <c r="S61" s="418">
        <v>7.508</v>
      </c>
      <c r="T61" s="419">
        <v>7.5860000000000003</v>
      </c>
    </row>
    <row r="62" spans="1:20" x14ac:dyDescent="0.25">
      <c r="A62">
        <v>7</v>
      </c>
      <c r="B62" s="417">
        <v>3.3439999999999999</v>
      </c>
      <c r="C62" s="418">
        <v>4.165</v>
      </c>
      <c r="D62" s="418">
        <v>4.681</v>
      </c>
      <c r="E62" s="418">
        <v>5.0599999999999996</v>
      </c>
      <c r="F62" s="418">
        <v>5.359</v>
      </c>
      <c r="G62" s="418">
        <v>5.6059999999999999</v>
      </c>
      <c r="H62" s="418">
        <v>5.8150000000000004</v>
      </c>
      <c r="I62" s="418">
        <v>5.9969999999999999</v>
      </c>
      <c r="J62" s="418">
        <v>6.1580000000000004</v>
      </c>
      <c r="K62" s="418">
        <v>6.3019999999999996</v>
      </c>
      <c r="L62" s="418">
        <v>6.431</v>
      </c>
      <c r="M62" s="418">
        <v>6.55</v>
      </c>
      <c r="N62" s="418">
        <v>6.6580000000000004</v>
      </c>
      <c r="O62" s="418">
        <v>6.7590000000000003</v>
      </c>
      <c r="P62" s="418">
        <v>6.8520000000000003</v>
      </c>
      <c r="Q62" s="418">
        <v>6.9390000000000001</v>
      </c>
      <c r="R62" s="418">
        <v>7.02</v>
      </c>
      <c r="S62" s="418">
        <v>7.0970000000000004</v>
      </c>
      <c r="T62" s="419">
        <v>7.1689999999999996</v>
      </c>
    </row>
    <row r="63" spans="1:20" x14ac:dyDescent="0.25">
      <c r="A63">
        <v>8</v>
      </c>
      <c r="B63" s="417">
        <v>3.2610000000000001</v>
      </c>
      <c r="C63" s="418">
        <v>4.0410000000000004</v>
      </c>
      <c r="D63" s="418">
        <v>4.5289999999999999</v>
      </c>
      <c r="E63" s="418">
        <v>4.8860000000000001</v>
      </c>
      <c r="F63" s="418">
        <v>5.1669999999999998</v>
      </c>
      <c r="G63" s="418">
        <v>5.399</v>
      </c>
      <c r="H63" s="418">
        <v>5.5960000000000001</v>
      </c>
      <c r="I63" s="418">
        <v>5.7670000000000003</v>
      </c>
      <c r="J63" s="418">
        <v>5.9180000000000001</v>
      </c>
      <c r="K63" s="418">
        <v>6.0529999999999999</v>
      </c>
      <c r="L63" s="418">
        <v>6.1749999999999998</v>
      </c>
      <c r="M63" s="418">
        <v>6.2869999999999999</v>
      </c>
      <c r="N63" s="418">
        <v>6.3890000000000002</v>
      </c>
      <c r="O63" s="418">
        <v>6.4829999999999997</v>
      </c>
      <c r="P63" s="418">
        <v>6.5709999999999997</v>
      </c>
      <c r="Q63" s="418">
        <v>6.6529999999999996</v>
      </c>
      <c r="R63" s="418">
        <v>6.7290000000000001</v>
      </c>
      <c r="S63" s="418">
        <v>6.8010000000000002</v>
      </c>
      <c r="T63" s="419">
        <v>6.8689999999999998</v>
      </c>
    </row>
    <row r="64" spans="1:20" x14ac:dyDescent="0.25">
      <c r="A64">
        <v>9</v>
      </c>
      <c r="B64" s="417">
        <v>3.1989999999999998</v>
      </c>
      <c r="C64" s="418">
        <v>3.948</v>
      </c>
      <c r="D64" s="418">
        <v>4.415</v>
      </c>
      <c r="E64" s="418">
        <v>4.7549999999999999</v>
      </c>
      <c r="F64" s="418">
        <v>5.024</v>
      </c>
      <c r="G64" s="418">
        <v>5.2439999999999998</v>
      </c>
      <c r="H64" s="418">
        <v>5.4320000000000004</v>
      </c>
      <c r="I64" s="418">
        <v>5.5949999999999998</v>
      </c>
      <c r="J64" s="418">
        <v>5.7380000000000004</v>
      </c>
      <c r="K64" s="418">
        <v>5.867</v>
      </c>
      <c r="L64" s="418">
        <v>5.9829999999999997</v>
      </c>
      <c r="M64" s="418">
        <v>6.0890000000000004</v>
      </c>
      <c r="N64" s="418">
        <v>6.1859999999999999</v>
      </c>
      <c r="O64" s="418">
        <v>6.2759999999999998</v>
      </c>
      <c r="P64" s="418">
        <v>6.359</v>
      </c>
      <c r="Q64" s="418">
        <v>6.4370000000000003</v>
      </c>
      <c r="R64" s="418">
        <v>6.51</v>
      </c>
      <c r="S64" s="418">
        <v>6.5789999999999997</v>
      </c>
      <c r="T64" s="419">
        <v>6.6429999999999998</v>
      </c>
    </row>
    <row r="65" spans="1:20" x14ac:dyDescent="0.25">
      <c r="A65">
        <v>10</v>
      </c>
      <c r="B65" s="417">
        <v>3.1509999999999998</v>
      </c>
      <c r="C65" s="418">
        <v>3.8769999999999998</v>
      </c>
      <c r="D65" s="418">
        <v>4.327</v>
      </c>
      <c r="E65" s="418">
        <v>4.6539999999999999</v>
      </c>
      <c r="F65" s="418">
        <v>4.9119999999999999</v>
      </c>
      <c r="G65" s="418">
        <v>5.1239999999999997</v>
      </c>
      <c r="H65" s="418">
        <v>5.3040000000000003</v>
      </c>
      <c r="I65" s="418">
        <v>5.46</v>
      </c>
      <c r="J65" s="418">
        <v>5.5979999999999999</v>
      </c>
      <c r="K65" s="418">
        <v>5.7220000000000004</v>
      </c>
      <c r="L65" s="418">
        <v>5.8330000000000002</v>
      </c>
      <c r="M65" s="418">
        <v>5.9349999999999996</v>
      </c>
      <c r="N65" s="418">
        <v>6.0279999999999996</v>
      </c>
      <c r="O65" s="418">
        <v>6.1139999999999999</v>
      </c>
      <c r="P65" s="418">
        <v>6.194</v>
      </c>
      <c r="Q65" s="418">
        <v>6.2690000000000001</v>
      </c>
      <c r="R65" s="418">
        <v>6.3390000000000004</v>
      </c>
      <c r="S65" s="418">
        <v>6.4050000000000002</v>
      </c>
      <c r="T65" s="419">
        <v>6.4669999999999996</v>
      </c>
    </row>
    <row r="66" spans="1:20" x14ac:dyDescent="0.25">
      <c r="A66">
        <v>11</v>
      </c>
      <c r="B66" s="417">
        <v>3.113</v>
      </c>
      <c r="C66" s="418">
        <v>3.82</v>
      </c>
      <c r="D66" s="418">
        <v>4.2560000000000002</v>
      </c>
      <c r="E66" s="418">
        <v>4.5739999999999998</v>
      </c>
      <c r="F66" s="418">
        <v>4.8230000000000004</v>
      </c>
      <c r="G66" s="418">
        <v>5.0279999999999996</v>
      </c>
      <c r="H66" s="418">
        <v>5.202</v>
      </c>
      <c r="I66" s="418">
        <v>5.3529999999999998</v>
      </c>
      <c r="J66" s="418">
        <v>5.4859999999999998</v>
      </c>
      <c r="K66" s="418">
        <v>5.6050000000000004</v>
      </c>
      <c r="L66" s="418">
        <v>5.7130000000000001</v>
      </c>
      <c r="M66" s="418">
        <v>5.8109999999999999</v>
      </c>
      <c r="N66" s="418">
        <v>5.9009999999999998</v>
      </c>
      <c r="O66" s="418">
        <v>5.984</v>
      </c>
      <c r="P66" s="418">
        <v>6.0620000000000003</v>
      </c>
      <c r="Q66" s="418">
        <v>6.1340000000000003</v>
      </c>
      <c r="R66" s="418">
        <v>6.202</v>
      </c>
      <c r="S66" s="418">
        <v>6.2649999999999997</v>
      </c>
      <c r="T66" s="419">
        <v>6.3250000000000002</v>
      </c>
    </row>
    <row r="67" spans="1:20" x14ac:dyDescent="0.25">
      <c r="A67">
        <v>12</v>
      </c>
      <c r="B67" s="417">
        <v>3.081</v>
      </c>
      <c r="C67" s="418">
        <v>3.7730000000000001</v>
      </c>
      <c r="D67" s="418">
        <v>4.1989999999999998</v>
      </c>
      <c r="E67" s="418">
        <v>4.508</v>
      </c>
      <c r="F67" s="418">
        <v>4.75</v>
      </c>
      <c r="G67" s="418">
        <v>4.95</v>
      </c>
      <c r="H67" s="418">
        <v>5.1189999999999998</v>
      </c>
      <c r="I67" s="418">
        <v>5.2649999999999997</v>
      </c>
      <c r="J67" s="418">
        <v>5.3949999999999996</v>
      </c>
      <c r="K67" s="418">
        <v>5.51</v>
      </c>
      <c r="L67" s="418">
        <v>5.6150000000000002</v>
      </c>
      <c r="M67" s="418">
        <v>5.71</v>
      </c>
      <c r="N67" s="418">
        <v>5.7969999999999997</v>
      </c>
      <c r="O67" s="418">
        <v>5.8780000000000001</v>
      </c>
      <c r="P67" s="418">
        <v>5.9530000000000003</v>
      </c>
      <c r="Q67" s="418">
        <v>6.0229999999999997</v>
      </c>
      <c r="R67" s="418">
        <v>6.0890000000000004</v>
      </c>
      <c r="S67" s="418">
        <v>6.1509999999999998</v>
      </c>
      <c r="T67" s="419">
        <v>6.2089999999999996</v>
      </c>
    </row>
    <row r="68" spans="1:20" x14ac:dyDescent="0.25">
      <c r="A68">
        <v>13</v>
      </c>
      <c r="B68" s="417">
        <v>3.0550000000000002</v>
      </c>
      <c r="C68" s="418">
        <v>3.734</v>
      </c>
      <c r="D68" s="418">
        <v>4.1509999999999998</v>
      </c>
      <c r="E68" s="418">
        <v>4.4530000000000003</v>
      </c>
      <c r="F68" s="418">
        <v>4.6900000000000004</v>
      </c>
      <c r="G68" s="418">
        <v>4.8840000000000003</v>
      </c>
      <c r="H68" s="418">
        <v>5.0490000000000004</v>
      </c>
      <c r="I68" s="418">
        <v>5.1920000000000002</v>
      </c>
      <c r="J68" s="418">
        <v>5.3179999999999996</v>
      </c>
      <c r="K68" s="418">
        <v>5.431</v>
      </c>
      <c r="L68" s="418">
        <v>5.5330000000000004</v>
      </c>
      <c r="M68" s="418">
        <v>5.625</v>
      </c>
      <c r="N68" s="418">
        <v>5.7110000000000003</v>
      </c>
      <c r="O68" s="418">
        <v>5.7889999999999997</v>
      </c>
      <c r="P68" s="418">
        <v>5.8620000000000001</v>
      </c>
      <c r="Q68" s="418">
        <v>5.931</v>
      </c>
      <c r="R68" s="418">
        <v>5.9950000000000001</v>
      </c>
      <c r="S68" s="418">
        <v>6.0549999999999997</v>
      </c>
      <c r="T68" s="419">
        <v>6.1120000000000001</v>
      </c>
    </row>
    <row r="69" spans="1:20" x14ac:dyDescent="0.25">
      <c r="A69">
        <v>14</v>
      </c>
      <c r="B69" s="417">
        <v>3.0329999999999999</v>
      </c>
      <c r="C69" s="418">
        <v>3.7010000000000001</v>
      </c>
      <c r="D69" s="418">
        <v>4.1109999999999998</v>
      </c>
      <c r="E69" s="418">
        <v>4.407</v>
      </c>
      <c r="F69" s="418">
        <v>4.6390000000000002</v>
      </c>
      <c r="G69" s="418">
        <v>4.8289999999999997</v>
      </c>
      <c r="H69" s="418">
        <v>4.99</v>
      </c>
      <c r="I69" s="418">
        <v>5.13</v>
      </c>
      <c r="J69" s="418">
        <v>5.2530000000000001</v>
      </c>
      <c r="K69" s="418">
        <v>5.3639999999999999</v>
      </c>
      <c r="L69" s="418">
        <v>5.4630000000000001</v>
      </c>
      <c r="M69" s="418">
        <v>5.5540000000000003</v>
      </c>
      <c r="N69" s="418">
        <v>5.6369999999999996</v>
      </c>
      <c r="O69" s="418">
        <v>5.7140000000000004</v>
      </c>
      <c r="P69" s="418">
        <v>5.7850000000000001</v>
      </c>
      <c r="Q69" s="418">
        <v>5.8520000000000003</v>
      </c>
      <c r="R69" s="418">
        <v>5.915</v>
      </c>
      <c r="S69" s="418">
        <v>5.9729999999999999</v>
      </c>
      <c r="T69" s="419">
        <v>6.0289999999999999</v>
      </c>
    </row>
    <row r="70" spans="1:20" x14ac:dyDescent="0.25">
      <c r="A70">
        <v>15</v>
      </c>
      <c r="B70" s="417">
        <v>3.0139999999999998</v>
      </c>
      <c r="C70" s="418">
        <v>3.673</v>
      </c>
      <c r="D70" s="418">
        <v>4.0759999999999996</v>
      </c>
      <c r="E70" s="418">
        <v>4.367</v>
      </c>
      <c r="F70" s="418">
        <v>4.5949999999999998</v>
      </c>
      <c r="G70" s="418">
        <v>4.782</v>
      </c>
      <c r="H70" s="418">
        <v>4.9400000000000004</v>
      </c>
      <c r="I70" s="418">
        <v>5.077</v>
      </c>
      <c r="J70" s="418">
        <v>5.1980000000000004</v>
      </c>
      <c r="K70" s="418">
        <v>5.306</v>
      </c>
      <c r="L70" s="418">
        <v>5.4029999999999996</v>
      </c>
      <c r="M70" s="418">
        <v>5.492</v>
      </c>
      <c r="N70" s="418">
        <v>5.5739999999999998</v>
      </c>
      <c r="O70" s="418">
        <v>5.649</v>
      </c>
      <c r="P70" s="418">
        <v>5.7190000000000003</v>
      </c>
      <c r="Q70" s="418">
        <v>5.7850000000000001</v>
      </c>
      <c r="R70" s="418">
        <v>5.8460000000000001</v>
      </c>
      <c r="S70" s="418">
        <v>5.9039999999999999</v>
      </c>
      <c r="T70" s="419">
        <v>5.9580000000000002</v>
      </c>
    </row>
    <row r="71" spans="1:20" x14ac:dyDescent="0.25">
      <c r="A71">
        <v>16</v>
      </c>
      <c r="B71" s="417">
        <v>2.9980000000000002</v>
      </c>
      <c r="C71" s="418">
        <v>3.649</v>
      </c>
      <c r="D71" s="418">
        <v>4.0460000000000003</v>
      </c>
      <c r="E71" s="418">
        <v>4.3330000000000002</v>
      </c>
      <c r="F71" s="418">
        <v>4.5570000000000004</v>
      </c>
      <c r="G71" s="418">
        <v>4.7409999999999997</v>
      </c>
      <c r="H71" s="418">
        <v>4.8959999999999999</v>
      </c>
      <c r="I71" s="418">
        <v>5.0309999999999997</v>
      </c>
      <c r="J71" s="418">
        <v>5.15</v>
      </c>
      <c r="K71" s="418">
        <v>5.2560000000000002</v>
      </c>
      <c r="L71" s="418">
        <v>5.3520000000000003</v>
      </c>
      <c r="M71" s="418">
        <v>5.4390000000000001</v>
      </c>
      <c r="N71" s="418">
        <v>5.5190000000000001</v>
      </c>
      <c r="O71" s="418">
        <v>5.593</v>
      </c>
      <c r="P71" s="418">
        <v>5.6619999999999999</v>
      </c>
      <c r="Q71" s="418">
        <v>5.726</v>
      </c>
      <c r="R71" s="418">
        <v>5.7859999999999996</v>
      </c>
      <c r="S71" s="418">
        <v>5.843</v>
      </c>
      <c r="T71" s="419">
        <v>5.8959999999999999</v>
      </c>
    </row>
    <row r="72" spans="1:20" x14ac:dyDescent="0.25">
      <c r="A72">
        <v>17</v>
      </c>
      <c r="B72" s="417">
        <v>2.984</v>
      </c>
      <c r="C72" s="418">
        <v>3.6280000000000001</v>
      </c>
      <c r="D72" s="418">
        <v>4.0199999999999996</v>
      </c>
      <c r="E72" s="418">
        <v>4.3029999999999999</v>
      </c>
      <c r="F72" s="418">
        <v>4.524</v>
      </c>
      <c r="G72" s="418">
        <v>4.7050000000000001</v>
      </c>
      <c r="H72" s="418">
        <v>4.8579999999999997</v>
      </c>
      <c r="I72" s="418">
        <v>4.9909999999999997</v>
      </c>
      <c r="J72" s="418">
        <v>5.1079999999999997</v>
      </c>
      <c r="K72" s="418">
        <v>5.2119999999999997</v>
      </c>
      <c r="L72" s="418">
        <v>5.306</v>
      </c>
      <c r="M72" s="418">
        <v>5.3920000000000003</v>
      </c>
      <c r="N72" s="418">
        <v>5.4710000000000001</v>
      </c>
      <c r="O72" s="418">
        <v>5.5439999999999996</v>
      </c>
      <c r="P72" s="418">
        <v>5.6120000000000001</v>
      </c>
      <c r="Q72" s="418">
        <v>5.6749999999999998</v>
      </c>
      <c r="R72" s="418">
        <v>5.734</v>
      </c>
      <c r="S72" s="418">
        <v>5.79</v>
      </c>
      <c r="T72" s="419">
        <v>5.8419999999999996</v>
      </c>
    </row>
    <row r="73" spans="1:20" x14ac:dyDescent="0.25">
      <c r="A73">
        <v>18</v>
      </c>
      <c r="B73" s="417">
        <v>2.9710000000000001</v>
      </c>
      <c r="C73" s="418">
        <v>3.609</v>
      </c>
      <c r="D73" s="418">
        <v>3.9969999999999999</v>
      </c>
      <c r="E73" s="418">
        <v>4.2759999999999998</v>
      </c>
      <c r="F73" s="418">
        <v>4.4939999999999998</v>
      </c>
      <c r="G73" s="418">
        <v>4.673</v>
      </c>
      <c r="H73" s="418">
        <v>4.8239999999999998</v>
      </c>
      <c r="I73" s="418">
        <v>4.9550000000000001</v>
      </c>
      <c r="J73" s="418">
        <v>5.0709999999999997</v>
      </c>
      <c r="K73" s="418">
        <v>5.173</v>
      </c>
      <c r="L73" s="418">
        <v>5.266</v>
      </c>
      <c r="M73" s="418">
        <v>5.351</v>
      </c>
      <c r="N73" s="418">
        <v>5.4290000000000003</v>
      </c>
      <c r="O73" s="418">
        <v>5.5010000000000003</v>
      </c>
      <c r="P73" s="418">
        <v>5.5670000000000002</v>
      </c>
      <c r="Q73" s="418">
        <v>5.6289999999999996</v>
      </c>
      <c r="R73" s="418">
        <v>5.6879999999999997</v>
      </c>
      <c r="S73" s="418">
        <v>5.7430000000000003</v>
      </c>
      <c r="T73" s="419">
        <v>5.7939999999999996</v>
      </c>
    </row>
    <row r="74" spans="1:20" x14ac:dyDescent="0.25">
      <c r="A74">
        <v>19</v>
      </c>
      <c r="B74" s="417">
        <v>2.96</v>
      </c>
      <c r="C74" s="418">
        <v>3.593</v>
      </c>
      <c r="D74" s="418">
        <v>3.9769999999999999</v>
      </c>
      <c r="E74" s="418">
        <v>4.2530000000000001</v>
      </c>
      <c r="F74" s="418">
        <v>4.468</v>
      </c>
      <c r="G74" s="418">
        <v>4.6449999999999996</v>
      </c>
      <c r="H74" s="418">
        <v>4.7939999999999996</v>
      </c>
      <c r="I74" s="418">
        <v>4.9240000000000004</v>
      </c>
      <c r="J74" s="418">
        <v>5.0369999999999999</v>
      </c>
      <c r="K74" s="418">
        <v>5.1390000000000002</v>
      </c>
      <c r="L74" s="418">
        <v>5.2309999999999999</v>
      </c>
      <c r="M74" s="418">
        <v>5.3140000000000001</v>
      </c>
      <c r="N74" s="418">
        <v>5.391</v>
      </c>
      <c r="O74" s="418">
        <v>5.4619999999999997</v>
      </c>
      <c r="P74" s="418">
        <v>5.5279999999999996</v>
      </c>
      <c r="Q74" s="418">
        <v>5.5890000000000004</v>
      </c>
      <c r="R74" s="418">
        <v>5.6470000000000002</v>
      </c>
      <c r="S74" s="418">
        <v>5.7009999999999996</v>
      </c>
      <c r="T74" s="419">
        <v>5.7519999999999998</v>
      </c>
    </row>
    <row r="75" spans="1:20" x14ac:dyDescent="0.25">
      <c r="A75">
        <v>20</v>
      </c>
      <c r="B75" s="417">
        <v>2.95</v>
      </c>
      <c r="C75" s="418">
        <v>3.5779999999999998</v>
      </c>
      <c r="D75" s="418">
        <v>3.9580000000000002</v>
      </c>
      <c r="E75" s="418">
        <v>4.2320000000000002</v>
      </c>
      <c r="F75" s="418">
        <v>4.4450000000000003</v>
      </c>
      <c r="G75" s="418">
        <v>4.62</v>
      </c>
      <c r="H75" s="418">
        <v>4.7679999999999998</v>
      </c>
      <c r="I75" s="418">
        <v>4.8949999999999996</v>
      </c>
      <c r="J75" s="418">
        <v>5.008</v>
      </c>
      <c r="K75" s="418">
        <v>5.1079999999999997</v>
      </c>
      <c r="L75" s="418">
        <v>5.1989999999999998</v>
      </c>
      <c r="M75" s="418">
        <v>5.282</v>
      </c>
      <c r="N75" s="418">
        <v>5.3570000000000002</v>
      </c>
      <c r="O75" s="418">
        <v>5.4269999999999996</v>
      </c>
      <c r="P75" s="418">
        <v>5.492</v>
      </c>
      <c r="Q75" s="418">
        <v>5.5529999999999999</v>
      </c>
      <c r="R75" s="418">
        <v>5.61</v>
      </c>
      <c r="S75" s="418">
        <v>5.6630000000000003</v>
      </c>
      <c r="T75" s="419">
        <v>5.7140000000000004</v>
      </c>
    </row>
    <row r="76" spans="1:20" x14ac:dyDescent="0.25">
      <c r="A76">
        <v>21</v>
      </c>
      <c r="B76" s="417">
        <v>2.9409999999999998</v>
      </c>
      <c r="C76" s="418">
        <v>3.5649999999999999</v>
      </c>
      <c r="D76" s="418">
        <v>3.9420000000000002</v>
      </c>
      <c r="E76" s="418">
        <v>4.2130000000000001</v>
      </c>
      <c r="F76" s="418">
        <v>4.4240000000000004</v>
      </c>
      <c r="G76" s="418">
        <v>4.5970000000000004</v>
      </c>
      <c r="H76" s="418">
        <v>4.7430000000000003</v>
      </c>
      <c r="I76" s="418">
        <v>4.87</v>
      </c>
      <c r="J76" s="418">
        <v>4.9809999999999999</v>
      </c>
      <c r="K76" s="418">
        <v>5.0810000000000004</v>
      </c>
      <c r="L76" s="418">
        <v>5.17</v>
      </c>
      <c r="M76" s="418">
        <v>5.2519999999999998</v>
      </c>
      <c r="N76" s="418">
        <v>5.327</v>
      </c>
      <c r="O76" s="418">
        <v>5.3959999999999999</v>
      </c>
      <c r="P76" s="418">
        <v>5.46</v>
      </c>
      <c r="Q76" s="418">
        <v>5.52</v>
      </c>
      <c r="R76" s="418">
        <v>5.5759999999999996</v>
      </c>
      <c r="S76" s="418">
        <v>5.6289999999999996</v>
      </c>
      <c r="T76" s="419">
        <v>5.6790000000000003</v>
      </c>
    </row>
    <row r="77" spans="1:20" x14ac:dyDescent="0.25">
      <c r="A77">
        <v>22</v>
      </c>
      <c r="B77" s="417">
        <v>2.9329999999999998</v>
      </c>
      <c r="C77" s="418">
        <v>3.5529999999999999</v>
      </c>
      <c r="D77" s="418">
        <v>3.927</v>
      </c>
      <c r="E77" s="418">
        <v>4.1959999999999997</v>
      </c>
      <c r="F77" s="418">
        <v>4.4050000000000002</v>
      </c>
      <c r="G77" s="418">
        <v>4.577</v>
      </c>
      <c r="H77" s="418">
        <v>4.7220000000000004</v>
      </c>
      <c r="I77" s="418">
        <v>4.8470000000000004</v>
      </c>
      <c r="J77" s="418">
        <v>4.9569999999999999</v>
      </c>
      <c r="K77" s="418">
        <v>5.056</v>
      </c>
      <c r="L77" s="418">
        <v>5.1440000000000001</v>
      </c>
      <c r="M77" s="418">
        <v>5.2249999999999996</v>
      </c>
      <c r="N77" s="418">
        <v>5.2990000000000004</v>
      </c>
      <c r="O77" s="418">
        <v>5.3680000000000003</v>
      </c>
      <c r="P77" s="418">
        <v>5.431</v>
      </c>
      <c r="Q77" s="418">
        <v>5.4909999999999997</v>
      </c>
      <c r="R77" s="418">
        <v>5.5460000000000003</v>
      </c>
      <c r="S77" s="418">
        <v>5.5990000000000002</v>
      </c>
      <c r="T77" s="419">
        <v>5.6479999999999997</v>
      </c>
    </row>
    <row r="78" spans="1:20" x14ac:dyDescent="0.25">
      <c r="A78">
        <v>23</v>
      </c>
      <c r="B78" s="417">
        <v>2.9260000000000002</v>
      </c>
      <c r="C78" s="418">
        <v>3.5419999999999998</v>
      </c>
      <c r="D78" s="418">
        <v>3.9140000000000001</v>
      </c>
      <c r="E78" s="418">
        <v>4.18</v>
      </c>
      <c r="F78" s="418">
        <v>4.3879999999999999</v>
      </c>
      <c r="G78" s="418">
        <v>4.5579999999999998</v>
      </c>
      <c r="H78" s="418">
        <v>4.702</v>
      </c>
      <c r="I78" s="418">
        <v>4.8259999999999996</v>
      </c>
      <c r="J78" s="418">
        <v>4.9349999999999996</v>
      </c>
      <c r="K78" s="418">
        <v>5.0330000000000004</v>
      </c>
      <c r="L78" s="418">
        <v>5.1210000000000004</v>
      </c>
      <c r="M78" s="418">
        <v>5.2009999999999996</v>
      </c>
      <c r="N78" s="418">
        <v>5.274</v>
      </c>
      <c r="O78" s="418">
        <v>5.3419999999999996</v>
      </c>
      <c r="P78" s="418">
        <v>5.4050000000000002</v>
      </c>
      <c r="Q78" s="418">
        <v>5.4640000000000004</v>
      </c>
      <c r="R78" s="418">
        <v>5.5190000000000001</v>
      </c>
      <c r="S78" s="418">
        <v>5.5709999999999997</v>
      </c>
      <c r="T78" s="419">
        <v>5.62</v>
      </c>
    </row>
    <row r="79" spans="1:20" x14ac:dyDescent="0.25">
      <c r="A79">
        <v>24</v>
      </c>
      <c r="B79" s="417">
        <v>2.919</v>
      </c>
      <c r="C79" s="418">
        <v>3.532</v>
      </c>
      <c r="D79" s="418">
        <v>3.9009999999999998</v>
      </c>
      <c r="E79" s="418">
        <v>4.1660000000000004</v>
      </c>
      <c r="F79" s="418">
        <v>4.3730000000000002</v>
      </c>
      <c r="G79" s="418">
        <v>4.5410000000000004</v>
      </c>
      <c r="H79" s="418">
        <v>4.6840000000000002</v>
      </c>
      <c r="I79" s="418">
        <v>4.8070000000000004</v>
      </c>
      <c r="J79" s="418">
        <v>4.915</v>
      </c>
      <c r="K79" s="418">
        <v>5.0119999999999996</v>
      </c>
      <c r="L79" s="418">
        <v>5.0990000000000002</v>
      </c>
      <c r="M79" s="418">
        <v>5.1790000000000003</v>
      </c>
      <c r="N79" s="418">
        <v>5.2510000000000003</v>
      </c>
      <c r="O79" s="418">
        <v>5.319</v>
      </c>
      <c r="P79" s="418">
        <v>5.3810000000000002</v>
      </c>
      <c r="Q79" s="418">
        <v>5.4390000000000001</v>
      </c>
      <c r="R79" s="418">
        <v>5.4939999999999998</v>
      </c>
      <c r="S79" s="418">
        <v>5.5449999999999999</v>
      </c>
      <c r="T79" s="419">
        <v>5.5940000000000003</v>
      </c>
    </row>
    <row r="80" spans="1:20" x14ac:dyDescent="0.25">
      <c r="A80">
        <v>25</v>
      </c>
      <c r="B80" s="417">
        <v>2.9129999999999998</v>
      </c>
      <c r="C80" s="418">
        <v>3.5230000000000001</v>
      </c>
      <c r="D80" s="418">
        <v>3.89</v>
      </c>
      <c r="E80" s="418">
        <v>4.1529999999999996</v>
      </c>
      <c r="F80" s="418">
        <v>4.3579999999999997</v>
      </c>
      <c r="G80" s="418">
        <v>4.5259999999999998</v>
      </c>
      <c r="H80" s="418">
        <v>4.6669999999999998</v>
      </c>
      <c r="I80" s="418">
        <v>4.7889999999999997</v>
      </c>
      <c r="J80" s="418">
        <v>4.8970000000000002</v>
      </c>
      <c r="K80" s="418">
        <v>4.9930000000000003</v>
      </c>
      <c r="L80" s="418">
        <v>5.0789999999999997</v>
      </c>
      <c r="M80" s="418">
        <v>5.1580000000000004</v>
      </c>
      <c r="N80" s="418">
        <v>5.23</v>
      </c>
      <c r="O80" s="418">
        <v>5.2969999999999997</v>
      </c>
      <c r="P80" s="418">
        <v>5.359</v>
      </c>
      <c r="Q80" s="418">
        <v>5.4169999999999998</v>
      </c>
      <c r="R80" s="418">
        <v>5.4710000000000001</v>
      </c>
      <c r="S80" s="418">
        <v>5.5220000000000002</v>
      </c>
      <c r="T80" s="419">
        <v>5.57</v>
      </c>
    </row>
    <row r="81" spans="1:20" x14ac:dyDescent="0.25">
      <c r="A81">
        <v>26</v>
      </c>
      <c r="B81" s="417">
        <v>2.907</v>
      </c>
      <c r="C81" s="418">
        <v>3.5139999999999998</v>
      </c>
      <c r="D81" s="418">
        <v>3.88</v>
      </c>
      <c r="E81" s="418">
        <v>4.141</v>
      </c>
      <c r="F81" s="418">
        <v>4.3449999999999998</v>
      </c>
      <c r="G81" s="418">
        <v>4.5110000000000001</v>
      </c>
      <c r="H81" s="418">
        <v>4.6520000000000001</v>
      </c>
      <c r="I81" s="418">
        <v>4.7729999999999997</v>
      </c>
      <c r="J81" s="418">
        <v>4.88</v>
      </c>
      <c r="K81" s="418">
        <v>4.9749999999999996</v>
      </c>
      <c r="L81" s="418">
        <v>5.0609999999999999</v>
      </c>
      <c r="M81" s="418">
        <v>5.1390000000000002</v>
      </c>
      <c r="N81" s="418">
        <v>5.2110000000000003</v>
      </c>
      <c r="O81" s="418">
        <v>5.2770000000000001</v>
      </c>
      <c r="P81" s="418">
        <v>5.3390000000000004</v>
      </c>
      <c r="Q81" s="418">
        <v>5.3959999999999999</v>
      </c>
      <c r="R81" s="418">
        <v>5.45</v>
      </c>
      <c r="S81" s="418">
        <v>5.5</v>
      </c>
      <c r="T81" s="419">
        <v>5.548</v>
      </c>
    </row>
    <row r="82" spans="1:20" x14ac:dyDescent="0.25">
      <c r="A82">
        <v>27</v>
      </c>
      <c r="B82" s="417">
        <v>2.9020000000000001</v>
      </c>
      <c r="C82" s="418">
        <v>3.5059999999999998</v>
      </c>
      <c r="D82" s="418">
        <v>3.87</v>
      </c>
      <c r="E82" s="418">
        <v>4.13</v>
      </c>
      <c r="F82" s="418">
        <v>4.3330000000000002</v>
      </c>
      <c r="G82" s="418">
        <v>4.4980000000000002</v>
      </c>
      <c r="H82" s="418">
        <v>4.6379999999999999</v>
      </c>
      <c r="I82" s="418">
        <v>4.758</v>
      </c>
      <c r="J82" s="418">
        <v>4.8639999999999999</v>
      </c>
      <c r="K82" s="418">
        <v>4.9589999999999996</v>
      </c>
      <c r="L82" s="418">
        <v>5.0439999999999996</v>
      </c>
      <c r="M82" s="418">
        <v>5.1219999999999999</v>
      </c>
      <c r="N82" s="418">
        <v>5.1929999999999996</v>
      </c>
      <c r="O82" s="418">
        <v>5.2590000000000003</v>
      </c>
      <c r="P82" s="418">
        <v>5.32</v>
      </c>
      <c r="Q82" s="418">
        <v>5.3769999999999998</v>
      </c>
      <c r="R82" s="418">
        <v>5.43</v>
      </c>
      <c r="S82" s="418">
        <v>5.48</v>
      </c>
      <c r="T82" s="419">
        <v>5.5279999999999996</v>
      </c>
    </row>
    <row r="83" spans="1:20" x14ac:dyDescent="0.25">
      <c r="A83">
        <v>28</v>
      </c>
      <c r="B83" s="417">
        <v>2.8969999999999998</v>
      </c>
      <c r="C83" s="418">
        <v>3.4990000000000001</v>
      </c>
      <c r="D83" s="418">
        <v>3.8610000000000002</v>
      </c>
      <c r="E83" s="418">
        <v>4.12</v>
      </c>
      <c r="F83" s="418">
        <v>4.3220000000000001</v>
      </c>
      <c r="G83" s="418">
        <v>4.4859999999999998</v>
      </c>
      <c r="H83" s="418">
        <v>4.625</v>
      </c>
      <c r="I83" s="418">
        <v>4.7450000000000001</v>
      </c>
      <c r="J83" s="418">
        <v>4.8499999999999996</v>
      </c>
      <c r="K83" s="418">
        <v>4.944</v>
      </c>
      <c r="L83" s="418">
        <v>5.0289999999999999</v>
      </c>
      <c r="M83" s="418">
        <v>5.1059999999999999</v>
      </c>
      <c r="N83" s="418">
        <v>5.1769999999999996</v>
      </c>
      <c r="O83" s="418">
        <v>5.242</v>
      </c>
      <c r="P83" s="418">
        <v>5.3019999999999996</v>
      </c>
      <c r="Q83" s="418">
        <v>5.359</v>
      </c>
      <c r="R83" s="418">
        <v>5.4119999999999999</v>
      </c>
      <c r="S83" s="418">
        <v>5.4619999999999997</v>
      </c>
      <c r="T83" s="419">
        <v>5.5090000000000003</v>
      </c>
    </row>
    <row r="84" spans="1:20" x14ac:dyDescent="0.25">
      <c r="A84">
        <v>29</v>
      </c>
      <c r="B84" s="417">
        <v>2.8919999999999999</v>
      </c>
      <c r="C84" s="418">
        <v>3.4929999999999999</v>
      </c>
      <c r="D84" s="418">
        <v>3.8530000000000002</v>
      </c>
      <c r="E84" s="418">
        <v>4.1109999999999998</v>
      </c>
      <c r="F84" s="418">
        <v>4.3109999999999999</v>
      </c>
      <c r="G84" s="418">
        <v>4.4749999999999996</v>
      </c>
      <c r="H84" s="418">
        <v>4.6130000000000004</v>
      </c>
      <c r="I84" s="418">
        <v>4.7320000000000002</v>
      </c>
      <c r="J84" s="418">
        <v>4.8369999999999997</v>
      </c>
      <c r="K84" s="418">
        <v>4.93</v>
      </c>
      <c r="L84" s="418">
        <v>5.0140000000000002</v>
      </c>
      <c r="M84" s="418">
        <v>5.0910000000000002</v>
      </c>
      <c r="N84" s="418">
        <v>5.1609999999999996</v>
      </c>
      <c r="O84" s="418">
        <v>5.226</v>
      </c>
      <c r="P84" s="418">
        <v>5.2859999999999996</v>
      </c>
      <c r="Q84" s="418">
        <v>5.3419999999999996</v>
      </c>
      <c r="R84" s="418">
        <v>5.3949999999999996</v>
      </c>
      <c r="S84" s="418">
        <v>5.4450000000000003</v>
      </c>
      <c r="T84" s="419">
        <v>5.4909999999999997</v>
      </c>
    </row>
    <row r="85" spans="1:20" x14ac:dyDescent="0.25">
      <c r="A85">
        <v>30</v>
      </c>
      <c r="B85" s="417">
        <v>2.8879999999999999</v>
      </c>
      <c r="C85" s="418">
        <v>3.4860000000000002</v>
      </c>
      <c r="D85" s="418">
        <v>3.8450000000000002</v>
      </c>
      <c r="E85" s="418">
        <v>4.1020000000000003</v>
      </c>
      <c r="F85" s="418">
        <v>4.3010000000000002</v>
      </c>
      <c r="G85" s="418">
        <v>4.4640000000000004</v>
      </c>
      <c r="H85" s="418">
        <v>4.601</v>
      </c>
      <c r="I85" s="418">
        <v>4.72</v>
      </c>
      <c r="J85" s="418">
        <v>4.8239999999999998</v>
      </c>
      <c r="K85" s="418">
        <v>4.9169999999999998</v>
      </c>
      <c r="L85" s="418">
        <v>5.0010000000000003</v>
      </c>
      <c r="M85" s="418">
        <v>5.077</v>
      </c>
      <c r="N85" s="418">
        <v>5.1470000000000002</v>
      </c>
      <c r="O85" s="418">
        <v>5.2110000000000003</v>
      </c>
      <c r="P85" s="418">
        <v>5.2709999999999999</v>
      </c>
      <c r="Q85" s="418">
        <v>5.327</v>
      </c>
      <c r="R85" s="418">
        <v>5.3789999999999996</v>
      </c>
      <c r="S85" s="418">
        <v>5.4290000000000003</v>
      </c>
      <c r="T85" s="419">
        <v>5.4749999999999996</v>
      </c>
    </row>
    <row r="86" spans="1:20" x14ac:dyDescent="0.25">
      <c r="A86">
        <v>31</v>
      </c>
      <c r="B86" s="417">
        <v>2.8839999999999999</v>
      </c>
      <c r="C86" s="418">
        <v>3.4809999999999999</v>
      </c>
      <c r="D86" s="418">
        <v>3.8380000000000001</v>
      </c>
      <c r="E86" s="418">
        <v>4.0940000000000003</v>
      </c>
      <c r="F86" s="418">
        <v>4.2919999999999998</v>
      </c>
      <c r="G86" s="418">
        <v>4.4539999999999997</v>
      </c>
      <c r="H86" s="418">
        <v>4.5910000000000002</v>
      </c>
      <c r="I86" s="418">
        <v>4.7089999999999996</v>
      </c>
      <c r="J86" s="418">
        <v>4.8120000000000003</v>
      </c>
      <c r="K86" s="418">
        <v>4.9050000000000002</v>
      </c>
      <c r="L86" s="418">
        <v>4.9880000000000004</v>
      </c>
      <c r="M86" s="418">
        <v>5.0640000000000001</v>
      </c>
      <c r="N86" s="418">
        <v>5.1340000000000003</v>
      </c>
      <c r="O86" s="418">
        <v>5.1980000000000004</v>
      </c>
      <c r="P86" s="418">
        <v>5.2569999999999997</v>
      </c>
      <c r="Q86" s="418">
        <v>5.3129999999999997</v>
      </c>
      <c r="R86" s="418">
        <v>5.3650000000000002</v>
      </c>
      <c r="S86" s="418">
        <v>5.4139999999999997</v>
      </c>
      <c r="T86" s="419">
        <v>5.46</v>
      </c>
    </row>
    <row r="87" spans="1:20" x14ac:dyDescent="0.25">
      <c r="A87">
        <v>32</v>
      </c>
      <c r="B87" s="417">
        <v>2.8809999999999998</v>
      </c>
      <c r="C87" s="418">
        <v>3.4750000000000001</v>
      </c>
      <c r="D87" s="418">
        <v>3.8319999999999999</v>
      </c>
      <c r="E87" s="418">
        <v>4.0860000000000003</v>
      </c>
      <c r="F87" s="418">
        <v>4.2839999999999998</v>
      </c>
      <c r="G87" s="418">
        <v>4.4450000000000003</v>
      </c>
      <c r="H87" s="418">
        <v>4.5810000000000004</v>
      </c>
      <c r="I87" s="418">
        <v>4.6980000000000004</v>
      </c>
      <c r="J87" s="418">
        <v>4.8019999999999996</v>
      </c>
      <c r="K87" s="418">
        <v>4.8940000000000001</v>
      </c>
      <c r="L87" s="418">
        <v>4.976</v>
      </c>
      <c r="M87" s="418">
        <v>5.0519999999999996</v>
      </c>
      <c r="N87" s="418">
        <v>5.1210000000000004</v>
      </c>
      <c r="O87" s="418">
        <v>5.1849999999999996</v>
      </c>
      <c r="P87" s="418">
        <v>5.2439999999999998</v>
      </c>
      <c r="Q87" s="418">
        <v>5.2990000000000004</v>
      </c>
      <c r="R87" s="418">
        <v>5.351</v>
      </c>
      <c r="S87" s="418">
        <v>5.4</v>
      </c>
      <c r="T87" s="419">
        <v>5.4450000000000003</v>
      </c>
    </row>
    <row r="88" spans="1:20" x14ac:dyDescent="0.25">
      <c r="A88">
        <v>33</v>
      </c>
      <c r="B88" s="417">
        <v>2.8769999999999998</v>
      </c>
      <c r="C88" s="418">
        <v>3.47</v>
      </c>
      <c r="D88" s="418">
        <v>3.8250000000000002</v>
      </c>
      <c r="E88" s="418">
        <v>4.0789999999999997</v>
      </c>
      <c r="F88" s="418">
        <v>4.2759999999999998</v>
      </c>
      <c r="G88" s="418">
        <v>4.4359999999999999</v>
      </c>
      <c r="H88" s="418">
        <v>4.5720000000000001</v>
      </c>
      <c r="I88" s="418">
        <v>4.6890000000000001</v>
      </c>
      <c r="J88" s="418">
        <v>4.7910000000000004</v>
      </c>
      <c r="K88" s="418">
        <v>4.883</v>
      </c>
      <c r="L88" s="418">
        <v>4.9649999999999999</v>
      </c>
      <c r="M88" s="418">
        <v>5.04</v>
      </c>
      <c r="N88" s="418">
        <v>5.109</v>
      </c>
      <c r="O88" s="418">
        <v>5.173</v>
      </c>
      <c r="P88" s="418">
        <v>5.2320000000000002</v>
      </c>
      <c r="Q88" s="418">
        <v>5.2869999999999999</v>
      </c>
      <c r="R88" s="418">
        <v>5.3380000000000001</v>
      </c>
      <c r="S88" s="418">
        <v>5.3860000000000001</v>
      </c>
      <c r="T88" s="419">
        <v>5.4320000000000004</v>
      </c>
    </row>
    <row r="89" spans="1:20" x14ac:dyDescent="0.25">
      <c r="A89">
        <v>34</v>
      </c>
      <c r="B89" s="417">
        <v>2.8740000000000001</v>
      </c>
      <c r="C89" s="418">
        <v>3.4649999999999999</v>
      </c>
      <c r="D89" s="418">
        <v>3.82</v>
      </c>
      <c r="E89" s="418">
        <v>4.0720000000000001</v>
      </c>
      <c r="F89" s="418">
        <v>4.2679999999999998</v>
      </c>
      <c r="G89" s="418">
        <v>4.4279999999999999</v>
      </c>
      <c r="H89" s="418">
        <v>4.5629999999999997</v>
      </c>
      <c r="I89" s="418">
        <v>4.68</v>
      </c>
      <c r="J89" s="418">
        <v>4.782</v>
      </c>
      <c r="K89" s="418">
        <v>4.8730000000000002</v>
      </c>
      <c r="L89" s="418">
        <v>4.9550000000000001</v>
      </c>
      <c r="M89" s="418">
        <v>5.03</v>
      </c>
      <c r="N89" s="418">
        <v>5.0979999999999999</v>
      </c>
      <c r="O89" s="418">
        <v>5.1609999999999996</v>
      </c>
      <c r="P89" s="418">
        <v>5.22</v>
      </c>
      <c r="Q89" s="418">
        <v>5.2750000000000004</v>
      </c>
      <c r="R89" s="418">
        <v>5.3259999999999996</v>
      </c>
      <c r="S89" s="418">
        <v>5.3739999999999997</v>
      </c>
      <c r="T89" s="419">
        <v>5.42</v>
      </c>
    </row>
    <row r="90" spans="1:20" x14ac:dyDescent="0.25">
      <c r="A90">
        <v>35</v>
      </c>
      <c r="B90" s="417">
        <v>2.871</v>
      </c>
      <c r="C90" s="418">
        <v>3.4609999999999999</v>
      </c>
      <c r="D90" s="418">
        <v>3.8140000000000001</v>
      </c>
      <c r="E90" s="418">
        <v>4.0659999999999998</v>
      </c>
      <c r="F90" s="418">
        <v>4.2610000000000001</v>
      </c>
      <c r="G90" s="418">
        <v>4.4210000000000003</v>
      </c>
      <c r="H90" s="418">
        <v>4.5549999999999997</v>
      </c>
      <c r="I90" s="418">
        <v>4.6710000000000003</v>
      </c>
      <c r="J90" s="418">
        <v>4.7729999999999997</v>
      </c>
      <c r="K90" s="418">
        <v>4.8630000000000004</v>
      </c>
      <c r="L90" s="418">
        <v>4.9450000000000003</v>
      </c>
      <c r="M90" s="418">
        <v>5.0199999999999996</v>
      </c>
      <c r="N90" s="418">
        <v>5.0880000000000001</v>
      </c>
      <c r="O90" s="418">
        <v>5.1509999999999998</v>
      </c>
      <c r="P90" s="418">
        <v>5.2089999999999996</v>
      </c>
      <c r="Q90" s="418">
        <v>5.2640000000000002</v>
      </c>
      <c r="R90" s="418">
        <v>5.3150000000000004</v>
      </c>
      <c r="S90" s="418">
        <v>5.3620000000000001</v>
      </c>
      <c r="T90" s="419">
        <v>5.4080000000000004</v>
      </c>
    </row>
    <row r="91" spans="1:20" x14ac:dyDescent="0.25">
      <c r="A91">
        <v>36</v>
      </c>
      <c r="B91" s="417">
        <v>2.8679999999999999</v>
      </c>
      <c r="C91" s="418">
        <v>3.4569999999999999</v>
      </c>
      <c r="D91" s="418">
        <v>3.8090000000000002</v>
      </c>
      <c r="E91" s="418">
        <v>4.0599999999999996</v>
      </c>
      <c r="F91" s="418">
        <v>4.2549999999999999</v>
      </c>
      <c r="G91" s="418">
        <v>4.4139999999999997</v>
      </c>
      <c r="H91" s="418">
        <v>4.5469999999999997</v>
      </c>
      <c r="I91" s="418">
        <v>4.6630000000000003</v>
      </c>
      <c r="J91" s="418">
        <v>4.7640000000000002</v>
      </c>
      <c r="K91" s="418">
        <v>4.8550000000000004</v>
      </c>
      <c r="L91" s="418">
        <v>4.9359999999999999</v>
      </c>
      <c r="M91" s="418">
        <v>5.01</v>
      </c>
      <c r="N91" s="418">
        <v>5.0780000000000003</v>
      </c>
      <c r="O91" s="418">
        <v>5.141</v>
      </c>
      <c r="P91" s="418">
        <v>5.1989999999999998</v>
      </c>
      <c r="Q91" s="418">
        <v>5.2530000000000001</v>
      </c>
      <c r="R91" s="418">
        <v>5.3040000000000003</v>
      </c>
      <c r="S91" s="418">
        <v>5.3520000000000003</v>
      </c>
      <c r="T91" s="419">
        <v>5.3970000000000002</v>
      </c>
    </row>
    <row r="92" spans="1:20" x14ac:dyDescent="0.25">
      <c r="A92">
        <v>37</v>
      </c>
      <c r="B92" s="417">
        <v>2.8650000000000002</v>
      </c>
      <c r="C92" s="418">
        <v>3.4529999999999998</v>
      </c>
      <c r="D92" s="418">
        <v>3.8039999999999998</v>
      </c>
      <c r="E92" s="418">
        <v>4.0540000000000003</v>
      </c>
      <c r="F92" s="418">
        <v>4.2489999999999997</v>
      </c>
      <c r="G92" s="418">
        <v>4.407</v>
      </c>
      <c r="H92" s="418">
        <v>4.54</v>
      </c>
      <c r="I92" s="418">
        <v>4.6550000000000002</v>
      </c>
      <c r="J92" s="418">
        <v>4.7560000000000002</v>
      </c>
      <c r="K92" s="418">
        <v>4.8460000000000001</v>
      </c>
      <c r="L92" s="418">
        <v>4.9269999999999996</v>
      </c>
      <c r="M92" s="418">
        <v>5.0010000000000003</v>
      </c>
      <c r="N92" s="418">
        <v>5.069</v>
      </c>
      <c r="O92" s="418">
        <v>5.1310000000000002</v>
      </c>
      <c r="P92" s="418">
        <v>5.1890000000000001</v>
      </c>
      <c r="Q92" s="418">
        <v>5.2430000000000003</v>
      </c>
      <c r="R92" s="418">
        <v>5.2939999999999996</v>
      </c>
      <c r="S92" s="418">
        <v>5.3410000000000002</v>
      </c>
      <c r="T92" s="419">
        <v>5.3860000000000001</v>
      </c>
    </row>
    <row r="93" spans="1:20" x14ac:dyDescent="0.25">
      <c r="A93">
        <v>38</v>
      </c>
      <c r="B93" s="417">
        <v>2.863</v>
      </c>
      <c r="C93" s="418">
        <v>3.4489999999999998</v>
      </c>
      <c r="D93" s="418">
        <v>3.7989999999999999</v>
      </c>
      <c r="E93" s="418">
        <v>4.0490000000000004</v>
      </c>
      <c r="F93" s="418">
        <v>4.2430000000000003</v>
      </c>
      <c r="G93" s="418">
        <v>4.4000000000000004</v>
      </c>
      <c r="H93" s="418">
        <v>4.5330000000000004</v>
      </c>
      <c r="I93" s="418">
        <v>4.6479999999999997</v>
      </c>
      <c r="J93" s="418">
        <v>4.7489999999999997</v>
      </c>
      <c r="K93" s="418">
        <v>4.8380000000000001</v>
      </c>
      <c r="L93" s="418">
        <v>4.9189999999999996</v>
      </c>
      <c r="M93" s="418">
        <v>4.9930000000000003</v>
      </c>
      <c r="N93" s="418">
        <v>5.0599999999999996</v>
      </c>
      <c r="O93" s="418">
        <v>5.1219999999999999</v>
      </c>
      <c r="P93" s="418">
        <v>5.18</v>
      </c>
      <c r="Q93" s="418">
        <v>5.234</v>
      </c>
      <c r="R93" s="418">
        <v>5.2839999999999998</v>
      </c>
      <c r="S93" s="418">
        <v>5.3310000000000004</v>
      </c>
      <c r="T93" s="419">
        <v>5.3760000000000003</v>
      </c>
    </row>
    <row r="94" spans="1:20" x14ac:dyDescent="0.25">
      <c r="A94">
        <v>39</v>
      </c>
      <c r="B94" s="417">
        <v>2.8610000000000002</v>
      </c>
      <c r="C94" s="418">
        <v>3.4449999999999998</v>
      </c>
      <c r="D94" s="418">
        <v>3.7949999999999999</v>
      </c>
      <c r="E94" s="418">
        <v>4.0439999999999996</v>
      </c>
      <c r="F94" s="418">
        <v>4.2370000000000001</v>
      </c>
      <c r="G94" s="418">
        <v>4.3940000000000001</v>
      </c>
      <c r="H94" s="418">
        <v>4.5270000000000001</v>
      </c>
      <c r="I94" s="418">
        <v>4.641</v>
      </c>
      <c r="J94" s="418">
        <v>4.7409999999999997</v>
      </c>
      <c r="K94" s="418">
        <v>4.8310000000000004</v>
      </c>
      <c r="L94" s="418">
        <v>4.9109999999999996</v>
      </c>
      <c r="M94" s="418">
        <v>4.9850000000000003</v>
      </c>
      <c r="N94" s="418">
        <v>5.0519999999999996</v>
      </c>
      <c r="O94" s="418">
        <v>5.1139999999999999</v>
      </c>
      <c r="P94" s="418">
        <v>5.1710000000000003</v>
      </c>
      <c r="Q94" s="418">
        <v>5.2249999999999996</v>
      </c>
      <c r="R94" s="418">
        <v>5.2750000000000004</v>
      </c>
      <c r="S94" s="418">
        <v>5.3220000000000001</v>
      </c>
      <c r="T94" s="419">
        <v>5.367</v>
      </c>
    </row>
    <row r="95" spans="1:20" x14ac:dyDescent="0.25">
      <c r="A95">
        <v>40</v>
      </c>
      <c r="B95" s="417">
        <v>2.8580000000000001</v>
      </c>
      <c r="C95" s="418">
        <v>3.4420000000000002</v>
      </c>
      <c r="D95" s="418">
        <v>3.7909999999999999</v>
      </c>
      <c r="E95" s="418">
        <v>4.0389999999999997</v>
      </c>
      <c r="F95" s="418">
        <v>4.2320000000000002</v>
      </c>
      <c r="G95" s="418">
        <v>4.3879999999999999</v>
      </c>
      <c r="H95" s="418">
        <v>4.5209999999999999</v>
      </c>
      <c r="I95" s="418">
        <v>4.6340000000000003</v>
      </c>
      <c r="J95" s="418">
        <v>4.7350000000000003</v>
      </c>
      <c r="K95" s="418">
        <v>4.8239999999999998</v>
      </c>
      <c r="L95" s="418">
        <v>4.9039999999999999</v>
      </c>
      <c r="M95" s="418">
        <v>4.9770000000000003</v>
      </c>
      <c r="N95" s="418">
        <v>5.0439999999999996</v>
      </c>
      <c r="O95" s="418">
        <v>5.1059999999999999</v>
      </c>
      <c r="P95" s="418">
        <v>5.1630000000000003</v>
      </c>
      <c r="Q95" s="418">
        <v>5.2160000000000002</v>
      </c>
      <c r="R95" s="418">
        <v>5.266</v>
      </c>
      <c r="S95" s="418">
        <v>5.3129999999999997</v>
      </c>
      <c r="T95" s="419">
        <v>5.3579999999999997</v>
      </c>
    </row>
    <row r="96" spans="1:20" x14ac:dyDescent="0.25">
      <c r="A96">
        <v>48</v>
      </c>
      <c r="B96" s="417">
        <v>2.843</v>
      </c>
      <c r="C96" s="418">
        <v>3.42</v>
      </c>
      <c r="D96" s="418">
        <v>3.7639999999999998</v>
      </c>
      <c r="E96" s="418">
        <v>4.008</v>
      </c>
      <c r="F96" s="418">
        <v>4.1970000000000001</v>
      </c>
      <c r="G96" s="418">
        <v>4.351</v>
      </c>
      <c r="H96" s="418">
        <v>4.4809999999999999</v>
      </c>
      <c r="I96" s="418">
        <v>4.5919999999999996</v>
      </c>
      <c r="J96" s="418">
        <v>4.6900000000000004</v>
      </c>
      <c r="K96" s="418">
        <v>4.7770000000000001</v>
      </c>
      <c r="L96" s="418">
        <v>4.8559999999999999</v>
      </c>
      <c r="M96" s="418">
        <v>4.9269999999999996</v>
      </c>
      <c r="N96" s="418">
        <v>4.9930000000000003</v>
      </c>
      <c r="O96" s="418">
        <v>5.0529999999999999</v>
      </c>
      <c r="P96" s="418">
        <v>5.109</v>
      </c>
      <c r="Q96" s="418">
        <v>5.1609999999999996</v>
      </c>
      <c r="R96" s="418">
        <v>5.21</v>
      </c>
      <c r="S96" s="418">
        <v>5.2560000000000002</v>
      </c>
      <c r="T96" s="419">
        <v>5.2990000000000004</v>
      </c>
    </row>
    <row r="97" spans="1:20" x14ac:dyDescent="0.25">
      <c r="A97">
        <v>60</v>
      </c>
      <c r="B97" s="417">
        <v>2.8290000000000002</v>
      </c>
      <c r="C97" s="418">
        <v>3.399</v>
      </c>
      <c r="D97" s="418">
        <v>3.7370000000000001</v>
      </c>
      <c r="E97" s="418">
        <v>3.9769999999999999</v>
      </c>
      <c r="F97" s="418">
        <v>4.1630000000000003</v>
      </c>
      <c r="G97" s="418">
        <v>4.3140000000000001</v>
      </c>
      <c r="H97" s="418">
        <v>4.4409999999999998</v>
      </c>
      <c r="I97" s="418">
        <v>4.55</v>
      </c>
      <c r="J97" s="418">
        <v>4.6459999999999999</v>
      </c>
      <c r="K97" s="418">
        <v>4.7320000000000002</v>
      </c>
      <c r="L97" s="418">
        <v>4.8079999999999998</v>
      </c>
      <c r="M97" s="418">
        <v>4.8780000000000001</v>
      </c>
      <c r="N97" s="418">
        <v>4.9420000000000002</v>
      </c>
      <c r="O97" s="418">
        <v>5.0010000000000003</v>
      </c>
      <c r="P97" s="418">
        <v>5.056</v>
      </c>
      <c r="Q97" s="418">
        <v>5.1070000000000002</v>
      </c>
      <c r="R97" s="418">
        <v>5.1539999999999999</v>
      </c>
      <c r="S97" s="418">
        <v>5.1989999999999998</v>
      </c>
      <c r="T97" s="419">
        <v>5.2409999999999997</v>
      </c>
    </row>
    <row r="98" spans="1:20" x14ac:dyDescent="0.25">
      <c r="A98">
        <v>80</v>
      </c>
      <c r="B98" s="417">
        <v>2.8140000000000001</v>
      </c>
      <c r="C98" s="418">
        <v>3.3769999999999998</v>
      </c>
      <c r="D98" s="418">
        <v>3.7109999999999999</v>
      </c>
      <c r="E98" s="418">
        <v>3.9470000000000001</v>
      </c>
      <c r="F98" s="418">
        <v>4.1289999999999996</v>
      </c>
      <c r="G98" s="418">
        <v>4.2770000000000001</v>
      </c>
      <c r="H98" s="418">
        <v>4.4020000000000001</v>
      </c>
      <c r="I98" s="418">
        <v>4.5090000000000003</v>
      </c>
      <c r="J98" s="418">
        <v>4.6029999999999998</v>
      </c>
      <c r="K98" s="418">
        <v>4.6859999999999999</v>
      </c>
      <c r="L98" s="418">
        <v>4.7610000000000001</v>
      </c>
      <c r="M98" s="418">
        <v>4.8289999999999997</v>
      </c>
      <c r="N98" s="418">
        <v>4.8920000000000003</v>
      </c>
      <c r="O98" s="418">
        <v>4.9489999999999998</v>
      </c>
      <c r="P98" s="418">
        <v>5.0030000000000001</v>
      </c>
      <c r="Q98" s="418">
        <v>5.0519999999999996</v>
      </c>
      <c r="R98" s="418">
        <v>5.0990000000000002</v>
      </c>
      <c r="S98" s="418">
        <v>5.1420000000000003</v>
      </c>
      <c r="T98" s="419">
        <v>5.1829999999999998</v>
      </c>
    </row>
    <row r="99" spans="1:20" x14ac:dyDescent="0.25">
      <c r="A99">
        <v>120</v>
      </c>
      <c r="B99" s="417">
        <v>2.8</v>
      </c>
      <c r="C99" s="418">
        <v>3.3559999999999999</v>
      </c>
      <c r="D99" s="418">
        <v>3.6850000000000001</v>
      </c>
      <c r="E99" s="418">
        <v>3.9169999999999998</v>
      </c>
      <c r="F99" s="418">
        <v>4.0960000000000001</v>
      </c>
      <c r="G99" s="418">
        <v>4.2409999999999997</v>
      </c>
      <c r="H99" s="418">
        <v>4.3630000000000004</v>
      </c>
      <c r="I99" s="418">
        <v>4.468</v>
      </c>
      <c r="J99" s="418">
        <v>4.5599999999999996</v>
      </c>
      <c r="K99" s="418">
        <v>4.641</v>
      </c>
      <c r="L99" s="418">
        <v>4.7140000000000004</v>
      </c>
      <c r="M99" s="418">
        <v>4.7809999999999997</v>
      </c>
      <c r="N99" s="418">
        <v>4.8419999999999996</v>
      </c>
      <c r="O99" s="418">
        <v>4.8979999999999997</v>
      </c>
      <c r="P99" s="418">
        <v>4.95</v>
      </c>
      <c r="Q99" s="418">
        <v>4.9980000000000002</v>
      </c>
      <c r="R99" s="418">
        <v>5.0430000000000001</v>
      </c>
      <c r="S99" s="418">
        <v>5.0860000000000003</v>
      </c>
      <c r="T99" s="419">
        <v>5.1260000000000003</v>
      </c>
    </row>
    <row r="100" spans="1:20" x14ac:dyDescent="0.25">
      <c r="A100">
        <v>240</v>
      </c>
      <c r="B100" s="417">
        <v>2.786</v>
      </c>
      <c r="C100" s="418">
        <v>3.335</v>
      </c>
      <c r="D100" s="418">
        <v>3.6589999999999998</v>
      </c>
      <c r="E100" s="418">
        <v>3.887</v>
      </c>
      <c r="F100" s="418">
        <v>4.0629999999999997</v>
      </c>
      <c r="G100" s="418">
        <v>4.2050000000000001</v>
      </c>
      <c r="H100" s="418">
        <v>4.3239999999999998</v>
      </c>
      <c r="I100" s="418">
        <v>4.4269999999999996</v>
      </c>
      <c r="J100" s="418">
        <v>4.5170000000000003</v>
      </c>
      <c r="K100" s="418">
        <v>4.5960000000000001</v>
      </c>
      <c r="L100" s="418">
        <v>4.6680000000000001</v>
      </c>
      <c r="M100" s="418">
        <v>4.7329999999999997</v>
      </c>
      <c r="N100" s="418">
        <v>4.7919999999999998</v>
      </c>
      <c r="O100" s="418">
        <v>4.8470000000000004</v>
      </c>
      <c r="P100" s="418">
        <v>4.8970000000000002</v>
      </c>
      <c r="Q100" s="418">
        <v>4.944</v>
      </c>
      <c r="R100" s="418">
        <v>4.9880000000000004</v>
      </c>
      <c r="S100" s="418">
        <v>5.03</v>
      </c>
      <c r="T100" s="419">
        <v>5.069</v>
      </c>
    </row>
    <row r="101" spans="1:20" x14ac:dyDescent="0.25">
      <c r="A101" s="12" t="s">
        <v>752</v>
      </c>
      <c r="B101" s="420">
        <v>2.7719999999999998</v>
      </c>
      <c r="C101" s="421">
        <v>3.3140000000000001</v>
      </c>
      <c r="D101" s="421">
        <v>3.633</v>
      </c>
      <c r="E101" s="421">
        <v>3.8580000000000001</v>
      </c>
      <c r="F101" s="421">
        <v>4.03</v>
      </c>
      <c r="G101" s="421">
        <v>4.17</v>
      </c>
      <c r="H101" s="421">
        <v>4.2859999999999996</v>
      </c>
      <c r="I101" s="421">
        <v>4.3869999999999996</v>
      </c>
      <c r="J101" s="421">
        <v>4.4740000000000002</v>
      </c>
      <c r="K101" s="421">
        <v>4.5519999999999996</v>
      </c>
      <c r="L101" s="421">
        <v>4.6219999999999999</v>
      </c>
      <c r="M101" s="421">
        <v>4.6849999999999996</v>
      </c>
      <c r="N101" s="421">
        <v>4.7430000000000003</v>
      </c>
      <c r="O101" s="421">
        <v>4.7960000000000003</v>
      </c>
      <c r="P101" s="421">
        <v>4.8449999999999998</v>
      </c>
      <c r="Q101" s="421">
        <v>4.891</v>
      </c>
      <c r="R101" s="421">
        <v>4.9340000000000002</v>
      </c>
      <c r="S101" s="421">
        <v>4.9740000000000002</v>
      </c>
      <c r="T101" s="422">
        <v>5.0119999999999996</v>
      </c>
    </row>
    <row r="103" spans="1:20" x14ac:dyDescent="0.25">
      <c r="B103" t="s">
        <v>31</v>
      </c>
      <c r="C103">
        <v>0.01</v>
      </c>
    </row>
    <row r="104" spans="1:20" x14ac:dyDescent="0.25">
      <c r="B104" t="s">
        <v>751</v>
      </c>
    </row>
    <row r="105" spans="1:20" x14ac:dyDescent="0.25">
      <c r="A105" s="12" t="s">
        <v>51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</row>
    <row r="106" spans="1:20" x14ac:dyDescent="0.25">
      <c r="A106">
        <v>1</v>
      </c>
      <c r="B106" s="414">
        <v>90.024000000000001</v>
      </c>
      <c r="C106" s="415">
        <v>135.041</v>
      </c>
      <c r="D106" s="415">
        <v>164.25800000000001</v>
      </c>
      <c r="E106" s="415">
        <v>185.57499999999999</v>
      </c>
      <c r="F106" s="415">
        <v>202.21</v>
      </c>
      <c r="G106" s="415">
        <v>215.76900000000001</v>
      </c>
      <c r="H106" s="415">
        <v>227.166</v>
      </c>
      <c r="I106" s="415">
        <v>236.96600000000001</v>
      </c>
      <c r="J106" s="415">
        <v>245.542</v>
      </c>
      <c r="K106" s="415">
        <v>253.15100000000001</v>
      </c>
      <c r="L106" s="415">
        <v>259.97899999999998</v>
      </c>
      <c r="M106" s="415">
        <v>266.16500000000002</v>
      </c>
      <c r="N106" s="415">
        <v>271.81200000000001</v>
      </c>
      <c r="O106" s="415">
        <v>277.00299999999999</v>
      </c>
      <c r="P106" s="415">
        <v>281.803</v>
      </c>
      <c r="Q106" s="415">
        <v>286.26299999999998</v>
      </c>
      <c r="R106" s="415">
        <v>290.42599999999999</v>
      </c>
      <c r="S106" s="415">
        <v>294.32799999999997</v>
      </c>
      <c r="T106" s="416">
        <v>297.99700000000001</v>
      </c>
    </row>
    <row r="107" spans="1:20" x14ac:dyDescent="0.25">
      <c r="A107">
        <v>2</v>
      </c>
      <c r="B107" s="417">
        <v>14.036</v>
      </c>
      <c r="C107" s="418">
        <v>19.018999999999998</v>
      </c>
      <c r="D107" s="418">
        <v>22.294</v>
      </c>
      <c r="E107" s="418">
        <v>24.716999999999999</v>
      </c>
      <c r="F107" s="418">
        <v>26.629000000000001</v>
      </c>
      <c r="G107" s="418">
        <v>28.201000000000001</v>
      </c>
      <c r="H107" s="418">
        <v>29.53</v>
      </c>
      <c r="I107" s="418">
        <v>30.678999999999998</v>
      </c>
      <c r="J107" s="418">
        <v>31.689</v>
      </c>
      <c r="K107" s="418">
        <v>32.588999999999999</v>
      </c>
      <c r="L107" s="418">
        <v>33.398000000000003</v>
      </c>
      <c r="M107" s="418">
        <v>34.134</v>
      </c>
      <c r="N107" s="418">
        <v>34.805999999999997</v>
      </c>
      <c r="O107" s="418">
        <v>35.426000000000002</v>
      </c>
      <c r="P107" s="418">
        <v>36</v>
      </c>
      <c r="Q107" s="418">
        <v>36.533999999999999</v>
      </c>
      <c r="R107" s="418">
        <v>37.033999999999999</v>
      </c>
      <c r="S107" s="418">
        <v>37.502000000000002</v>
      </c>
      <c r="T107" s="419">
        <v>37.942999999999998</v>
      </c>
    </row>
    <row r="108" spans="1:20" x14ac:dyDescent="0.25">
      <c r="A108">
        <v>3</v>
      </c>
      <c r="B108" s="417">
        <v>8.26</v>
      </c>
      <c r="C108" s="418">
        <v>10.619</v>
      </c>
      <c r="D108" s="418">
        <v>12.17</v>
      </c>
      <c r="E108" s="418">
        <v>13.324</v>
      </c>
      <c r="F108" s="418">
        <v>14.241</v>
      </c>
      <c r="G108" s="418">
        <v>14.997999999999999</v>
      </c>
      <c r="H108" s="418">
        <v>15.641</v>
      </c>
      <c r="I108" s="418">
        <v>16.199000000000002</v>
      </c>
      <c r="J108" s="418">
        <v>16.690999999999999</v>
      </c>
      <c r="K108" s="418">
        <v>17.13</v>
      </c>
      <c r="L108" s="418">
        <v>17.526</v>
      </c>
      <c r="M108" s="418">
        <v>17.887</v>
      </c>
      <c r="N108" s="418">
        <v>18.216999999999999</v>
      </c>
      <c r="O108" s="418">
        <v>18.521999999999998</v>
      </c>
      <c r="P108" s="418">
        <v>18.805</v>
      </c>
      <c r="Q108" s="418">
        <v>19.068000000000001</v>
      </c>
      <c r="R108" s="418">
        <v>19.315000000000001</v>
      </c>
      <c r="S108" s="418">
        <v>19.545999999999999</v>
      </c>
      <c r="T108" s="419">
        <v>19.765000000000001</v>
      </c>
    </row>
    <row r="109" spans="1:20" x14ac:dyDescent="0.25">
      <c r="A109">
        <v>4</v>
      </c>
      <c r="B109" s="417">
        <v>6.5110000000000001</v>
      </c>
      <c r="C109" s="418">
        <v>8.1199999999999992</v>
      </c>
      <c r="D109" s="418">
        <v>9.173</v>
      </c>
      <c r="E109" s="418">
        <v>9.9580000000000002</v>
      </c>
      <c r="F109" s="418">
        <v>10.583</v>
      </c>
      <c r="G109" s="418">
        <v>11.101000000000001</v>
      </c>
      <c r="H109" s="418">
        <v>11.542</v>
      </c>
      <c r="I109" s="418">
        <v>11.925000000000001</v>
      </c>
      <c r="J109" s="418">
        <v>12.263999999999999</v>
      </c>
      <c r="K109" s="418">
        <v>12.567</v>
      </c>
      <c r="L109" s="418">
        <v>12.84</v>
      </c>
      <c r="M109" s="418">
        <v>13.09</v>
      </c>
      <c r="N109" s="418">
        <v>13.318</v>
      </c>
      <c r="O109" s="418">
        <v>13.53</v>
      </c>
      <c r="P109" s="418">
        <v>13.726000000000001</v>
      </c>
      <c r="Q109" s="418">
        <v>13.909000000000001</v>
      </c>
      <c r="R109" s="418">
        <v>14.081</v>
      </c>
      <c r="S109" s="418">
        <v>14.242000000000001</v>
      </c>
      <c r="T109" s="419">
        <v>14.394</v>
      </c>
    </row>
    <row r="110" spans="1:20" x14ac:dyDescent="0.25">
      <c r="A110">
        <v>5</v>
      </c>
      <c r="B110" s="417">
        <v>5.702</v>
      </c>
      <c r="C110" s="418">
        <v>6.976</v>
      </c>
      <c r="D110" s="418">
        <v>7.8040000000000003</v>
      </c>
      <c r="E110" s="418">
        <v>8.4209999999999994</v>
      </c>
      <c r="F110" s="418">
        <v>8.9130000000000003</v>
      </c>
      <c r="G110" s="418">
        <v>9.3209999999999997</v>
      </c>
      <c r="H110" s="418">
        <v>9.6690000000000005</v>
      </c>
      <c r="I110" s="418">
        <v>9.9710000000000001</v>
      </c>
      <c r="J110" s="418">
        <v>10.239000000000001</v>
      </c>
      <c r="K110" s="418">
        <v>10.478999999999999</v>
      </c>
      <c r="L110" s="418">
        <v>10.696</v>
      </c>
      <c r="M110" s="418">
        <v>10.894</v>
      </c>
      <c r="N110" s="418">
        <v>11.076000000000001</v>
      </c>
      <c r="O110" s="418">
        <v>11.244</v>
      </c>
      <c r="P110" s="418">
        <v>11.4</v>
      </c>
      <c r="Q110" s="418">
        <v>11.545</v>
      </c>
      <c r="R110" s="418">
        <v>11.682</v>
      </c>
      <c r="S110" s="418">
        <v>11.811</v>
      </c>
      <c r="T110" s="419">
        <v>11.932</v>
      </c>
    </row>
    <row r="111" spans="1:20" x14ac:dyDescent="0.25">
      <c r="A111">
        <v>6</v>
      </c>
      <c r="B111" s="417">
        <v>5.2430000000000003</v>
      </c>
      <c r="C111" s="418">
        <v>6.3310000000000004</v>
      </c>
      <c r="D111" s="418">
        <v>7.0330000000000004</v>
      </c>
      <c r="E111" s="418">
        <v>7.556</v>
      </c>
      <c r="F111" s="418">
        <v>7.9720000000000004</v>
      </c>
      <c r="G111" s="418">
        <v>8.3179999999999996</v>
      </c>
      <c r="H111" s="418">
        <v>8.6120000000000001</v>
      </c>
      <c r="I111" s="418">
        <v>8.8689999999999998</v>
      </c>
      <c r="J111" s="418">
        <v>9.0969999999999995</v>
      </c>
      <c r="K111" s="418">
        <v>9.3000000000000007</v>
      </c>
      <c r="L111" s="418">
        <v>9.4849999999999994</v>
      </c>
      <c r="M111" s="418">
        <v>9.6530000000000005</v>
      </c>
      <c r="N111" s="418">
        <v>9.8079999999999998</v>
      </c>
      <c r="O111" s="418">
        <v>9.9510000000000005</v>
      </c>
      <c r="P111" s="418">
        <v>10.084</v>
      </c>
      <c r="Q111" s="418">
        <v>10.208</v>
      </c>
      <c r="R111" s="418">
        <v>10.324999999999999</v>
      </c>
      <c r="S111" s="418">
        <v>10.433999999999999</v>
      </c>
      <c r="T111" s="419">
        <v>10.538</v>
      </c>
    </row>
    <row r="112" spans="1:20" x14ac:dyDescent="0.25">
      <c r="A112">
        <v>7</v>
      </c>
      <c r="B112" s="417">
        <v>4.9489999999999998</v>
      </c>
      <c r="C112" s="418">
        <v>5.9189999999999996</v>
      </c>
      <c r="D112" s="418">
        <v>6.5419999999999998</v>
      </c>
      <c r="E112" s="418">
        <v>7.0049999999999999</v>
      </c>
      <c r="F112" s="418">
        <v>7.3730000000000002</v>
      </c>
      <c r="G112" s="418">
        <v>7.6779999999999999</v>
      </c>
      <c r="H112" s="418">
        <v>7.9390000000000001</v>
      </c>
      <c r="I112" s="418">
        <v>8.1660000000000004</v>
      </c>
      <c r="J112" s="418">
        <v>8.3670000000000009</v>
      </c>
      <c r="K112" s="418">
        <v>8.548</v>
      </c>
      <c r="L112" s="418">
        <v>8.7110000000000003</v>
      </c>
      <c r="M112" s="418">
        <v>8.86</v>
      </c>
      <c r="N112" s="418">
        <v>8.9969999999999999</v>
      </c>
      <c r="O112" s="418">
        <v>9.1240000000000006</v>
      </c>
      <c r="P112" s="418">
        <v>9.2420000000000009</v>
      </c>
      <c r="Q112" s="418">
        <v>9.3529999999999998</v>
      </c>
      <c r="R112" s="418">
        <v>9.4559999999999995</v>
      </c>
      <c r="S112" s="418">
        <v>9.5530000000000008</v>
      </c>
      <c r="T112" s="419">
        <v>9.6449999999999996</v>
      </c>
    </row>
    <row r="113" spans="1:20" x14ac:dyDescent="0.25">
      <c r="A113">
        <v>8</v>
      </c>
      <c r="B113" s="417">
        <v>4.7450000000000001</v>
      </c>
      <c r="C113" s="418">
        <v>5.6349999999999998</v>
      </c>
      <c r="D113" s="418">
        <v>6.2039999999999997</v>
      </c>
      <c r="E113" s="418">
        <v>6.625</v>
      </c>
      <c r="F113" s="418">
        <v>6.9589999999999996</v>
      </c>
      <c r="G113" s="418">
        <v>7.2370000000000001</v>
      </c>
      <c r="H113" s="418">
        <v>7.4740000000000002</v>
      </c>
      <c r="I113" s="418">
        <v>7.68</v>
      </c>
      <c r="J113" s="418">
        <v>7.8630000000000004</v>
      </c>
      <c r="K113" s="418">
        <v>8.0269999999999992</v>
      </c>
      <c r="L113" s="418">
        <v>8.1760000000000002</v>
      </c>
      <c r="M113" s="418">
        <v>8.3109999999999999</v>
      </c>
      <c r="N113" s="418">
        <v>8.4359999999999999</v>
      </c>
      <c r="O113" s="418">
        <v>8.5519999999999996</v>
      </c>
      <c r="P113" s="418">
        <v>8.6590000000000007</v>
      </c>
      <c r="Q113" s="418">
        <v>8.76</v>
      </c>
      <c r="R113" s="418">
        <v>8.8539999999999992</v>
      </c>
      <c r="S113" s="418">
        <v>8.9429999999999996</v>
      </c>
      <c r="T113" s="419">
        <v>9.0269999999999992</v>
      </c>
    </row>
    <row r="114" spans="1:20" x14ac:dyDescent="0.25">
      <c r="A114">
        <v>9</v>
      </c>
      <c r="B114" s="417">
        <v>4.5960000000000001</v>
      </c>
      <c r="C114" s="418">
        <v>5.4279999999999999</v>
      </c>
      <c r="D114" s="418">
        <v>5.9569999999999999</v>
      </c>
      <c r="E114" s="418">
        <v>6.3470000000000004</v>
      </c>
      <c r="F114" s="418">
        <v>6.657</v>
      </c>
      <c r="G114" s="418">
        <v>6.915</v>
      </c>
      <c r="H114" s="418">
        <v>7.1340000000000003</v>
      </c>
      <c r="I114" s="418">
        <v>7.3250000000000002</v>
      </c>
      <c r="J114" s="418">
        <v>7.4939999999999998</v>
      </c>
      <c r="K114" s="418">
        <v>7.6459999999999999</v>
      </c>
      <c r="L114" s="418">
        <v>7.7839999999999998</v>
      </c>
      <c r="M114" s="418">
        <v>7.91</v>
      </c>
      <c r="N114" s="418">
        <v>8.0250000000000004</v>
      </c>
      <c r="O114" s="418">
        <v>8.1319999999999997</v>
      </c>
      <c r="P114" s="418">
        <v>8.2319999999999993</v>
      </c>
      <c r="Q114" s="418">
        <v>8.3249999999999993</v>
      </c>
      <c r="R114" s="418">
        <v>8.4120000000000008</v>
      </c>
      <c r="S114" s="418">
        <v>8.4949999999999992</v>
      </c>
      <c r="T114" s="419">
        <v>8.5730000000000004</v>
      </c>
    </row>
    <row r="115" spans="1:20" x14ac:dyDescent="0.25">
      <c r="A115">
        <v>10</v>
      </c>
      <c r="B115" s="417">
        <v>4.4820000000000002</v>
      </c>
      <c r="C115" s="418">
        <v>5.27</v>
      </c>
      <c r="D115" s="418">
        <v>5.7690000000000001</v>
      </c>
      <c r="E115" s="418">
        <v>6.1360000000000001</v>
      </c>
      <c r="F115" s="418">
        <v>6.4279999999999999</v>
      </c>
      <c r="G115" s="418">
        <v>6.6689999999999996</v>
      </c>
      <c r="H115" s="418">
        <v>6.875</v>
      </c>
      <c r="I115" s="418">
        <v>7.0540000000000003</v>
      </c>
      <c r="J115" s="418">
        <v>7.2130000000000001</v>
      </c>
      <c r="K115" s="418">
        <v>7.3559999999999999</v>
      </c>
      <c r="L115" s="418">
        <v>7.4850000000000003</v>
      </c>
      <c r="M115" s="418">
        <v>7.6029999999999998</v>
      </c>
      <c r="N115" s="418">
        <v>7.7119999999999997</v>
      </c>
      <c r="O115" s="418">
        <v>7.8120000000000003</v>
      </c>
      <c r="P115" s="418">
        <v>7.9059999999999997</v>
      </c>
      <c r="Q115" s="418">
        <v>7.9930000000000003</v>
      </c>
      <c r="R115" s="418">
        <v>8.0749999999999993</v>
      </c>
      <c r="S115" s="418">
        <v>8.1530000000000005</v>
      </c>
      <c r="T115" s="419">
        <v>8.2260000000000009</v>
      </c>
    </row>
    <row r="116" spans="1:20" x14ac:dyDescent="0.25">
      <c r="A116">
        <v>11</v>
      </c>
      <c r="B116" s="417">
        <v>4.3920000000000003</v>
      </c>
      <c r="C116" s="418">
        <v>5.1459999999999999</v>
      </c>
      <c r="D116" s="418">
        <v>5.6210000000000004</v>
      </c>
      <c r="E116" s="418">
        <v>5.97</v>
      </c>
      <c r="F116" s="418">
        <v>6.2469999999999999</v>
      </c>
      <c r="G116" s="418">
        <v>6.476</v>
      </c>
      <c r="H116" s="418">
        <v>6.6710000000000003</v>
      </c>
      <c r="I116" s="418">
        <v>6.8410000000000002</v>
      </c>
      <c r="J116" s="418">
        <v>6.992</v>
      </c>
      <c r="K116" s="418">
        <v>7.1269999999999998</v>
      </c>
      <c r="L116" s="418">
        <v>7.25</v>
      </c>
      <c r="M116" s="418">
        <v>7.3620000000000001</v>
      </c>
      <c r="N116" s="418">
        <v>7.4640000000000004</v>
      </c>
      <c r="O116" s="418">
        <v>7.56</v>
      </c>
      <c r="P116" s="418">
        <v>7.6479999999999997</v>
      </c>
      <c r="Q116" s="418">
        <v>7.7309999999999999</v>
      </c>
      <c r="R116" s="418">
        <v>7.8090000000000002</v>
      </c>
      <c r="S116" s="418">
        <v>7.883</v>
      </c>
      <c r="T116" s="419">
        <v>7.952</v>
      </c>
    </row>
    <row r="117" spans="1:20" x14ac:dyDescent="0.25">
      <c r="A117">
        <v>12</v>
      </c>
      <c r="B117" s="417">
        <v>4.32</v>
      </c>
      <c r="C117" s="418">
        <v>5.0460000000000003</v>
      </c>
      <c r="D117" s="418">
        <v>5.5019999999999998</v>
      </c>
      <c r="E117" s="418">
        <v>5.8360000000000003</v>
      </c>
      <c r="F117" s="418">
        <v>6.101</v>
      </c>
      <c r="G117" s="418">
        <v>6.32</v>
      </c>
      <c r="H117" s="418">
        <v>6.5069999999999997</v>
      </c>
      <c r="I117" s="418">
        <v>6.67</v>
      </c>
      <c r="J117" s="418">
        <v>6.8140000000000001</v>
      </c>
      <c r="K117" s="418">
        <v>6.9429999999999996</v>
      </c>
      <c r="L117" s="418">
        <v>7.06</v>
      </c>
      <c r="M117" s="418">
        <v>7.1660000000000004</v>
      </c>
      <c r="N117" s="418">
        <v>7.2649999999999997</v>
      </c>
      <c r="O117" s="418">
        <v>7.3559999999999999</v>
      </c>
      <c r="P117" s="418">
        <v>7.4409999999999998</v>
      </c>
      <c r="Q117" s="418">
        <v>7.52</v>
      </c>
      <c r="R117" s="418">
        <v>7.5940000000000003</v>
      </c>
      <c r="S117" s="418">
        <v>7.6639999999999997</v>
      </c>
      <c r="T117" s="419">
        <v>7.73</v>
      </c>
    </row>
    <row r="118" spans="1:20" x14ac:dyDescent="0.25">
      <c r="A118">
        <v>13</v>
      </c>
      <c r="B118" s="417">
        <v>4.26</v>
      </c>
      <c r="C118" s="418">
        <v>4.9640000000000004</v>
      </c>
      <c r="D118" s="418">
        <v>5.4039999999999999</v>
      </c>
      <c r="E118" s="418">
        <v>5.726</v>
      </c>
      <c r="F118" s="418">
        <v>5.9809999999999999</v>
      </c>
      <c r="G118" s="418">
        <v>6.1920000000000002</v>
      </c>
      <c r="H118" s="418">
        <v>6.3719999999999999</v>
      </c>
      <c r="I118" s="418">
        <v>6.5279999999999996</v>
      </c>
      <c r="J118" s="418">
        <v>6.6660000000000004</v>
      </c>
      <c r="K118" s="418">
        <v>6.7910000000000004</v>
      </c>
      <c r="L118" s="418">
        <v>6.9029999999999996</v>
      </c>
      <c r="M118" s="418">
        <v>7.0060000000000002</v>
      </c>
      <c r="N118" s="418">
        <v>7.1</v>
      </c>
      <c r="O118" s="418">
        <v>7.1879999999999997</v>
      </c>
      <c r="P118" s="418">
        <v>7.2690000000000001</v>
      </c>
      <c r="Q118" s="418">
        <v>7.3449999999999998</v>
      </c>
      <c r="R118" s="418">
        <v>7.4169999999999998</v>
      </c>
      <c r="S118" s="418">
        <v>7.484</v>
      </c>
      <c r="T118" s="419">
        <v>7.548</v>
      </c>
    </row>
    <row r="119" spans="1:20" x14ac:dyDescent="0.25">
      <c r="A119">
        <v>14</v>
      </c>
      <c r="B119" s="417">
        <v>4.21</v>
      </c>
      <c r="C119" s="418">
        <v>4.8949999999999996</v>
      </c>
      <c r="D119" s="418">
        <v>5.3220000000000001</v>
      </c>
      <c r="E119" s="418">
        <v>5.6340000000000003</v>
      </c>
      <c r="F119" s="418">
        <v>5.8810000000000002</v>
      </c>
      <c r="G119" s="418">
        <v>6.085</v>
      </c>
      <c r="H119" s="418">
        <v>6.258</v>
      </c>
      <c r="I119" s="418">
        <v>6.4089999999999998</v>
      </c>
      <c r="J119" s="418">
        <v>6.5430000000000001</v>
      </c>
      <c r="K119" s="418">
        <v>6.6630000000000003</v>
      </c>
      <c r="L119" s="418">
        <v>6.7720000000000002</v>
      </c>
      <c r="M119" s="418">
        <v>6.8710000000000004</v>
      </c>
      <c r="N119" s="418">
        <v>6.9619999999999997</v>
      </c>
      <c r="O119" s="418">
        <v>7.0469999999999997</v>
      </c>
      <c r="P119" s="418">
        <v>7.125</v>
      </c>
      <c r="Q119" s="418">
        <v>7.1989999999999998</v>
      </c>
      <c r="R119" s="418">
        <v>7.2679999999999998</v>
      </c>
      <c r="S119" s="418">
        <v>7.3330000000000002</v>
      </c>
      <c r="T119" s="419">
        <v>7.3940000000000001</v>
      </c>
    </row>
    <row r="120" spans="1:20" x14ac:dyDescent="0.25">
      <c r="A120">
        <v>15</v>
      </c>
      <c r="B120" s="417">
        <v>4.1669999999999998</v>
      </c>
      <c r="C120" s="418">
        <v>4.8360000000000003</v>
      </c>
      <c r="D120" s="418">
        <v>5.2519999999999998</v>
      </c>
      <c r="E120" s="418">
        <v>5.556</v>
      </c>
      <c r="F120" s="418">
        <v>5.7960000000000003</v>
      </c>
      <c r="G120" s="418">
        <v>5.9939999999999998</v>
      </c>
      <c r="H120" s="418">
        <v>6.1619999999999999</v>
      </c>
      <c r="I120" s="418">
        <v>6.3090000000000002</v>
      </c>
      <c r="J120" s="418">
        <v>6.4379999999999997</v>
      </c>
      <c r="K120" s="418">
        <v>6.5549999999999997</v>
      </c>
      <c r="L120" s="418">
        <v>6.66</v>
      </c>
      <c r="M120" s="418">
        <v>6.7560000000000002</v>
      </c>
      <c r="N120" s="418">
        <v>6.8449999999999998</v>
      </c>
      <c r="O120" s="418">
        <v>6.9269999999999996</v>
      </c>
      <c r="P120" s="418">
        <v>7.0030000000000001</v>
      </c>
      <c r="Q120" s="418">
        <v>7.0739999999999998</v>
      </c>
      <c r="R120" s="418">
        <v>7.141</v>
      </c>
      <c r="S120" s="418">
        <v>7.2039999999999997</v>
      </c>
      <c r="T120" s="419">
        <v>7.2640000000000002</v>
      </c>
    </row>
    <row r="121" spans="1:20" x14ac:dyDescent="0.25">
      <c r="A121">
        <v>16</v>
      </c>
      <c r="B121" s="417">
        <v>4.1310000000000002</v>
      </c>
      <c r="C121" s="418">
        <v>4.7859999999999996</v>
      </c>
      <c r="D121" s="418">
        <v>5.1920000000000002</v>
      </c>
      <c r="E121" s="418">
        <v>5.4889999999999999</v>
      </c>
      <c r="F121" s="418">
        <v>5.7220000000000004</v>
      </c>
      <c r="G121" s="418">
        <v>5.915</v>
      </c>
      <c r="H121" s="418">
        <v>6.0789999999999997</v>
      </c>
      <c r="I121" s="418">
        <v>6.2220000000000004</v>
      </c>
      <c r="J121" s="418">
        <v>6.3479999999999999</v>
      </c>
      <c r="K121" s="418">
        <v>6.4610000000000003</v>
      </c>
      <c r="L121" s="418">
        <v>6.5640000000000001</v>
      </c>
      <c r="M121" s="418">
        <v>6.6580000000000004</v>
      </c>
      <c r="N121" s="418">
        <v>6.7439999999999998</v>
      </c>
      <c r="O121" s="418">
        <v>6.8230000000000004</v>
      </c>
      <c r="P121" s="418">
        <v>6.8970000000000002</v>
      </c>
      <c r="Q121" s="418">
        <v>6.9669999999999996</v>
      </c>
      <c r="R121" s="418">
        <v>7.032</v>
      </c>
      <c r="S121" s="418">
        <v>7.093</v>
      </c>
      <c r="T121" s="419">
        <v>7.1509999999999998</v>
      </c>
    </row>
    <row r="122" spans="1:20" x14ac:dyDescent="0.25">
      <c r="A122">
        <v>17</v>
      </c>
      <c r="B122" s="417">
        <v>4.0990000000000002</v>
      </c>
      <c r="C122" s="418">
        <v>4.742</v>
      </c>
      <c r="D122" s="418">
        <v>5.14</v>
      </c>
      <c r="E122" s="418">
        <v>5.43</v>
      </c>
      <c r="F122" s="418">
        <v>5.6589999999999998</v>
      </c>
      <c r="G122" s="418">
        <v>5.8470000000000004</v>
      </c>
      <c r="H122" s="418">
        <v>6.0069999999999997</v>
      </c>
      <c r="I122" s="418">
        <v>6.1470000000000002</v>
      </c>
      <c r="J122" s="418">
        <v>6.27</v>
      </c>
      <c r="K122" s="418">
        <v>6.38</v>
      </c>
      <c r="L122" s="418">
        <v>6.48</v>
      </c>
      <c r="M122" s="418">
        <v>6.5720000000000001</v>
      </c>
      <c r="N122" s="418">
        <v>6.6559999999999997</v>
      </c>
      <c r="O122" s="418">
        <v>6.7329999999999997</v>
      </c>
      <c r="P122" s="418">
        <v>6.806</v>
      </c>
      <c r="Q122" s="418">
        <v>6.8730000000000002</v>
      </c>
      <c r="R122" s="418">
        <v>6.9370000000000003</v>
      </c>
      <c r="S122" s="418">
        <v>6.9969999999999999</v>
      </c>
      <c r="T122" s="419">
        <v>7.0529999999999999</v>
      </c>
    </row>
    <row r="123" spans="1:20" x14ac:dyDescent="0.25">
      <c r="A123">
        <v>18</v>
      </c>
      <c r="B123" s="417">
        <v>4.0709999999999997</v>
      </c>
      <c r="C123" s="418">
        <v>4.7030000000000003</v>
      </c>
      <c r="D123" s="418">
        <v>5.0940000000000003</v>
      </c>
      <c r="E123" s="418">
        <v>5.3789999999999996</v>
      </c>
      <c r="F123" s="418">
        <v>5.6029999999999998</v>
      </c>
      <c r="G123" s="418">
        <v>5.7869999999999999</v>
      </c>
      <c r="H123" s="418">
        <v>5.944</v>
      </c>
      <c r="I123" s="418">
        <v>6.0810000000000004</v>
      </c>
      <c r="J123" s="418">
        <v>6.2009999999999996</v>
      </c>
      <c r="K123" s="418">
        <v>6.3090000000000002</v>
      </c>
      <c r="L123" s="418">
        <v>6.407</v>
      </c>
      <c r="M123" s="418">
        <v>6.4960000000000004</v>
      </c>
      <c r="N123" s="418">
        <v>6.5789999999999997</v>
      </c>
      <c r="O123" s="418">
        <v>6.6550000000000002</v>
      </c>
      <c r="P123" s="418">
        <v>6.7249999999999996</v>
      </c>
      <c r="Q123" s="418">
        <v>6.7910000000000004</v>
      </c>
      <c r="R123" s="418">
        <v>6.8540000000000001</v>
      </c>
      <c r="S123" s="418">
        <v>6.9119999999999999</v>
      </c>
      <c r="T123" s="419">
        <v>6.9669999999999996</v>
      </c>
    </row>
    <row r="124" spans="1:20" x14ac:dyDescent="0.25">
      <c r="A124">
        <v>19</v>
      </c>
      <c r="B124" s="417">
        <v>4.0460000000000003</v>
      </c>
      <c r="C124" s="418">
        <v>4.6689999999999996</v>
      </c>
      <c r="D124" s="418">
        <v>5.0540000000000003</v>
      </c>
      <c r="E124" s="418">
        <v>5.3339999999999996</v>
      </c>
      <c r="F124" s="418">
        <v>5.5529999999999999</v>
      </c>
      <c r="G124" s="418">
        <v>5.7350000000000003</v>
      </c>
      <c r="H124" s="418">
        <v>5.8890000000000002</v>
      </c>
      <c r="I124" s="418">
        <v>6.0220000000000002</v>
      </c>
      <c r="J124" s="418">
        <v>6.141</v>
      </c>
      <c r="K124" s="418">
        <v>6.2460000000000004</v>
      </c>
      <c r="L124" s="418">
        <v>6.3419999999999996</v>
      </c>
      <c r="M124" s="418">
        <v>6.43</v>
      </c>
      <c r="N124" s="418">
        <v>6.51</v>
      </c>
      <c r="O124" s="418">
        <v>6.585</v>
      </c>
      <c r="P124" s="418">
        <v>6.6539999999999999</v>
      </c>
      <c r="Q124" s="418">
        <v>6.7190000000000003</v>
      </c>
      <c r="R124" s="418">
        <v>6.78</v>
      </c>
      <c r="S124" s="418">
        <v>6.8369999999999997</v>
      </c>
      <c r="T124" s="419">
        <v>6.891</v>
      </c>
    </row>
    <row r="125" spans="1:20" x14ac:dyDescent="0.25">
      <c r="A125">
        <v>20</v>
      </c>
      <c r="B125" s="417">
        <v>4.024</v>
      </c>
      <c r="C125" s="418">
        <v>4.6390000000000002</v>
      </c>
      <c r="D125" s="418">
        <v>5.0179999999999998</v>
      </c>
      <c r="E125" s="418">
        <v>5.2930000000000001</v>
      </c>
      <c r="F125" s="418">
        <v>5.51</v>
      </c>
      <c r="G125" s="418">
        <v>5.6879999999999997</v>
      </c>
      <c r="H125" s="418">
        <v>5.8390000000000004</v>
      </c>
      <c r="I125" s="418">
        <v>5.97</v>
      </c>
      <c r="J125" s="418">
        <v>6.0860000000000003</v>
      </c>
      <c r="K125" s="418">
        <v>6.19</v>
      </c>
      <c r="L125" s="418">
        <v>6.2850000000000001</v>
      </c>
      <c r="M125" s="418">
        <v>6.37</v>
      </c>
      <c r="N125" s="418">
        <v>6.4489999999999998</v>
      </c>
      <c r="O125" s="418">
        <v>6.5229999999999997</v>
      </c>
      <c r="P125" s="418">
        <v>6.5910000000000002</v>
      </c>
      <c r="Q125" s="418">
        <v>6.6539999999999999</v>
      </c>
      <c r="R125" s="418">
        <v>6.7140000000000004</v>
      </c>
      <c r="S125" s="418">
        <v>6.77</v>
      </c>
      <c r="T125" s="419">
        <v>6.8230000000000004</v>
      </c>
    </row>
    <row r="126" spans="1:20" x14ac:dyDescent="0.25">
      <c r="A126">
        <v>21</v>
      </c>
      <c r="B126" s="417">
        <v>4.0039999999999996</v>
      </c>
      <c r="C126" s="418">
        <v>4.6120000000000001</v>
      </c>
      <c r="D126" s="418">
        <v>4.9859999999999998</v>
      </c>
      <c r="E126" s="418">
        <v>5.2569999999999997</v>
      </c>
      <c r="F126" s="418">
        <v>5.47</v>
      </c>
      <c r="G126" s="418">
        <v>5.6459999999999999</v>
      </c>
      <c r="H126" s="418">
        <v>5.7939999999999996</v>
      </c>
      <c r="I126" s="418">
        <v>5.9240000000000004</v>
      </c>
      <c r="J126" s="418">
        <v>6.0380000000000003</v>
      </c>
      <c r="K126" s="418">
        <v>6.14</v>
      </c>
      <c r="L126" s="418">
        <v>6.2329999999999997</v>
      </c>
      <c r="M126" s="418">
        <v>6.3170000000000002</v>
      </c>
      <c r="N126" s="418">
        <v>6.3949999999999996</v>
      </c>
      <c r="O126" s="418">
        <v>6.4669999999999996</v>
      </c>
      <c r="P126" s="418">
        <v>6.5339999999999998</v>
      </c>
      <c r="Q126" s="418">
        <v>6.5960000000000001</v>
      </c>
      <c r="R126" s="418">
        <v>6.6550000000000002</v>
      </c>
      <c r="S126" s="418">
        <v>6.71</v>
      </c>
      <c r="T126" s="419">
        <v>6.7619999999999996</v>
      </c>
    </row>
    <row r="127" spans="1:20" x14ac:dyDescent="0.25">
      <c r="A127">
        <v>22</v>
      </c>
      <c r="B127" s="417">
        <v>3.9860000000000002</v>
      </c>
      <c r="C127" s="418">
        <v>4.5880000000000001</v>
      </c>
      <c r="D127" s="418">
        <v>4.9569999999999999</v>
      </c>
      <c r="E127" s="418">
        <v>5.2249999999999996</v>
      </c>
      <c r="F127" s="418">
        <v>5.4349999999999996</v>
      </c>
      <c r="G127" s="418">
        <v>5.6079999999999997</v>
      </c>
      <c r="H127" s="418">
        <v>5.7539999999999996</v>
      </c>
      <c r="I127" s="418">
        <v>5.8819999999999997</v>
      </c>
      <c r="J127" s="418">
        <v>5.9939999999999998</v>
      </c>
      <c r="K127" s="418">
        <v>6.0949999999999998</v>
      </c>
      <c r="L127" s="418">
        <v>6.1859999999999999</v>
      </c>
      <c r="M127" s="418">
        <v>6.2690000000000001</v>
      </c>
      <c r="N127" s="418">
        <v>6.3460000000000001</v>
      </c>
      <c r="O127" s="418">
        <v>6.4169999999999998</v>
      </c>
      <c r="P127" s="418">
        <v>6.4820000000000002</v>
      </c>
      <c r="Q127" s="418">
        <v>6.5439999999999996</v>
      </c>
      <c r="R127" s="418">
        <v>6.6020000000000003</v>
      </c>
      <c r="S127" s="418">
        <v>6.6559999999999997</v>
      </c>
      <c r="T127" s="419">
        <v>6.7069999999999999</v>
      </c>
    </row>
    <row r="128" spans="1:20" x14ac:dyDescent="0.25">
      <c r="A128">
        <v>23</v>
      </c>
      <c r="B128" s="417">
        <v>3.97</v>
      </c>
      <c r="C128" s="418">
        <v>4.5659999999999998</v>
      </c>
      <c r="D128" s="418">
        <v>4.931</v>
      </c>
      <c r="E128" s="418">
        <v>5.1950000000000003</v>
      </c>
      <c r="F128" s="418">
        <v>5.4029999999999996</v>
      </c>
      <c r="G128" s="418">
        <v>5.5730000000000004</v>
      </c>
      <c r="H128" s="418">
        <v>5.718</v>
      </c>
      <c r="I128" s="418">
        <v>5.8440000000000003</v>
      </c>
      <c r="J128" s="418">
        <v>5.9550000000000001</v>
      </c>
      <c r="K128" s="418">
        <v>6.0540000000000003</v>
      </c>
      <c r="L128" s="418">
        <v>6.1440000000000001</v>
      </c>
      <c r="M128" s="418">
        <v>6.226</v>
      </c>
      <c r="N128" s="418">
        <v>6.3010000000000002</v>
      </c>
      <c r="O128" s="418">
        <v>6.3710000000000004</v>
      </c>
      <c r="P128" s="418">
        <v>6.4359999999999999</v>
      </c>
      <c r="Q128" s="418">
        <v>6.4969999999999999</v>
      </c>
      <c r="R128" s="418">
        <v>6.5529999999999999</v>
      </c>
      <c r="S128" s="418">
        <v>6.6070000000000002</v>
      </c>
      <c r="T128" s="419">
        <v>6.6580000000000004</v>
      </c>
    </row>
    <row r="129" spans="1:20" x14ac:dyDescent="0.25">
      <c r="A129">
        <v>24</v>
      </c>
      <c r="B129" s="417">
        <v>3.9550000000000001</v>
      </c>
      <c r="C129" s="418">
        <v>4.5460000000000003</v>
      </c>
      <c r="D129" s="418">
        <v>4.907</v>
      </c>
      <c r="E129" s="418">
        <v>5.1680000000000001</v>
      </c>
      <c r="F129" s="418">
        <v>5.3730000000000002</v>
      </c>
      <c r="G129" s="418">
        <v>5.5419999999999998</v>
      </c>
      <c r="H129" s="418">
        <v>5.6849999999999996</v>
      </c>
      <c r="I129" s="418">
        <v>5.8090000000000002</v>
      </c>
      <c r="J129" s="418">
        <v>5.9189999999999996</v>
      </c>
      <c r="K129" s="418">
        <v>6.0170000000000003</v>
      </c>
      <c r="L129" s="418">
        <v>6.1050000000000004</v>
      </c>
      <c r="M129" s="418">
        <v>6.1859999999999999</v>
      </c>
      <c r="N129" s="418">
        <v>6.2610000000000001</v>
      </c>
      <c r="O129" s="418">
        <v>6.33</v>
      </c>
      <c r="P129" s="418">
        <v>6.3940000000000001</v>
      </c>
      <c r="Q129" s="418">
        <v>6.4530000000000003</v>
      </c>
      <c r="R129" s="418">
        <v>6.51</v>
      </c>
      <c r="S129" s="418">
        <v>6.5620000000000003</v>
      </c>
      <c r="T129" s="419">
        <v>6.6120000000000001</v>
      </c>
    </row>
    <row r="130" spans="1:20" x14ac:dyDescent="0.25">
      <c r="A130">
        <v>25</v>
      </c>
      <c r="B130" s="417">
        <v>3.9420000000000002</v>
      </c>
      <c r="C130" s="418">
        <v>4.5270000000000001</v>
      </c>
      <c r="D130" s="418">
        <v>4.8849999999999998</v>
      </c>
      <c r="E130" s="418">
        <v>5.1440000000000001</v>
      </c>
      <c r="F130" s="418">
        <v>5.3470000000000004</v>
      </c>
      <c r="G130" s="418">
        <v>5.5129999999999999</v>
      </c>
      <c r="H130" s="418">
        <v>5.6550000000000002</v>
      </c>
      <c r="I130" s="418">
        <v>5.7779999999999996</v>
      </c>
      <c r="J130" s="418">
        <v>5.8860000000000001</v>
      </c>
      <c r="K130" s="418">
        <v>5.9829999999999997</v>
      </c>
      <c r="L130" s="418">
        <v>6.07</v>
      </c>
      <c r="M130" s="418">
        <v>6.15</v>
      </c>
      <c r="N130" s="418">
        <v>6.2240000000000002</v>
      </c>
      <c r="O130" s="418">
        <v>6.2919999999999998</v>
      </c>
      <c r="P130" s="418">
        <v>6.3550000000000004</v>
      </c>
      <c r="Q130" s="418">
        <v>6.4139999999999997</v>
      </c>
      <c r="R130" s="418">
        <v>6.4690000000000003</v>
      </c>
      <c r="S130" s="418">
        <v>6.5220000000000002</v>
      </c>
      <c r="T130" s="419">
        <v>6.5709999999999997</v>
      </c>
    </row>
    <row r="131" spans="1:20" x14ac:dyDescent="0.25">
      <c r="A131">
        <v>26</v>
      </c>
      <c r="B131" s="417">
        <v>3.93</v>
      </c>
      <c r="C131" s="418">
        <v>4.51</v>
      </c>
      <c r="D131" s="418">
        <v>4.8650000000000002</v>
      </c>
      <c r="E131" s="418">
        <v>5.1210000000000004</v>
      </c>
      <c r="F131" s="418">
        <v>5.3220000000000001</v>
      </c>
      <c r="G131" s="418">
        <v>5.4870000000000001</v>
      </c>
      <c r="H131" s="418">
        <v>5.6269999999999998</v>
      </c>
      <c r="I131" s="418">
        <v>5.7489999999999997</v>
      </c>
      <c r="J131" s="418">
        <v>5.8559999999999999</v>
      </c>
      <c r="K131" s="418">
        <v>5.9509999999999996</v>
      </c>
      <c r="L131" s="418">
        <v>6.0380000000000003</v>
      </c>
      <c r="M131" s="418">
        <v>6.117</v>
      </c>
      <c r="N131" s="418">
        <v>6.19</v>
      </c>
      <c r="O131" s="418">
        <v>6.2569999999999997</v>
      </c>
      <c r="P131" s="418">
        <v>6.319</v>
      </c>
      <c r="Q131" s="418">
        <v>6.3780000000000001</v>
      </c>
      <c r="R131" s="418">
        <v>6.4320000000000004</v>
      </c>
      <c r="S131" s="418">
        <v>6.484</v>
      </c>
      <c r="T131" s="419">
        <v>6.5330000000000004</v>
      </c>
    </row>
    <row r="132" spans="1:20" x14ac:dyDescent="0.25">
      <c r="A132">
        <v>27</v>
      </c>
      <c r="B132" s="417">
        <v>3.9180000000000001</v>
      </c>
      <c r="C132" s="418">
        <v>4.4950000000000001</v>
      </c>
      <c r="D132" s="418">
        <v>4.8470000000000004</v>
      </c>
      <c r="E132" s="418">
        <v>5.101</v>
      </c>
      <c r="F132" s="418">
        <v>5.3</v>
      </c>
      <c r="G132" s="418">
        <v>5.4630000000000001</v>
      </c>
      <c r="H132" s="418">
        <v>5.6020000000000003</v>
      </c>
      <c r="I132" s="418">
        <v>5.7220000000000004</v>
      </c>
      <c r="J132" s="418">
        <v>5.8280000000000003</v>
      </c>
      <c r="K132" s="418">
        <v>5.923</v>
      </c>
      <c r="L132" s="418">
        <v>6.008</v>
      </c>
      <c r="M132" s="418">
        <v>6.0869999999999997</v>
      </c>
      <c r="N132" s="418">
        <v>6.1580000000000004</v>
      </c>
      <c r="O132" s="418">
        <v>6.2249999999999996</v>
      </c>
      <c r="P132" s="418">
        <v>6.2869999999999999</v>
      </c>
      <c r="Q132" s="418">
        <v>6.3440000000000003</v>
      </c>
      <c r="R132" s="418">
        <v>6.399</v>
      </c>
      <c r="S132" s="418">
        <v>6.45</v>
      </c>
      <c r="T132" s="419">
        <v>6.4980000000000002</v>
      </c>
    </row>
    <row r="133" spans="1:20" x14ac:dyDescent="0.25">
      <c r="A133">
        <v>28</v>
      </c>
      <c r="B133" s="417">
        <v>3.9079999999999999</v>
      </c>
      <c r="C133" s="418">
        <v>4.4809999999999999</v>
      </c>
      <c r="D133" s="418">
        <v>4.83</v>
      </c>
      <c r="E133" s="418">
        <v>5.0819999999999999</v>
      </c>
      <c r="F133" s="418">
        <v>5.2789999999999999</v>
      </c>
      <c r="G133" s="418">
        <v>5.4409999999999998</v>
      </c>
      <c r="H133" s="418">
        <v>5.5780000000000003</v>
      </c>
      <c r="I133" s="418">
        <v>5.6970000000000001</v>
      </c>
      <c r="J133" s="418">
        <v>5.8019999999999996</v>
      </c>
      <c r="K133" s="418">
        <v>5.8959999999999999</v>
      </c>
      <c r="L133" s="418">
        <v>5.9809999999999999</v>
      </c>
      <c r="M133" s="418">
        <v>6.0579999999999998</v>
      </c>
      <c r="N133" s="418">
        <v>6.1289999999999996</v>
      </c>
      <c r="O133" s="418">
        <v>6.1950000000000003</v>
      </c>
      <c r="P133" s="418">
        <v>6.2560000000000002</v>
      </c>
      <c r="Q133" s="418">
        <v>6.3140000000000001</v>
      </c>
      <c r="R133" s="418">
        <v>6.367</v>
      </c>
      <c r="S133" s="418">
        <v>6.4180000000000001</v>
      </c>
      <c r="T133" s="419">
        <v>6.4649999999999999</v>
      </c>
    </row>
    <row r="134" spans="1:20" x14ac:dyDescent="0.25">
      <c r="A134">
        <v>29</v>
      </c>
      <c r="B134" s="417">
        <v>3.8980000000000001</v>
      </c>
      <c r="C134" s="418">
        <v>4.4669999999999996</v>
      </c>
      <c r="D134" s="418">
        <v>4.8140000000000001</v>
      </c>
      <c r="E134" s="418">
        <v>5.0640000000000001</v>
      </c>
      <c r="F134" s="418">
        <v>5.26</v>
      </c>
      <c r="G134" s="418">
        <v>5.42</v>
      </c>
      <c r="H134" s="418">
        <v>5.556</v>
      </c>
      <c r="I134" s="418">
        <v>5.6740000000000004</v>
      </c>
      <c r="J134" s="418">
        <v>5.7779999999999996</v>
      </c>
      <c r="K134" s="418">
        <v>5.8710000000000004</v>
      </c>
      <c r="L134" s="418">
        <v>5.9550000000000001</v>
      </c>
      <c r="M134" s="418">
        <v>6.032</v>
      </c>
      <c r="N134" s="418">
        <v>6.1029999999999998</v>
      </c>
      <c r="O134" s="418">
        <v>6.1680000000000001</v>
      </c>
      <c r="P134" s="418">
        <v>6.2279999999999998</v>
      </c>
      <c r="Q134" s="418">
        <v>6.2850000000000001</v>
      </c>
      <c r="R134" s="418">
        <v>6.3380000000000001</v>
      </c>
      <c r="S134" s="418">
        <v>6.3879999999999999</v>
      </c>
      <c r="T134" s="419">
        <v>6.4349999999999996</v>
      </c>
    </row>
    <row r="135" spans="1:20" x14ac:dyDescent="0.25">
      <c r="A135">
        <v>30</v>
      </c>
      <c r="B135" s="417">
        <v>3.8889999999999998</v>
      </c>
      <c r="C135" s="418">
        <v>4.4550000000000001</v>
      </c>
      <c r="D135" s="418">
        <v>4.7990000000000004</v>
      </c>
      <c r="E135" s="418">
        <v>5.048</v>
      </c>
      <c r="F135" s="418">
        <v>5.242</v>
      </c>
      <c r="G135" s="418">
        <v>5.4009999999999998</v>
      </c>
      <c r="H135" s="418">
        <v>5.5359999999999996</v>
      </c>
      <c r="I135" s="418">
        <v>5.6529999999999996</v>
      </c>
      <c r="J135" s="418">
        <v>5.7560000000000002</v>
      </c>
      <c r="K135" s="418">
        <v>5.8479999999999999</v>
      </c>
      <c r="L135" s="418">
        <v>5.9320000000000004</v>
      </c>
      <c r="M135" s="418">
        <v>6.008</v>
      </c>
      <c r="N135" s="418">
        <v>6.0780000000000003</v>
      </c>
      <c r="O135" s="418">
        <v>6.1420000000000003</v>
      </c>
      <c r="P135" s="418">
        <v>6.202</v>
      </c>
      <c r="Q135" s="418">
        <v>6.258</v>
      </c>
      <c r="R135" s="418">
        <v>6.3109999999999999</v>
      </c>
      <c r="S135" s="418">
        <v>6.3609999999999998</v>
      </c>
      <c r="T135" s="419">
        <v>6.407</v>
      </c>
    </row>
    <row r="136" spans="1:20" x14ac:dyDescent="0.25">
      <c r="A136">
        <v>31</v>
      </c>
      <c r="B136" s="417">
        <v>3.8809999999999998</v>
      </c>
      <c r="C136" s="418">
        <v>4.4429999999999996</v>
      </c>
      <c r="D136" s="418">
        <v>4.7859999999999996</v>
      </c>
      <c r="E136" s="418">
        <v>5.032</v>
      </c>
      <c r="F136" s="418">
        <v>5.2249999999999996</v>
      </c>
      <c r="G136" s="418">
        <v>5.383</v>
      </c>
      <c r="H136" s="418">
        <v>5.5170000000000003</v>
      </c>
      <c r="I136" s="418">
        <v>5.633</v>
      </c>
      <c r="J136" s="418">
        <v>5.7359999999999998</v>
      </c>
      <c r="K136" s="418">
        <v>5.827</v>
      </c>
      <c r="L136" s="418">
        <v>5.91</v>
      </c>
      <c r="M136" s="418">
        <v>5.9850000000000003</v>
      </c>
      <c r="N136" s="418">
        <v>6.0549999999999997</v>
      </c>
      <c r="O136" s="418">
        <v>6.1189999999999998</v>
      </c>
      <c r="P136" s="418">
        <v>6.1779999999999999</v>
      </c>
      <c r="Q136" s="418">
        <v>6.234</v>
      </c>
      <c r="R136" s="418">
        <v>6.2859999999999996</v>
      </c>
      <c r="S136" s="418">
        <v>6.335</v>
      </c>
      <c r="T136" s="419">
        <v>6.3810000000000002</v>
      </c>
    </row>
    <row r="137" spans="1:20" x14ac:dyDescent="0.25">
      <c r="A137">
        <v>32</v>
      </c>
      <c r="B137" s="417">
        <v>3.8730000000000002</v>
      </c>
      <c r="C137" s="418">
        <v>4.4329999999999998</v>
      </c>
      <c r="D137" s="418">
        <v>4.7729999999999997</v>
      </c>
      <c r="E137" s="418">
        <v>5.0179999999999998</v>
      </c>
      <c r="F137" s="418">
        <v>5.21</v>
      </c>
      <c r="G137" s="418">
        <v>5.367</v>
      </c>
      <c r="H137" s="418">
        <v>5.5</v>
      </c>
      <c r="I137" s="418">
        <v>5.6150000000000002</v>
      </c>
      <c r="J137" s="418">
        <v>5.7160000000000002</v>
      </c>
      <c r="K137" s="418">
        <v>5.8070000000000004</v>
      </c>
      <c r="L137" s="418">
        <v>5.8890000000000002</v>
      </c>
      <c r="M137" s="418">
        <v>5.9640000000000004</v>
      </c>
      <c r="N137" s="418">
        <v>6.0330000000000004</v>
      </c>
      <c r="O137" s="418">
        <v>6.0960000000000001</v>
      </c>
      <c r="P137" s="418">
        <v>6.1550000000000002</v>
      </c>
      <c r="Q137" s="418">
        <v>6.2110000000000003</v>
      </c>
      <c r="R137" s="418">
        <v>6.2619999999999996</v>
      </c>
      <c r="S137" s="418">
        <v>6.3109999999999999</v>
      </c>
      <c r="T137" s="419">
        <v>6.3570000000000002</v>
      </c>
    </row>
    <row r="138" spans="1:20" x14ac:dyDescent="0.25">
      <c r="A138">
        <v>33</v>
      </c>
      <c r="B138" s="417">
        <v>3.8650000000000002</v>
      </c>
      <c r="C138" s="418">
        <v>4.423</v>
      </c>
      <c r="D138" s="418">
        <v>4.7610000000000001</v>
      </c>
      <c r="E138" s="418">
        <v>5.0049999999999999</v>
      </c>
      <c r="F138" s="418">
        <v>5.1950000000000003</v>
      </c>
      <c r="G138" s="418">
        <v>5.351</v>
      </c>
      <c r="H138" s="418">
        <v>5.4829999999999997</v>
      </c>
      <c r="I138" s="418">
        <v>5.5979999999999999</v>
      </c>
      <c r="J138" s="418">
        <v>5.6980000000000004</v>
      </c>
      <c r="K138" s="418">
        <v>5.7889999999999997</v>
      </c>
      <c r="L138" s="418">
        <v>5.87</v>
      </c>
      <c r="M138" s="418">
        <v>5.944</v>
      </c>
      <c r="N138" s="418">
        <v>6.0129999999999999</v>
      </c>
      <c r="O138" s="418">
        <v>6.0759999999999996</v>
      </c>
      <c r="P138" s="418">
        <v>6.1340000000000003</v>
      </c>
      <c r="Q138" s="418">
        <v>6.1890000000000001</v>
      </c>
      <c r="R138" s="418">
        <v>6.24</v>
      </c>
      <c r="S138" s="418">
        <v>6.2889999999999997</v>
      </c>
      <c r="T138" s="419">
        <v>6.3339999999999996</v>
      </c>
    </row>
    <row r="139" spans="1:20" x14ac:dyDescent="0.25">
      <c r="A139">
        <v>34</v>
      </c>
      <c r="B139" s="417">
        <v>3.859</v>
      </c>
      <c r="C139" s="418">
        <v>4.4130000000000003</v>
      </c>
      <c r="D139" s="418">
        <v>4.75</v>
      </c>
      <c r="E139" s="418">
        <v>4.992</v>
      </c>
      <c r="F139" s="418">
        <v>5.181</v>
      </c>
      <c r="G139" s="418">
        <v>5.3360000000000003</v>
      </c>
      <c r="H139" s="418">
        <v>5.468</v>
      </c>
      <c r="I139" s="418">
        <v>5.5810000000000004</v>
      </c>
      <c r="J139" s="418">
        <v>5.6820000000000004</v>
      </c>
      <c r="K139" s="418">
        <v>5.7709999999999999</v>
      </c>
      <c r="L139" s="418">
        <v>5.8520000000000003</v>
      </c>
      <c r="M139" s="418">
        <v>5.9260000000000002</v>
      </c>
      <c r="N139" s="418">
        <v>5.9939999999999998</v>
      </c>
      <c r="O139" s="418">
        <v>6.056</v>
      </c>
      <c r="P139" s="418">
        <v>6.1139999999999999</v>
      </c>
      <c r="Q139" s="418">
        <v>6.1689999999999996</v>
      </c>
      <c r="R139" s="418">
        <v>6.22</v>
      </c>
      <c r="S139" s="418">
        <v>6.2679999999999998</v>
      </c>
      <c r="T139" s="419">
        <v>6.3129999999999997</v>
      </c>
    </row>
    <row r="140" spans="1:20" x14ac:dyDescent="0.25">
      <c r="A140">
        <v>35</v>
      </c>
      <c r="B140" s="417">
        <v>3.8519999999999999</v>
      </c>
      <c r="C140" s="418">
        <v>4.4039999999999999</v>
      </c>
      <c r="D140" s="418">
        <v>4.7389999999999999</v>
      </c>
      <c r="E140" s="418">
        <v>4.9800000000000004</v>
      </c>
      <c r="F140" s="418">
        <v>5.1689999999999996</v>
      </c>
      <c r="G140" s="418">
        <v>5.3230000000000004</v>
      </c>
      <c r="H140" s="418">
        <v>5.4530000000000003</v>
      </c>
      <c r="I140" s="418">
        <v>5.5659999999999998</v>
      </c>
      <c r="J140" s="418">
        <v>5.6660000000000004</v>
      </c>
      <c r="K140" s="418">
        <v>5.7549999999999999</v>
      </c>
      <c r="L140" s="418">
        <v>5.835</v>
      </c>
      <c r="M140" s="418">
        <v>5.9080000000000004</v>
      </c>
      <c r="N140" s="418">
        <v>5.976</v>
      </c>
      <c r="O140" s="418">
        <v>6.0380000000000003</v>
      </c>
      <c r="P140" s="418">
        <v>6.0960000000000001</v>
      </c>
      <c r="Q140" s="418">
        <v>6.15</v>
      </c>
      <c r="R140" s="418">
        <v>6.2</v>
      </c>
      <c r="S140" s="418">
        <v>6.2480000000000002</v>
      </c>
      <c r="T140" s="419">
        <v>6.2930000000000001</v>
      </c>
    </row>
    <row r="141" spans="1:20" x14ac:dyDescent="0.25">
      <c r="A141">
        <v>36</v>
      </c>
      <c r="B141" s="417">
        <v>3.8460000000000001</v>
      </c>
      <c r="C141" s="418">
        <v>4.3959999999999999</v>
      </c>
      <c r="D141" s="418">
        <v>4.7290000000000001</v>
      </c>
      <c r="E141" s="418">
        <v>4.9690000000000003</v>
      </c>
      <c r="F141" s="418">
        <v>5.1559999999999997</v>
      </c>
      <c r="G141" s="418">
        <v>5.31</v>
      </c>
      <c r="H141" s="418">
        <v>5.4390000000000001</v>
      </c>
      <c r="I141" s="418">
        <v>5.5519999999999996</v>
      </c>
      <c r="J141" s="418">
        <v>5.6509999999999998</v>
      </c>
      <c r="K141" s="418">
        <v>5.7389999999999999</v>
      </c>
      <c r="L141" s="418">
        <v>5.819</v>
      </c>
      <c r="M141" s="418">
        <v>5.8920000000000003</v>
      </c>
      <c r="N141" s="418">
        <v>5.9589999999999996</v>
      </c>
      <c r="O141" s="418">
        <v>6.0209999999999999</v>
      </c>
      <c r="P141" s="418">
        <v>6.0780000000000003</v>
      </c>
      <c r="Q141" s="418">
        <v>6.1319999999999997</v>
      </c>
      <c r="R141" s="418">
        <v>6.1820000000000004</v>
      </c>
      <c r="S141" s="418">
        <v>6.2290000000000001</v>
      </c>
      <c r="T141" s="419">
        <v>6.274</v>
      </c>
    </row>
    <row r="142" spans="1:20" x14ac:dyDescent="0.25">
      <c r="A142">
        <v>37</v>
      </c>
      <c r="B142" s="417">
        <v>3.84</v>
      </c>
      <c r="C142" s="418">
        <v>4.3879999999999999</v>
      </c>
      <c r="D142" s="418">
        <v>4.72</v>
      </c>
      <c r="E142" s="418">
        <v>4.9589999999999996</v>
      </c>
      <c r="F142" s="418">
        <v>5.1449999999999996</v>
      </c>
      <c r="G142" s="418">
        <v>5.298</v>
      </c>
      <c r="H142" s="418">
        <v>5.4269999999999996</v>
      </c>
      <c r="I142" s="418">
        <v>5.5380000000000003</v>
      </c>
      <c r="J142" s="418">
        <v>5.6369999999999996</v>
      </c>
      <c r="K142" s="418">
        <v>5.7249999999999996</v>
      </c>
      <c r="L142" s="418">
        <v>5.8040000000000003</v>
      </c>
      <c r="M142" s="418">
        <v>5.8760000000000003</v>
      </c>
      <c r="N142" s="418">
        <v>5.9429999999999996</v>
      </c>
      <c r="O142" s="418">
        <v>6.0039999999999996</v>
      </c>
      <c r="P142" s="418">
        <v>6.0609999999999999</v>
      </c>
      <c r="Q142" s="418">
        <v>6.1150000000000002</v>
      </c>
      <c r="R142" s="418">
        <v>6.165</v>
      </c>
      <c r="S142" s="418">
        <v>6.2119999999999997</v>
      </c>
      <c r="T142" s="419">
        <v>6.2560000000000002</v>
      </c>
    </row>
    <row r="143" spans="1:20" x14ac:dyDescent="0.25">
      <c r="A143">
        <v>38</v>
      </c>
      <c r="B143" s="417">
        <v>3.835</v>
      </c>
      <c r="C143" s="418">
        <v>4.3810000000000002</v>
      </c>
      <c r="D143" s="418">
        <v>4.7110000000000003</v>
      </c>
      <c r="E143" s="418">
        <v>4.9489999999999998</v>
      </c>
      <c r="F143" s="418">
        <v>5.1340000000000003</v>
      </c>
      <c r="G143" s="418">
        <v>5.2859999999999996</v>
      </c>
      <c r="H143" s="418">
        <v>5.4139999999999997</v>
      </c>
      <c r="I143" s="418">
        <v>5.5259999999999998</v>
      </c>
      <c r="J143" s="418">
        <v>5.6230000000000002</v>
      </c>
      <c r="K143" s="418">
        <v>5.7110000000000003</v>
      </c>
      <c r="L143" s="418">
        <v>5.79</v>
      </c>
      <c r="M143" s="418">
        <v>5.8620000000000001</v>
      </c>
      <c r="N143" s="418">
        <v>5.9279999999999999</v>
      </c>
      <c r="O143" s="418">
        <v>5.9889999999999999</v>
      </c>
      <c r="P143" s="418">
        <v>6.0460000000000003</v>
      </c>
      <c r="Q143" s="418">
        <v>6.0990000000000002</v>
      </c>
      <c r="R143" s="418">
        <v>6.1479999999999997</v>
      </c>
      <c r="S143" s="418">
        <v>6.1950000000000003</v>
      </c>
      <c r="T143" s="419">
        <v>6.2389999999999999</v>
      </c>
    </row>
    <row r="144" spans="1:20" x14ac:dyDescent="0.25">
      <c r="A144">
        <v>39</v>
      </c>
      <c r="B144" s="417">
        <v>3.83</v>
      </c>
      <c r="C144" s="418">
        <v>4.3739999999999997</v>
      </c>
      <c r="D144" s="418">
        <v>4.7030000000000003</v>
      </c>
      <c r="E144" s="418">
        <v>4.9400000000000004</v>
      </c>
      <c r="F144" s="418">
        <v>5.1239999999999997</v>
      </c>
      <c r="G144" s="418">
        <v>5.2750000000000004</v>
      </c>
      <c r="H144" s="418">
        <v>5.4029999999999996</v>
      </c>
      <c r="I144" s="418">
        <v>5.5129999999999999</v>
      </c>
      <c r="J144" s="418">
        <v>5.6109999999999998</v>
      </c>
      <c r="K144" s="418">
        <v>5.6980000000000004</v>
      </c>
      <c r="L144" s="418">
        <v>5.7759999999999998</v>
      </c>
      <c r="M144" s="418">
        <v>5.8479999999999999</v>
      </c>
      <c r="N144" s="418">
        <v>5.9139999999999997</v>
      </c>
      <c r="O144" s="418">
        <v>5.9740000000000002</v>
      </c>
      <c r="P144" s="418">
        <v>6.0309999999999997</v>
      </c>
      <c r="Q144" s="418">
        <v>6.0839999999999996</v>
      </c>
      <c r="R144" s="418">
        <v>6.133</v>
      </c>
      <c r="S144" s="418">
        <v>6.1790000000000003</v>
      </c>
      <c r="T144" s="419">
        <v>6.2229999999999999</v>
      </c>
    </row>
    <row r="145" spans="1:20" x14ac:dyDescent="0.25">
      <c r="A145">
        <v>40</v>
      </c>
      <c r="B145" s="417">
        <v>3.8250000000000002</v>
      </c>
      <c r="C145" s="418">
        <v>4.367</v>
      </c>
      <c r="D145" s="418">
        <v>4.6950000000000003</v>
      </c>
      <c r="E145" s="418">
        <v>4.931</v>
      </c>
      <c r="F145" s="418">
        <v>5.1139999999999999</v>
      </c>
      <c r="G145" s="418">
        <v>5.2649999999999997</v>
      </c>
      <c r="H145" s="418">
        <v>5.3920000000000003</v>
      </c>
      <c r="I145" s="418">
        <v>5.5019999999999998</v>
      </c>
      <c r="J145" s="418">
        <v>5.5990000000000002</v>
      </c>
      <c r="K145" s="418">
        <v>5.6849999999999996</v>
      </c>
      <c r="L145" s="418">
        <v>5.7640000000000002</v>
      </c>
      <c r="M145" s="418">
        <v>5.835</v>
      </c>
      <c r="N145" s="418">
        <v>5.9</v>
      </c>
      <c r="O145" s="418">
        <v>5.9610000000000003</v>
      </c>
      <c r="P145" s="418">
        <v>6.0170000000000003</v>
      </c>
      <c r="Q145" s="418">
        <v>6.069</v>
      </c>
      <c r="R145" s="418">
        <v>6.1180000000000003</v>
      </c>
      <c r="S145" s="418">
        <v>6.165</v>
      </c>
      <c r="T145" s="419">
        <v>6.2080000000000002</v>
      </c>
    </row>
    <row r="146" spans="1:20" x14ac:dyDescent="0.25">
      <c r="A146">
        <v>48</v>
      </c>
      <c r="B146" s="417">
        <v>3.7930000000000001</v>
      </c>
      <c r="C146" s="418">
        <v>4.3239999999999998</v>
      </c>
      <c r="D146" s="418">
        <v>4.6440000000000001</v>
      </c>
      <c r="E146" s="418">
        <v>4.8739999999999997</v>
      </c>
      <c r="F146" s="418">
        <v>5.0519999999999996</v>
      </c>
      <c r="G146" s="418">
        <v>5.1980000000000004</v>
      </c>
      <c r="H146" s="418">
        <v>5.3220000000000001</v>
      </c>
      <c r="I146" s="418">
        <v>5.4279999999999999</v>
      </c>
      <c r="J146" s="418">
        <v>5.5220000000000002</v>
      </c>
      <c r="K146" s="418">
        <v>5.6059999999999999</v>
      </c>
      <c r="L146" s="418">
        <v>5.681</v>
      </c>
      <c r="M146" s="418">
        <v>5.75</v>
      </c>
      <c r="N146" s="418">
        <v>5.8140000000000001</v>
      </c>
      <c r="O146" s="418">
        <v>5.8719999999999999</v>
      </c>
      <c r="P146" s="418">
        <v>5.9260000000000002</v>
      </c>
      <c r="Q146" s="418">
        <v>5.9770000000000003</v>
      </c>
      <c r="R146" s="418">
        <v>6.024</v>
      </c>
      <c r="S146" s="418">
        <v>6.069</v>
      </c>
      <c r="T146" s="419">
        <v>6.1109999999999998</v>
      </c>
    </row>
    <row r="147" spans="1:20" x14ac:dyDescent="0.25">
      <c r="A147">
        <v>60</v>
      </c>
      <c r="B147" s="417">
        <v>3.762</v>
      </c>
      <c r="C147" s="418">
        <v>4.282</v>
      </c>
      <c r="D147" s="418">
        <v>4.5940000000000003</v>
      </c>
      <c r="E147" s="418">
        <v>4.8179999999999996</v>
      </c>
      <c r="F147" s="418">
        <v>4.9909999999999997</v>
      </c>
      <c r="G147" s="418">
        <v>5.133</v>
      </c>
      <c r="H147" s="418">
        <v>5.2530000000000001</v>
      </c>
      <c r="I147" s="418">
        <v>5.3559999999999999</v>
      </c>
      <c r="J147" s="418">
        <v>5.4470000000000001</v>
      </c>
      <c r="K147" s="418">
        <v>5.5279999999999996</v>
      </c>
      <c r="L147" s="418">
        <v>5.601</v>
      </c>
      <c r="M147" s="418">
        <v>5.6669999999999998</v>
      </c>
      <c r="N147" s="418">
        <v>5.7279999999999998</v>
      </c>
      <c r="O147" s="418">
        <v>5.7839999999999998</v>
      </c>
      <c r="P147" s="418">
        <v>5.8369999999999997</v>
      </c>
      <c r="Q147" s="418">
        <v>5.8860000000000001</v>
      </c>
      <c r="R147" s="418">
        <v>5.931</v>
      </c>
      <c r="S147" s="418">
        <v>5.9740000000000002</v>
      </c>
      <c r="T147" s="419">
        <v>6.0149999999999997</v>
      </c>
    </row>
    <row r="148" spans="1:20" x14ac:dyDescent="0.25">
      <c r="A148">
        <v>80</v>
      </c>
      <c r="B148" s="417">
        <v>3.7320000000000002</v>
      </c>
      <c r="C148" s="418">
        <v>4.2409999999999997</v>
      </c>
      <c r="D148" s="418">
        <v>4.5449999999999999</v>
      </c>
      <c r="E148" s="418">
        <v>4.7629999999999999</v>
      </c>
      <c r="F148" s="418">
        <v>4.931</v>
      </c>
      <c r="G148" s="418">
        <v>5.069</v>
      </c>
      <c r="H148" s="418">
        <v>5.1849999999999996</v>
      </c>
      <c r="I148" s="418">
        <v>5.2839999999999998</v>
      </c>
      <c r="J148" s="418">
        <v>5.3719999999999999</v>
      </c>
      <c r="K148" s="418">
        <v>5.4509999999999996</v>
      </c>
      <c r="L148" s="418">
        <v>5.5209999999999999</v>
      </c>
      <c r="M148" s="418">
        <v>5.585</v>
      </c>
      <c r="N148" s="418">
        <v>5.6440000000000001</v>
      </c>
      <c r="O148" s="418">
        <v>5.6980000000000004</v>
      </c>
      <c r="P148" s="418">
        <v>5.7489999999999997</v>
      </c>
      <c r="Q148" s="418">
        <v>5.7960000000000003</v>
      </c>
      <c r="R148" s="418">
        <v>5.84</v>
      </c>
      <c r="S148" s="418">
        <v>5.8810000000000002</v>
      </c>
      <c r="T148" s="419">
        <v>5.92</v>
      </c>
    </row>
    <row r="149" spans="1:20" x14ac:dyDescent="0.25">
      <c r="A149">
        <v>120</v>
      </c>
      <c r="B149" s="417">
        <v>3.702</v>
      </c>
      <c r="C149" s="418">
        <v>4.2</v>
      </c>
      <c r="D149" s="418">
        <v>4.4969999999999999</v>
      </c>
      <c r="E149" s="418">
        <v>4.7089999999999996</v>
      </c>
      <c r="F149" s="418">
        <v>4.8719999999999999</v>
      </c>
      <c r="G149" s="418">
        <v>5.0049999999999999</v>
      </c>
      <c r="H149" s="418">
        <v>5.1180000000000003</v>
      </c>
      <c r="I149" s="418">
        <v>5.2140000000000004</v>
      </c>
      <c r="J149" s="418">
        <v>5.2990000000000004</v>
      </c>
      <c r="K149" s="418">
        <v>5.375</v>
      </c>
      <c r="L149" s="418">
        <v>5.4429999999999996</v>
      </c>
      <c r="M149" s="418">
        <v>5.5049999999999999</v>
      </c>
      <c r="N149" s="418">
        <v>5.5609999999999999</v>
      </c>
      <c r="O149" s="418">
        <v>5.6139999999999999</v>
      </c>
      <c r="P149" s="418">
        <v>5.6619999999999999</v>
      </c>
      <c r="Q149" s="418">
        <v>5.7080000000000002</v>
      </c>
      <c r="R149" s="418">
        <v>5.75</v>
      </c>
      <c r="S149" s="418">
        <v>5.79</v>
      </c>
      <c r="T149" s="419">
        <v>5.827</v>
      </c>
    </row>
    <row r="150" spans="1:20" x14ac:dyDescent="0.25">
      <c r="A150">
        <v>240</v>
      </c>
      <c r="B150" s="417">
        <v>3.6720000000000002</v>
      </c>
      <c r="C150" s="418">
        <v>4.16</v>
      </c>
      <c r="D150" s="418">
        <v>4.45</v>
      </c>
      <c r="E150" s="418">
        <v>4.6550000000000002</v>
      </c>
      <c r="F150" s="418">
        <v>4.8140000000000001</v>
      </c>
      <c r="G150" s="418">
        <v>4.9429999999999996</v>
      </c>
      <c r="H150" s="418">
        <v>5.0519999999999996</v>
      </c>
      <c r="I150" s="418">
        <v>5.1449999999999996</v>
      </c>
      <c r="J150" s="418">
        <v>5.2270000000000003</v>
      </c>
      <c r="K150" s="418">
        <v>5.3</v>
      </c>
      <c r="L150" s="418">
        <v>5.3659999999999997</v>
      </c>
      <c r="M150" s="418">
        <v>5.4260000000000002</v>
      </c>
      <c r="N150" s="418">
        <v>5.48</v>
      </c>
      <c r="O150" s="418">
        <v>5.53</v>
      </c>
      <c r="P150" s="418">
        <v>5.577</v>
      </c>
      <c r="Q150" s="418">
        <v>5.6210000000000004</v>
      </c>
      <c r="R150" s="418">
        <v>5.6609999999999996</v>
      </c>
      <c r="S150" s="418">
        <v>5.6989999999999998</v>
      </c>
      <c r="T150" s="419">
        <v>5.7350000000000003</v>
      </c>
    </row>
    <row r="151" spans="1:20" x14ac:dyDescent="0.25">
      <c r="A151" s="12" t="s">
        <v>752</v>
      </c>
      <c r="B151" s="420">
        <v>3.6429999999999998</v>
      </c>
      <c r="C151" s="421">
        <v>4.12</v>
      </c>
      <c r="D151" s="421">
        <v>4.4029999999999996</v>
      </c>
      <c r="E151" s="421">
        <v>4.6029999999999998</v>
      </c>
      <c r="F151" s="421">
        <v>4.7569999999999997</v>
      </c>
      <c r="G151" s="421">
        <v>4.8819999999999997</v>
      </c>
      <c r="H151" s="421">
        <v>4.9870000000000001</v>
      </c>
      <c r="I151" s="421">
        <v>5.0780000000000003</v>
      </c>
      <c r="J151" s="421">
        <v>5.157</v>
      </c>
      <c r="K151" s="421">
        <v>5.2270000000000003</v>
      </c>
      <c r="L151" s="421">
        <v>5.29</v>
      </c>
      <c r="M151" s="421">
        <v>5.3479999999999999</v>
      </c>
      <c r="N151" s="421">
        <v>5.4</v>
      </c>
      <c r="O151" s="421">
        <v>5.4480000000000004</v>
      </c>
      <c r="P151" s="421">
        <v>5.4930000000000003</v>
      </c>
      <c r="Q151" s="421">
        <v>5.5350000000000001</v>
      </c>
      <c r="R151" s="421">
        <v>5.5739999999999998</v>
      </c>
      <c r="S151" s="421">
        <v>5.6109999999999998</v>
      </c>
      <c r="T151" s="422">
        <v>5.6449999999999996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W151"/>
  <sheetViews>
    <sheetView workbookViewId="0"/>
  </sheetViews>
  <sheetFormatPr defaultRowHeight="15" x14ac:dyDescent="0.25"/>
  <cols>
    <col min="1" max="1" width="5.5703125" customWidth="1"/>
    <col min="2" max="23" width="6.7109375" customWidth="1"/>
  </cols>
  <sheetData>
    <row r="1" spans="1:23" x14ac:dyDescent="0.25">
      <c r="A1" s="1" t="s">
        <v>750</v>
      </c>
    </row>
    <row r="3" spans="1:23" x14ac:dyDescent="0.25">
      <c r="A3" t="s">
        <v>31</v>
      </c>
      <c r="B3">
        <v>0.01</v>
      </c>
    </row>
    <row r="4" spans="1:23" x14ac:dyDescent="0.25">
      <c r="B4" t="s">
        <v>751</v>
      </c>
    </row>
    <row r="5" spans="1:23" x14ac:dyDescent="0.25">
      <c r="A5" s="12" t="s">
        <v>51</v>
      </c>
      <c r="B5">
        <v>2</v>
      </c>
      <c r="C5">
        <f>B5+1</f>
        <v>3</v>
      </c>
      <c r="D5">
        <f t="shared" ref="D5:L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v>13</v>
      </c>
      <c r="N5">
        <f>M5+1</f>
        <v>14</v>
      </c>
      <c r="O5">
        <f>N5+1</f>
        <v>15</v>
      </c>
      <c r="P5">
        <f>O5+1</f>
        <v>16</v>
      </c>
      <c r="Q5">
        <f>P5+2</f>
        <v>18</v>
      </c>
      <c r="R5">
        <f>Q5+2</f>
        <v>20</v>
      </c>
      <c r="S5">
        <f>R5+4</f>
        <v>24</v>
      </c>
      <c r="T5">
        <f>S5+4</f>
        <v>28</v>
      </c>
      <c r="U5">
        <f>T5+4</f>
        <v>32</v>
      </c>
      <c r="V5">
        <f>U5+4</f>
        <v>36</v>
      </c>
      <c r="W5">
        <f>V5+4</f>
        <v>40</v>
      </c>
    </row>
    <row r="6" spans="1:23" ht="15.75" customHeight="1" x14ac:dyDescent="0.25">
      <c r="A6">
        <v>1</v>
      </c>
      <c r="B6" s="423">
        <v>90.03</v>
      </c>
      <c r="C6" s="271">
        <v>135</v>
      </c>
      <c r="D6" s="252">
        <v>164.3</v>
      </c>
      <c r="E6" s="252">
        <v>185.6</v>
      </c>
      <c r="F6" s="252">
        <v>202.2</v>
      </c>
      <c r="G6" s="252">
        <v>215.8</v>
      </c>
      <c r="H6" s="252">
        <v>227.2</v>
      </c>
      <c r="I6" s="271">
        <v>237</v>
      </c>
      <c r="J6" s="252">
        <v>245.6</v>
      </c>
      <c r="K6" s="252">
        <v>253.2</v>
      </c>
      <c r="L6" s="271">
        <v>260</v>
      </c>
      <c r="M6" s="252">
        <v>266.2</v>
      </c>
      <c r="N6" s="252">
        <v>271.8</v>
      </c>
      <c r="O6" s="271">
        <v>277</v>
      </c>
      <c r="P6" s="252">
        <v>281.8</v>
      </c>
      <c r="Q6" s="252">
        <v>290.39999999999998</v>
      </c>
      <c r="R6" s="271">
        <v>298</v>
      </c>
      <c r="S6" s="252">
        <v>310.8</v>
      </c>
      <c r="T6" s="252">
        <v>321.3</v>
      </c>
      <c r="U6" s="252">
        <v>330.3</v>
      </c>
      <c r="V6" s="271">
        <v>338</v>
      </c>
      <c r="W6" s="196">
        <v>344.8</v>
      </c>
    </row>
    <row r="7" spans="1:23" x14ac:dyDescent="0.25">
      <c r="A7">
        <v>2</v>
      </c>
      <c r="B7" s="180">
        <v>14.04</v>
      </c>
      <c r="C7" s="7">
        <v>19.02</v>
      </c>
      <c r="D7" s="7">
        <v>22.29</v>
      </c>
      <c r="E7" s="7">
        <v>24.72</v>
      </c>
      <c r="F7" s="7">
        <v>26.63</v>
      </c>
      <c r="G7" s="424">
        <v>28.2</v>
      </c>
      <c r="H7" s="7">
        <v>29.53</v>
      </c>
      <c r="I7" s="7">
        <v>30.68</v>
      </c>
      <c r="J7" s="7">
        <v>31.69</v>
      </c>
      <c r="K7" s="7">
        <v>32.590000000000003</v>
      </c>
      <c r="L7" s="424">
        <v>33.4</v>
      </c>
      <c r="M7" s="7">
        <v>34.130000000000003</v>
      </c>
      <c r="N7" s="7">
        <v>34.81</v>
      </c>
      <c r="O7" s="7">
        <v>35.43</v>
      </c>
      <c r="P7" s="424">
        <v>36</v>
      </c>
      <c r="Q7" s="7">
        <v>37.03</v>
      </c>
      <c r="R7" s="7">
        <v>37.950000000000003</v>
      </c>
      <c r="S7" s="7">
        <v>39.49</v>
      </c>
      <c r="T7" s="7">
        <v>40.76</v>
      </c>
      <c r="U7" s="7">
        <v>41.84</v>
      </c>
      <c r="V7" s="7">
        <v>42.78</v>
      </c>
      <c r="W7" s="181">
        <v>43.61</v>
      </c>
    </row>
    <row r="8" spans="1:23" x14ac:dyDescent="0.25">
      <c r="A8">
        <v>3</v>
      </c>
      <c r="B8" s="180">
        <v>8.2609999999999992</v>
      </c>
      <c r="C8" s="7">
        <v>10.62</v>
      </c>
      <c r="D8" s="7">
        <v>12.17</v>
      </c>
      <c r="E8" s="7">
        <v>13.33</v>
      </c>
      <c r="F8" s="7">
        <v>14.24</v>
      </c>
      <c r="G8" s="424">
        <v>15</v>
      </c>
      <c r="H8" s="7">
        <v>15.64</v>
      </c>
      <c r="I8" s="424">
        <v>16.2</v>
      </c>
      <c r="J8" s="7">
        <v>16.690000000000001</v>
      </c>
      <c r="K8" s="7">
        <v>17.13</v>
      </c>
      <c r="L8" s="7">
        <v>17.53</v>
      </c>
      <c r="M8" s="7">
        <v>17.89</v>
      </c>
      <c r="N8" s="7">
        <v>18.22</v>
      </c>
      <c r="O8" s="7">
        <v>18.52</v>
      </c>
      <c r="P8" s="7">
        <v>18.809999999999999</v>
      </c>
      <c r="Q8" s="7">
        <v>19.32</v>
      </c>
      <c r="R8" s="7">
        <v>19.77</v>
      </c>
      <c r="S8" s="7">
        <v>20.53</v>
      </c>
      <c r="T8" s="7">
        <v>21.16</v>
      </c>
      <c r="U8" s="424">
        <v>21.7</v>
      </c>
      <c r="V8" s="7">
        <v>22.17</v>
      </c>
      <c r="W8" s="181">
        <v>22.59</v>
      </c>
    </row>
    <row r="9" spans="1:23" x14ac:dyDescent="0.25">
      <c r="A9">
        <v>4</v>
      </c>
      <c r="B9" s="180">
        <v>6.5119999999999996</v>
      </c>
      <c r="C9" s="418">
        <v>8.1199999999999992</v>
      </c>
      <c r="D9" s="7">
        <v>9.173</v>
      </c>
      <c r="E9" s="7">
        <v>9.9580000000000002</v>
      </c>
      <c r="F9" s="7">
        <v>10.58</v>
      </c>
      <c r="G9" s="424">
        <v>11.1</v>
      </c>
      <c r="H9" s="7">
        <v>11.55</v>
      </c>
      <c r="I9" s="7">
        <v>11.93</v>
      </c>
      <c r="J9" s="7">
        <v>12.27</v>
      </c>
      <c r="K9" s="7">
        <v>12.57</v>
      </c>
      <c r="L9" s="7">
        <v>12.84</v>
      </c>
      <c r="M9" s="7">
        <v>13.09</v>
      </c>
      <c r="N9" s="7">
        <v>13.32</v>
      </c>
      <c r="O9" s="7">
        <v>13.53</v>
      </c>
      <c r="P9" s="7">
        <v>13.73</v>
      </c>
      <c r="Q9" s="7">
        <v>14.08</v>
      </c>
      <c r="R9" s="424">
        <v>14.4</v>
      </c>
      <c r="S9" s="7">
        <v>14.93</v>
      </c>
      <c r="T9" s="7">
        <v>15.37</v>
      </c>
      <c r="U9" s="7">
        <v>15.75</v>
      </c>
      <c r="V9" s="7">
        <v>16.079999999999998</v>
      </c>
      <c r="W9" s="181">
        <v>16.37</v>
      </c>
    </row>
    <row r="10" spans="1:23" x14ac:dyDescent="0.25">
      <c r="A10">
        <v>5</v>
      </c>
      <c r="B10" s="180">
        <v>5.702</v>
      </c>
      <c r="C10" s="7">
        <v>6.976</v>
      </c>
      <c r="D10" s="7">
        <v>7.8040000000000003</v>
      </c>
      <c r="E10" s="7">
        <v>8.4209999999999994</v>
      </c>
      <c r="F10" s="7">
        <v>8.9130000000000003</v>
      </c>
      <c r="G10" s="7">
        <v>9.3209999999999997</v>
      </c>
      <c r="H10" s="7">
        <v>9.6690000000000005</v>
      </c>
      <c r="I10" s="7">
        <v>9.9719999999999995</v>
      </c>
      <c r="J10" s="7">
        <v>10.24</v>
      </c>
      <c r="K10" s="7">
        <v>10.48</v>
      </c>
      <c r="L10" s="424">
        <v>10.7</v>
      </c>
      <c r="M10" s="7">
        <v>10.89</v>
      </c>
      <c r="N10" s="7">
        <v>11.08</v>
      </c>
      <c r="O10" s="7">
        <v>11.24</v>
      </c>
      <c r="P10" s="424">
        <v>11.4</v>
      </c>
      <c r="Q10" s="7">
        <v>11.68</v>
      </c>
      <c r="R10" s="7">
        <v>11.93</v>
      </c>
      <c r="S10" s="7">
        <v>12.36</v>
      </c>
      <c r="T10" s="7">
        <v>12.71</v>
      </c>
      <c r="U10" s="7">
        <v>13.02</v>
      </c>
      <c r="V10" s="7">
        <v>13.28</v>
      </c>
      <c r="W10" s="181">
        <v>13.52</v>
      </c>
    </row>
    <row r="11" spans="1:23" x14ac:dyDescent="0.25">
      <c r="A11">
        <v>6</v>
      </c>
      <c r="B11" s="180">
        <v>5.2430000000000003</v>
      </c>
      <c r="C11" s="7">
        <v>6.3310000000000004</v>
      </c>
      <c r="D11" s="7">
        <v>7.0330000000000004</v>
      </c>
      <c r="E11" s="7">
        <v>7.556</v>
      </c>
      <c r="F11" s="7">
        <v>7.9729999999999999</v>
      </c>
      <c r="G11" s="7">
        <v>8.3179999999999996</v>
      </c>
      <c r="H11" s="7">
        <v>8.6129999999999995</v>
      </c>
      <c r="I11" s="7">
        <v>8.8689999999999998</v>
      </c>
      <c r="J11" s="7">
        <v>9.0969999999999995</v>
      </c>
      <c r="K11" s="7">
        <v>9.3010000000000002</v>
      </c>
      <c r="L11" s="7">
        <v>9.4849999999999994</v>
      </c>
      <c r="M11" s="7">
        <v>9.6530000000000005</v>
      </c>
      <c r="N11" s="7">
        <v>9.8079999999999998</v>
      </c>
      <c r="O11" s="7">
        <v>9.9510000000000005</v>
      </c>
      <c r="P11" s="7">
        <v>10.08</v>
      </c>
      <c r="Q11" s="7">
        <v>10.32</v>
      </c>
      <c r="R11" s="7">
        <v>10.54</v>
      </c>
      <c r="S11" s="7">
        <v>10.91</v>
      </c>
      <c r="T11" s="7">
        <v>11.21</v>
      </c>
      <c r="U11" s="7">
        <v>11.47</v>
      </c>
      <c r="V11" s="7">
        <v>11.69</v>
      </c>
      <c r="W11" s="425">
        <v>11.9</v>
      </c>
    </row>
    <row r="12" spans="1:23" x14ac:dyDescent="0.25">
      <c r="A12">
        <v>7</v>
      </c>
      <c r="B12" s="417">
        <v>4.9489999999999998</v>
      </c>
      <c r="C12" s="418">
        <v>5.9189999999999996</v>
      </c>
      <c r="D12" s="418">
        <v>6.5430000000000001</v>
      </c>
      <c r="E12" s="418">
        <v>7.0049999999999999</v>
      </c>
      <c r="F12" s="418">
        <v>7.3730000000000002</v>
      </c>
      <c r="G12" s="418">
        <v>7.6790000000000003</v>
      </c>
      <c r="H12" s="418">
        <v>7.9390000000000001</v>
      </c>
      <c r="I12" s="418">
        <v>8.1660000000000004</v>
      </c>
      <c r="J12" s="418">
        <v>8.3680000000000003</v>
      </c>
      <c r="K12" s="418">
        <v>8.548</v>
      </c>
      <c r="L12" s="418">
        <v>8.7110000000000003</v>
      </c>
      <c r="M12" s="418">
        <v>8.86</v>
      </c>
      <c r="N12" s="418">
        <v>8.9969999999999999</v>
      </c>
      <c r="O12" s="418">
        <v>9.1240000000000006</v>
      </c>
      <c r="P12" s="418">
        <v>9.2420000000000009</v>
      </c>
      <c r="Q12" s="418">
        <v>9.4559999999999995</v>
      </c>
      <c r="R12" s="418">
        <v>9.6460000000000008</v>
      </c>
      <c r="S12" s="418">
        <v>9.9700000000000006</v>
      </c>
      <c r="T12" s="424">
        <v>10.24</v>
      </c>
      <c r="U12" s="424">
        <v>10.47</v>
      </c>
      <c r="V12" s="424">
        <v>10.67</v>
      </c>
      <c r="W12" s="425">
        <v>10.85</v>
      </c>
    </row>
    <row r="13" spans="1:23" x14ac:dyDescent="0.25">
      <c r="A13">
        <v>8</v>
      </c>
      <c r="B13" s="417">
        <v>4.7460000000000004</v>
      </c>
      <c r="C13" s="418">
        <v>5.6349999999999998</v>
      </c>
      <c r="D13" s="418">
        <v>6.2039999999999997</v>
      </c>
      <c r="E13" s="418">
        <v>6.625</v>
      </c>
      <c r="F13" s="418">
        <v>6.96</v>
      </c>
      <c r="G13" s="418">
        <v>7.2370000000000001</v>
      </c>
      <c r="H13" s="418">
        <v>7.4740000000000002</v>
      </c>
      <c r="I13" s="418">
        <v>7.681</v>
      </c>
      <c r="J13" s="418">
        <v>7.8630000000000004</v>
      </c>
      <c r="K13" s="418">
        <v>8.0269999999999992</v>
      </c>
      <c r="L13" s="418">
        <v>8.1760000000000002</v>
      </c>
      <c r="M13" s="418">
        <v>8.3119999999999994</v>
      </c>
      <c r="N13" s="418">
        <v>8.4359999999999999</v>
      </c>
      <c r="O13" s="418">
        <v>8.5519999999999996</v>
      </c>
      <c r="P13" s="418">
        <v>8.6590000000000007</v>
      </c>
      <c r="Q13" s="418">
        <v>8.8539999999999992</v>
      </c>
      <c r="R13" s="418">
        <v>9.0269999999999992</v>
      </c>
      <c r="S13" s="418">
        <v>9.3219999999999992</v>
      </c>
      <c r="T13" s="418">
        <v>9.5690000000000008</v>
      </c>
      <c r="U13" s="418">
        <v>9.7789999999999999</v>
      </c>
      <c r="V13" s="418">
        <v>9.9640000000000004</v>
      </c>
      <c r="W13" s="425">
        <v>10.130000000000001</v>
      </c>
    </row>
    <row r="14" spans="1:23" x14ac:dyDescent="0.25">
      <c r="A14">
        <v>9</v>
      </c>
      <c r="B14" s="417">
        <v>4.5960000000000001</v>
      </c>
      <c r="C14" s="418">
        <v>5.4279999999999999</v>
      </c>
      <c r="D14" s="418">
        <v>5.9569999999999999</v>
      </c>
      <c r="E14" s="418">
        <v>6.3479999999999999</v>
      </c>
      <c r="F14" s="418">
        <v>6.6580000000000004</v>
      </c>
      <c r="G14" s="418">
        <v>6.915</v>
      </c>
      <c r="H14" s="418">
        <v>7.1340000000000003</v>
      </c>
      <c r="I14" s="418">
        <v>7.3250000000000002</v>
      </c>
      <c r="J14" s="418">
        <v>7.4950000000000001</v>
      </c>
      <c r="K14" s="418">
        <v>7.6470000000000002</v>
      </c>
      <c r="L14" s="418">
        <v>7.7839999999999998</v>
      </c>
      <c r="M14" s="418">
        <v>7.91</v>
      </c>
      <c r="N14" s="418">
        <v>8.0250000000000004</v>
      </c>
      <c r="O14" s="418">
        <v>8.1319999999999997</v>
      </c>
      <c r="P14" s="418">
        <v>8.2319999999999993</v>
      </c>
      <c r="Q14" s="418">
        <v>8.4120000000000008</v>
      </c>
      <c r="R14" s="418">
        <v>8.5730000000000004</v>
      </c>
      <c r="S14" s="418">
        <v>8.8469999999999995</v>
      </c>
      <c r="T14" s="418">
        <v>9.0749999999999993</v>
      </c>
      <c r="U14" s="418">
        <v>9.2710000000000008</v>
      </c>
      <c r="V14" s="418">
        <v>9.4429999999999996</v>
      </c>
      <c r="W14" s="419">
        <v>9.5939999999999994</v>
      </c>
    </row>
    <row r="15" spans="1:23" x14ac:dyDescent="0.25">
      <c r="A15">
        <v>10</v>
      </c>
      <c r="B15" s="417">
        <v>4.4820000000000002</v>
      </c>
      <c r="C15" s="418">
        <v>5.27</v>
      </c>
      <c r="D15" s="418">
        <v>5.7690000000000001</v>
      </c>
      <c r="E15" s="418">
        <v>6.1360000000000001</v>
      </c>
      <c r="F15" s="418">
        <v>6.4279999999999999</v>
      </c>
      <c r="G15" s="418">
        <v>6.6689999999999996</v>
      </c>
      <c r="H15" s="418">
        <v>6.875</v>
      </c>
      <c r="I15" s="418">
        <v>7.0549999999999997</v>
      </c>
      <c r="J15" s="418">
        <v>7.2130000000000001</v>
      </c>
      <c r="K15" s="418">
        <v>7.3559999999999999</v>
      </c>
      <c r="L15" s="418">
        <v>7.4850000000000003</v>
      </c>
      <c r="M15" s="418">
        <v>7.6029999999999998</v>
      </c>
      <c r="N15" s="418">
        <v>7.7119999999999997</v>
      </c>
      <c r="O15" s="418">
        <v>7.8120000000000003</v>
      </c>
      <c r="P15" s="418">
        <v>7.9059999999999997</v>
      </c>
      <c r="Q15" s="418">
        <v>8.0760000000000005</v>
      </c>
      <c r="R15" s="418">
        <v>8.2260000000000009</v>
      </c>
      <c r="S15" s="418">
        <v>8.4830000000000005</v>
      </c>
      <c r="T15" s="418">
        <v>8.6980000000000004</v>
      </c>
      <c r="U15" s="418">
        <v>8.8829999999999991</v>
      </c>
      <c r="V15" s="418">
        <v>9.0440000000000005</v>
      </c>
      <c r="W15" s="419">
        <v>9.1869999999999994</v>
      </c>
    </row>
    <row r="16" spans="1:23" x14ac:dyDescent="0.25">
      <c r="A16">
        <v>11</v>
      </c>
      <c r="B16" s="417">
        <v>4.3920000000000003</v>
      </c>
      <c r="C16" s="418">
        <v>5.1459999999999999</v>
      </c>
      <c r="D16" s="418">
        <v>5.6210000000000004</v>
      </c>
      <c r="E16" s="418">
        <v>5.97</v>
      </c>
      <c r="F16" s="418">
        <v>6.2469999999999999</v>
      </c>
      <c r="G16" s="418">
        <v>6.476</v>
      </c>
      <c r="H16" s="418">
        <v>6.6719999999999997</v>
      </c>
      <c r="I16" s="418">
        <v>6.8419999999999996</v>
      </c>
      <c r="J16" s="418">
        <v>6.992</v>
      </c>
      <c r="K16" s="418">
        <v>7.1280000000000001</v>
      </c>
      <c r="L16" s="418">
        <v>7.25</v>
      </c>
      <c r="M16" s="418">
        <v>7.3620000000000001</v>
      </c>
      <c r="N16" s="418">
        <v>7.4649999999999999</v>
      </c>
      <c r="O16" s="418">
        <v>7.56</v>
      </c>
      <c r="P16" s="418">
        <v>7.649</v>
      </c>
      <c r="Q16" s="418">
        <v>7.8090000000000002</v>
      </c>
      <c r="R16" s="418">
        <v>7.952</v>
      </c>
      <c r="S16" s="418">
        <v>8.1959999999999997</v>
      </c>
      <c r="T16" s="418">
        <v>8.4</v>
      </c>
      <c r="U16" s="418">
        <v>8.5749999999999993</v>
      </c>
      <c r="V16" s="418">
        <v>8.7279999999999998</v>
      </c>
      <c r="W16" s="419">
        <v>8.8640000000000008</v>
      </c>
    </row>
    <row r="17" spans="1:23" x14ac:dyDescent="0.25">
      <c r="A17">
        <v>12</v>
      </c>
      <c r="B17" s="417">
        <v>4.32</v>
      </c>
      <c r="C17" s="418">
        <v>5.0460000000000003</v>
      </c>
      <c r="D17" s="418">
        <v>5.5019999999999998</v>
      </c>
      <c r="E17" s="418">
        <v>5.8360000000000003</v>
      </c>
      <c r="F17" s="418">
        <v>6.101</v>
      </c>
      <c r="G17" s="418">
        <v>6.3209999999999997</v>
      </c>
      <c r="H17" s="418">
        <v>6.5069999999999997</v>
      </c>
      <c r="I17" s="418">
        <v>6.67</v>
      </c>
      <c r="J17" s="418">
        <v>6.8140000000000001</v>
      </c>
      <c r="K17" s="418">
        <v>6.9429999999999996</v>
      </c>
      <c r="L17" s="418">
        <v>7.06</v>
      </c>
      <c r="M17" s="418">
        <v>7.1669999999999998</v>
      </c>
      <c r="N17" s="418">
        <v>7.2649999999999997</v>
      </c>
      <c r="O17" s="418">
        <v>7.3559999999999999</v>
      </c>
      <c r="P17" s="418">
        <v>7.4409999999999998</v>
      </c>
      <c r="Q17" s="418">
        <v>7.5940000000000003</v>
      </c>
      <c r="R17" s="418">
        <v>7.7309999999999999</v>
      </c>
      <c r="S17" s="418">
        <v>7.9640000000000004</v>
      </c>
      <c r="T17" s="418">
        <v>8.1590000000000007</v>
      </c>
      <c r="U17" s="418">
        <v>8.327</v>
      </c>
      <c r="V17" s="418">
        <v>8.4730000000000008</v>
      </c>
      <c r="W17" s="419">
        <v>8.6029999999999998</v>
      </c>
    </row>
    <row r="18" spans="1:23" x14ac:dyDescent="0.25">
      <c r="A18">
        <v>13</v>
      </c>
      <c r="B18" s="417">
        <v>4.26</v>
      </c>
      <c r="C18" s="418">
        <v>4.9640000000000004</v>
      </c>
      <c r="D18" s="418">
        <v>5.4039999999999999</v>
      </c>
      <c r="E18" s="418">
        <v>5.7270000000000003</v>
      </c>
      <c r="F18" s="418">
        <v>5.9809999999999999</v>
      </c>
      <c r="G18" s="418">
        <v>6.1920000000000002</v>
      </c>
      <c r="H18" s="418">
        <v>6.3719999999999999</v>
      </c>
      <c r="I18" s="418">
        <v>6.5279999999999996</v>
      </c>
      <c r="J18" s="418">
        <v>6.6669999999999998</v>
      </c>
      <c r="K18" s="418">
        <v>6.7910000000000004</v>
      </c>
      <c r="L18" s="418">
        <v>6.9029999999999996</v>
      </c>
      <c r="M18" s="418">
        <v>7.0060000000000002</v>
      </c>
      <c r="N18" s="418">
        <v>7.101</v>
      </c>
      <c r="O18" s="418">
        <v>7.1879999999999997</v>
      </c>
      <c r="P18" s="418">
        <v>7.2690000000000001</v>
      </c>
      <c r="Q18" s="418">
        <v>7.4169999999999998</v>
      </c>
      <c r="R18" s="418">
        <v>7.548</v>
      </c>
      <c r="S18" s="418">
        <v>7.7720000000000002</v>
      </c>
      <c r="T18" s="418">
        <v>7.96</v>
      </c>
      <c r="U18" s="418">
        <v>8.1210000000000004</v>
      </c>
      <c r="V18" s="418">
        <v>8.2620000000000005</v>
      </c>
      <c r="W18" s="419">
        <v>8.3870000000000005</v>
      </c>
    </row>
    <row r="19" spans="1:23" x14ac:dyDescent="0.25">
      <c r="A19">
        <v>14</v>
      </c>
      <c r="B19" s="417">
        <v>4.21</v>
      </c>
      <c r="C19" s="418">
        <v>4.8949999999999996</v>
      </c>
      <c r="D19" s="418">
        <v>5.3220000000000001</v>
      </c>
      <c r="E19" s="418">
        <v>5.6340000000000003</v>
      </c>
      <c r="F19" s="418">
        <v>5.8810000000000002</v>
      </c>
      <c r="G19" s="418">
        <v>6.085</v>
      </c>
      <c r="H19" s="418">
        <v>6.258</v>
      </c>
      <c r="I19" s="418">
        <v>6.4089999999999998</v>
      </c>
      <c r="J19" s="418">
        <v>6.5430000000000001</v>
      </c>
      <c r="K19" s="418">
        <v>6.6639999999999997</v>
      </c>
      <c r="L19" s="418">
        <v>6.7720000000000002</v>
      </c>
      <c r="M19" s="418">
        <v>5.8710000000000004</v>
      </c>
      <c r="N19" s="418">
        <v>6.9619999999999997</v>
      </c>
      <c r="O19" s="418">
        <v>7.0469999999999997</v>
      </c>
      <c r="P19" s="418">
        <v>7.1260000000000003</v>
      </c>
      <c r="Q19" s="418">
        <v>7.2679999999999998</v>
      </c>
      <c r="R19" s="418">
        <v>7.3949999999999996</v>
      </c>
      <c r="S19" s="418">
        <v>7.6109999999999998</v>
      </c>
      <c r="T19" s="418">
        <v>7.7919999999999998</v>
      </c>
      <c r="U19" s="418">
        <v>7.9480000000000004</v>
      </c>
      <c r="V19" s="418">
        <v>8.0839999999999996</v>
      </c>
      <c r="W19" s="419">
        <v>8.2040000000000006</v>
      </c>
    </row>
    <row r="20" spans="1:23" x14ac:dyDescent="0.25">
      <c r="A20">
        <v>15</v>
      </c>
      <c r="B20" s="417">
        <v>4.1680000000000001</v>
      </c>
      <c r="C20" s="418">
        <v>4.8360000000000003</v>
      </c>
      <c r="D20" s="418">
        <v>5.2519999999999998</v>
      </c>
      <c r="E20" s="418">
        <v>5.556</v>
      </c>
      <c r="F20" s="418">
        <v>5.7960000000000003</v>
      </c>
      <c r="G20" s="418">
        <v>5.9939999999999998</v>
      </c>
      <c r="H20" s="418">
        <v>6.1619999999999999</v>
      </c>
      <c r="I20" s="418">
        <v>6.3090000000000002</v>
      </c>
      <c r="J20" s="418">
        <v>6.4390000000000001</v>
      </c>
      <c r="K20" s="418">
        <v>6.5549999999999997</v>
      </c>
      <c r="L20" s="418">
        <v>6.66</v>
      </c>
      <c r="M20" s="418">
        <v>5.7569999999999997</v>
      </c>
      <c r="N20" s="418">
        <v>6.8449999999999998</v>
      </c>
      <c r="O20" s="418">
        <v>6.9269999999999996</v>
      </c>
      <c r="P20" s="418">
        <v>7.0030000000000001</v>
      </c>
      <c r="Q20" s="418">
        <v>7.1420000000000003</v>
      </c>
      <c r="R20" s="418">
        <v>7.2640000000000002</v>
      </c>
      <c r="S20" s="418">
        <v>7.4740000000000002</v>
      </c>
      <c r="T20" s="418">
        <v>7.65</v>
      </c>
      <c r="U20" s="418">
        <v>7.8</v>
      </c>
      <c r="V20" s="418">
        <v>7.9320000000000004</v>
      </c>
      <c r="W20" s="419">
        <v>8.0489999999999995</v>
      </c>
    </row>
    <row r="21" spans="1:23" x14ac:dyDescent="0.25">
      <c r="A21">
        <v>16</v>
      </c>
      <c r="B21" s="417">
        <v>4.1310000000000002</v>
      </c>
      <c r="C21" s="418">
        <v>4.7859999999999996</v>
      </c>
      <c r="D21" s="418">
        <v>5.1920000000000002</v>
      </c>
      <c r="E21" s="418">
        <v>5.4889999999999999</v>
      </c>
      <c r="F21" s="418">
        <v>5.7220000000000004</v>
      </c>
      <c r="G21" s="418">
        <v>5.915</v>
      </c>
      <c r="H21" s="418">
        <v>6.0789999999999997</v>
      </c>
      <c r="I21" s="418">
        <v>6.2220000000000004</v>
      </c>
      <c r="J21" s="418">
        <v>6.3490000000000002</v>
      </c>
      <c r="K21" s="418">
        <v>6.4619999999999997</v>
      </c>
      <c r="L21" s="418">
        <v>6.5640000000000001</v>
      </c>
      <c r="M21" s="418">
        <v>5.6580000000000004</v>
      </c>
      <c r="N21" s="418">
        <v>6.7439999999999998</v>
      </c>
      <c r="O21" s="418">
        <v>6.8230000000000004</v>
      </c>
      <c r="P21" s="418">
        <v>6.8979999999999997</v>
      </c>
      <c r="Q21" s="418">
        <v>7.032</v>
      </c>
      <c r="R21" s="418">
        <v>7.1520000000000001</v>
      </c>
      <c r="S21" s="418">
        <v>7.3559999999999999</v>
      </c>
      <c r="T21" s="418">
        <v>7.5270000000000001</v>
      </c>
      <c r="U21" s="418">
        <v>7.673</v>
      </c>
      <c r="V21" s="418">
        <v>7.8019999999999996</v>
      </c>
      <c r="W21" s="419">
        <v>7.9160000000000004</v>
      </c>
    </row>
    <row r="22" spans="1:23" x14ac:dyDescent="0.25">
      <c r="A22">
        <v>17</v>
      </c>
      <c r="B22" s="417">
        <v>4.0990000000000002</v>
      </c>
      <c r="C22" s="418">
        <v>4.742</v>
      </c>
      <c r="D22" s="418">
        <v>5.14</v>
      </c>
      <c r="E22" s="418">
        <v>5.43</v>
      </c>
      <c r="F22" s="418">
        <v>5.6589999999999998</v>
      </c>
      <c r="G22" s="418">
        <v>5.8470000000000004</v>
      </c>
      <c r="H22" s="418">
        <v>6.0069999999999997</v>
      </c>
      <c r="I22" s="418">
        <v>6.1470000000000002</v>
      </c>
      <c r="J22" s="418">
        <v>6.27</v>
      </c>
      <c r="K22" s="418">
        <v>6.3810000000000002</v>
      </c>
      <c r="L22" s="418">
        <v>6.48</v>
      </c>
      <c r="M22" s="418">
        <v>5.5720000000000001</v>
      </c>
      <c r="N22" s="418">
        <v>6.6559999999999997</v>
      </c>
      <c r="O22" s="418">
        <v>6.734</v>
      </c>
      <c r="P22" s="418">
        <v>6.806</v>
      </c>
      <c r="Q22" s="418">
        <v>6.9370000000000003</v>
      </c>
      <c r="R22" s="418">
        <v>7.0529999999999999</v>
      </c>
      <c r="S22" s="418">
        <v>7.2530000000000001</v>
      </c>
      <c r="T22" s="418">
        <v>7.42</v>
      </c>
      <c r="U22" s="418">
        <v>7.5629999999999997</v>
      </c>
      <c r="V22" s="418">
        <v>7.6870000000000003</v>
      </c>
      <c r="W22" s="419">
        <v>7.7990000000000004</v>
      </c>
    </row>
    <row r="23" spans="1:23" x14ac:dyDescent="0.25">
      <c r="A23">
        <v>18</v>
      </c>
      <c r="B23" s="417">
        <v>4.0709999999999997</v>
      </c>
      <c r="C23" s="418">
        <v>4.7030000000000003</v>
      </c>
      <c r="D23" s="418">
        <v>5.0940000000000003</v>
      </c>
      <c r="E23" s="418">
        <v>5.3789999999999996</v>
      </c>
      <c r="F23" s="418">
        <v>5.6029999999999998</v>
      </c>
      <c r="G23" s="418">
        <v>5.7880000000000003</v>
      </c>
      <c r="H23" s="418">
        <v>5.944</v>
      </c>
      <c r="I23" s="418">
        <v>6.0810000000000004</v>
      </c>
      <c r="J23" s="418">
        <v>6.2009999999999996</v>
      </c>
      <c r="K23" s="418">
        <v>6.31</v>
      </c>
      <c r="L23" s="418">
        <v>6.407</v>
      </c>
      <c r="M23" s="418">
        <v>5.4969999999999999</v>
      </c>
      <c r="N23" s="418">
        <v>6.5789999999999997</v>
      </c>
      <c r="O23" s="418">
        <v>6.6550000000000002</v>
      </c>
      <c r="P23" s="418">
        <v>6.7249999999999996</v>
      </c>
      <c r="Q23" s="418">
        <v>6.8540000000000001</v>
      </c>
      <c r="R23" s="418">
        <v>6.968</v>
      </c>
      <c r="S23" s="418">
        <v>7.1630000000000003</v>
      </c>
      <c r="T23" s="418">
        <v>7.3250000000000002</v>
      </c>
      <c r="U23" s="418">
        <v>7.4649999999999999</v>
      </c>
      <c r="V23" s="418">
        <v>7.5869999999999997</v>
      </c>
      <c r="W23" s="419">
        <v>7.6959999999999997</v>
      </c>
    </row>
    <row r="24" spans="1:23" x14ac:dyDescent="0.25">
      <c r="A24">
        <v>19</v>
      </c>
      <c r="B24" s="417">
        <v>4.0460000000000003</v>
      </c>
      <c r="C24" s="418">
        <v>1.67</v>
      </c>
      <c r="D24" s="418">
        <v>5.0540000000000003</v>
      </c>
      <c r="E24" s="418">
        <v>5.3339999999999996</v>
      </c>
      <c r="F24" s="418">
        <v>5.5540000000000003</v>
      </c>
      <c r="G24" s="418">
        <v>5.7350000000000003</v>
      </c>
      <c r="H24" s="418">
        <v>5.8890000000000002</v>
      </c>
      <c r="I24" s="418">
        <v>6.0220000000000002</v>
      </c>
      <c r="J24" s="418">
        <v>6.141</v>
      </c>
      <c r="K24" s="418">
        <v>6.2469999999999999</v>
      </c>
      <c r="L24" s="418">
        <v>6.3419999999999996</v>
      </c>
      <c r="M24" s="418">
        <v>5.43</v>
      </c>
      <c r="N24" s="418">
        <v>6.51</v>
      </c>
      <c r="O24" s="418">
        <v>6.585</v>
      </c>
      <c r="P24" s="418">
        <v>6.6539999999999999</v>
      </c>
      <c r="Q24" s="418">
        <v>6.78</v>
      </c>
      <c r="R24" s="418">
        <v>6.891</v>
      </c>
      <c r="S24" s="418">
        <v>7.0819999999999999</v>
      </c>
      <c r="T24" s="418">
        <v>7.242</v>
      </c>
      <c r="U24" s="418">
        <v>7.3789999999999996</v>
      </c>
      <c r="V24" s="418">
        <v>7.4980000000000002</v>
      </c>
      <c r="W24" s="419">
        <v>7.6050000000000004</v>
      </c>
    </row>
    <row r="25" spans="1:23" x14ac:dyDescent="0.25">
      <c r="A25">
        <v>20</v>
      </c>
      <c r="B25" s="417">
        <v>4.024</v>
      </c>
      <c r="C25" s="418">
        <v>4.6390000000000002</v>
      </c>
      <c r="D25" s="418">
        <v>5.0179999999999998</v>
      </c>
      <c r="E25" s="418">
        <v>5.2939999999999996</v>
      </c>
      <c r="F25" s="418">
        <v>5.51</v>
      </c>
      <c r="G25" s="418">
        <v>5.6879999999999997</v>
      </c>
      <c r="H25" s="418">
        <v>5.8390000000000004</v>
      </c>
      <c r="I25" s="418">
        <v>5.97</v>
      </c>
      <c r="J25" s="418">
        <v>6.0869999999999997</v>
      </c>
      <c r="K25" s="418">
        <v>6.1909999999999998</v>
      </c>
      <c r="L25" s="418">
        <v>6.2850000000000001</v>
      </c>
      <c r="M25" s="418">
        <v>5.3710000000000004</v>
      </c>
      <c r="N25" s="418">
        <v>6.45</v>
      </c>
      <c r="O25" s="418">
        <v>6.5229999999999997</v>
      </c>
      <c r="P25" s="418">
        <v>6.5910000000000002</v>
      </c>
      <c r="Q25" s="418">
        <v>6.7140000000000004</v>
      </c>
      <c r="R25" s="418">
        <v>6.8230000000000004</v>
      </c>
      <c r="S25" s="418">
        <v>7.0110000000000001</v>
      </c>
      <c r="T25" s="418">
        <v>7.1680000000000001</v>
      </c>
      <c r="U25" s="418">
        <v>7.3019999999999996</v>
      </c>
      <c r="V25" s="418">
        <v>7.4189999999999996</v>
      </c>
      <c r="W25" s="419">
        <v>7.5229999999999997</v>
      </c>
    </row>
    <row r="26" spans="1:23" x14ac:dyDescent="0.25">
      <c r="A26">
        <v>24</v>
      </c>
      <c r="B26" s="417">
        <v>3.956</v>
      </c>
      <c r="C26" s="418">
        <v>4.5460000000000003</v>
      </c>
      <c r="D26" s="418">
        <v>4.907</v>
      </c>
      <c r="E26" s="418">
        <v>5.1680000000000001</v>
      </c>
      <c r="F26" s="418">
        <v>5.3739999999999997</v>
      </c>
      <c r="G26" s="418">
        <v>5.5419999999999998</v>
      </c>
      <c r="H26" s="418">
        <v>5.6849999999999996</v>
      </c>
      <c r="I26" s="418">
        <v>5.8090000000000002</v>
      </c>
      <c r="J26" s="418">
        <v>5.9189999999999996</v>
      </c>
      <c r="K26" s="418">
        <v>6.0170000000000003</v>
      </c>
      <c r="L26" s="418">
        <v>6.1059999999999999</v>
      </c>
      <c r="M26" s="418">
        <v>5.1859999999999999</v>
      </c>
      <c r="N26" s="418">
        <v>6.2610000000000001</v>
      </c>
      <c r="O26" s="418">
        <v>6.33</v>
      </c>
      <c r="P26" s="418">
        <v>6.3940000000000001</v>
      </c>
      <c r="Q26" s="418">
        <v>6.51</v>
      </c>
      <c r="R26" s="418">
        <v>6.6120000000000001</v>
      </c>
      <c r="S26" s="418">
        <v>6.7889999999999997</v>
      </c>
      <c r="T26" s="418">
        <v>6.9359999999999999</v>
      </c>
      <c r="U26" s="418">
        <v>7.0620000000000003</v>
      </c>
      <c r="V26" s="418">
        <v>7.173</v>
      </c>
      <c r="W26" s="419">
        <v>7.27</v>
      </c>
    </row>
    <row r="27" spans="1:23" x14ac:dyDescent="0.25">
      <c r="A27">
        <v>30</v>
      </c>
      <c r="B27" s="417">
        <v>3.8889999999999998</v>
      </c>
      <c r="C27" s="418">
        <v>4.4550000000000001</v>
      </c>
      <c r="D27" s="418">
        <v>4.7990000000000004</v>
      </c>
      <c r="E27" s="418">
        <v>5.048</v>
      </c>
      <c r="F27" s="418">
        <v>5.242</v>
      </c>
      <c r="G27" s="418">
        <v>5.4009999999999998</v>
      </c>
      <c r="H27" s="418">
        <v>5.5359999999999996</v>
      </c>
      <c r="I27" s="418">
        <v>5.6529999999999996</v>
      </c>
      <c r="J27" s="418">
        <v>5.7560000000000002</v>
      </c>
      <c r="K27" s="418">
        <v>5.8490000000000002</v>
      </c>
      <c r="L27" s="418">
        <v>5.9320000000000004</v>
      </c>
      <c r="M27" s="418">
        <v>5.008</v>
      </c>
      <c r="N27" s="418">
        <v>6.0780000000000003</v>
      </c>
      <c r="O27" s="418">
        <v>6.1429999999999998</v>
      </c>
      <c r="P27" s="418">
        <v>6.2030000000000003</v>
      </c>
      <c r="Q27" s="418">
        <v>6.3109999999999999</v>
      </c>
      <c r="R27" s="418">
        <v>6.407</v>
      </c>
      <c r="S27" s="418">
        <v>6.5720000000000001</v>
      </c>
      <c r="T27" s="418">
        <v>6.71</v>
      </c>
      <c r="U27" s="418">
        <v>6.8280000000000003</v>
      </c>
      <c r="V27" s="418">
        <v>6.9320000000000004</v>
      </c>
      <c r="W27" s="419">
        <v>7.0229999999999997</v>
      </c>
    </row>
    <row r="28" spans="1:23" x14ac:dyDescent="0.25">
      <c r="A28">
        <v>40</v>
      </c>
      <c r="B28" s="417">
        <v>3.8250000000000002</v>
      </c>
      <c r="C28" s="418">
        <v>4.367</v>
      </c>
      <c r="D28" s="418">
        <v>4.6959999999999997</v>
      </c>
      <c r="E28" s="418">
        <v>4.931</v>
      </c>
      <c r="F28" s="418">
        <v>5.1139999999999999</v>
      </c>
      <c r="G28" s="418">
        <v>5.2649999999999997</v>
      </c>
      <c r="H28" s="418">
        <v>5.3920000000000003</v>
      </c>
      <c r="I28" s="418">
        <v>5.5019999999999998</v>
      </c>
      <c r="J28" s="418">
        <v>5.5990000000000002</v>
      </c>
      <c r="K28" s="418">
        <v>5.6859999999999999</v>
      </c>
      <c r="L28" s="418">
        <v>5.7640000000000002</v>
      </c>
      <c r="M28" s="418">
        <v>5.835</v>
      </c>
      <c r="N28" s="418">
        <v>5.9</v>
      </c>
      <c r="O28" s="418">
        <v>5.9610000000000003</v>
      </c>
      <c r="P28" s="418">
        <v>6.0170000000000003</v>
      </c>
      <c r="Q28" s="418">
        <v>6.1189999999999998</v>
      </c>
      <c r="R28" s="418">
        <v>6.2089999999999996</v>
      </c>
      <c r="S28" s="418">
        <v>6.3620000000000001</v>
      </c>
      <c r="T28" s="418">
        <v>6.49</v>
      </c>
      <c r="U28" s="418">
        <v>6.6</v>
      </c>
      <c r="V28" s="418">
        <v>6.6970000000000001</v>
      </c>
      <c r="W28" s="419">
        <v>6.782</v>
      </c>
    </row>
    <row r="29" spans="1:23" x14ac:dyDescent="0.25">
      <c r="A29">
        <v>60</v>
      </c>
      <c r="B29" s="417">
        <v>3.762</v>
      </c>
      <c r="C29" s="418">
        <v>4.282</v>
      </c>
      <c r="D29" s="418">
        <v>4.5949999999999998</v>
      </c>
      <c r="E29" s="418">
        <v>4.8179999999999996</v>
      </c>
      <c r="F29" s="418">
        <v>4.9909999999999997</v>
      </c>
      <c r="G29" s="418">
        <v>5.133</v>
      </c>
      <c r="H29" s="418">
        <v>5.2530000000000001</v>
      </c>
      <c r="I29" s="418">
        <v>5.3559999999999999</v>
      </c>
      <c r="J29" s="418">
        <v>5.4470000000000001</v>
      </c>
      <c r="K29" s="418">
        <v>5.5279999999999996</v>
      </c>
      <c r="L29" s="418">
        <v>5.601</v>
      </c>
      <c r="M29" s="418">
        <v>5.6669999999999998</v>
      </c>
      <c r="N29" s="418">
        <v>5.7279999999999998</v>
      </c>
      <c r="O29" s="418">
        <v>5.7850000000000001</v>
      </c>
      <c r="P29" s="418">
        <v>5.8369999999999997</v>
      </c>
      <c r="Q29" s="418">
        <v>5.931</v>
      </c>
      <c r="R29" s="418">
        <v>6.0149999999999997</v>
      </c>
      <c r="S29" s="418">
        <v>6.1580000000000004</v>
      </c>
      <c r="T29" s="418">
        <v>6.2770000000000001</v>
      </c>
      <c r="U29" s="418">
        <v>6.3780000000000001</v>
      </c>
      <c r="V29" s="418">
        <v>6.4669999999999996</v>
      </c>
      <c r="W29" s="419">
        <v>6.5460000000000003</v>
      </c>
    </row>
    <row r="30" spans="1:23" x14ac:dyDescent="0.25">
      <c r="A30">
        <v>120</v>
      </c>
      <c r="B30" s="417">
        <v>3.702</v>
      </c>
      <c r="C30" s="418">
        <v>4.2</v>
      </c>
      <c r="D30" s="418">
        <v>4.4969999999999999</v>
      </c>
      <c r="E30" s="418">
        <v>4.7089999999999996</v>
      </c>
      <c r="F30" s="418">
        <v>4.8719999999999999</v>
      </c>
      <c r="G30" s="418">
        <v>5.0049999999999999</v>
      </c>
      <c r="H30" s="418">
        <v>5.1180000000000003</v>
      </c>
      <c r="I30" s="418">
        <v>5.2140000000000004</v>
      </c>
      <c r="J30" s="418">
        <v>5.2990000000000004</v>
      </c>
      <c r="K30" s="418">
        <v>5.375</v>
      </c>
      <c r="L30" s="418">
        <v>5.4429999999999996</v>
      </c>
      <c r="M30" s="418">
        <v>5.5049999999999999</v>
      </c>
      <c r="N30" s="418">
        <v>5.5620000000000003</v>
      </c>
      <c r="O30" s="418">
        <v>5.6139999999999999</v>
      </c>
      <c r="P30" s="418">
        <v>5.6619999999999999</v>
      </c>
      <c r="Q30" s="418">
        <v>5.75</v>
      </c>
      <c r="R30" s="418">
        <v>5.827</v>
      </c>
      <c r="S30" s="418">
        <v>5.9589999999999996</v>
      </c>
      <c r="T30" s="418">
        <v>6.069</v>
      </c>
      <c r="U30" s="418">
        <v>6.1619999999999999</v>
      </c>
      <c r="V30" s="418">
        <v>6.2439999999999998</v>
      </c>
      <c r="W30" s="419">
        <v>6.3159999999999998</v>
      </c>
    </row>
    <row r="31" spans="1:23" x14ac:dyDescent="0.25">
      <c r="A31" s="12" t="s">
        <v>753</v>
      </c>
      <c r="B31" s="420">
        <v>3.6429999999999998</v>
      </c>
      <c r="C31" s="421">
        <v>4.12</v>
      </c>
      <c r="D31" s="421">
        <v>4.4029999999999996</v>
      </c>
      <c r="E31" s="421">
        <v>4.6029999999999998</v>
      </c>
      <c r="F31" s="421">
        <v>4.7569999999999997</v>
      </c>
      <c r="G31" s="421">
        <v>4.8819999999999997</v>
      </c>
      <c r="H31" s="421">
        <v>4.9870000000000001</v>
      </c>
      <c r="I31" s="421">
        <v>5.0780000000000003</v>
      </c>
      <c r="J31" s="421">
        <v>5.157</v>
      </c>
      <c r="K31" s="421">
        <v>5.2270000000000003</v>
      </c>
      <c r="L31" s="421">
        <v>5.29</v>
      </c>
      <c r="M31" s="421">
        <v>5.3479999999999999</v>
      </c>
      <c r="N31" s="421">
        <v>5.4</v>
      </c>
      <c r="O31" s="421">
        <v>5.4480000000000004</v>
      </c>
      <c r="P31" s="421">
        <v>5.4930000000000003</v>
      </c>
      <c r="Q31" s="421">
        <v>5.5739999999999998</v>
      </c>
      <c r="R31" s="421">
        <v>5.6449999999999996</v>
      </c>
      <c r="S31" s="421">
        <v>5.766</v>
      </c>
      <c r="T31" s="421">
        <v>5.8659999999999997</v>
      </c>
      <c r="U31" s="421">
        <v>5.952</v>
      </c>
      <c r="V31" s="421">
        <v>6.0259999999999998</v>
      </c>
      <c r="W31" s="422">
        <v>6.0919999999999996</v>
      </c>
    </row>
    <row r="33" spans="1:23" x14ac:dyDescent="0.25">
      <c r="A33" t="s">
        <v>31</v>
      </c>
      <c r="B33">
        <v>2.5000000000000001E-2</v>
      </c>
    </row>
    <row r="34" spans="1:23" x14ac:dyDescent="0.25">
      <c r="B34" t="s">
        <v>751</v>
      </c>
    </row>
    <row r="35" spans="1:23" x14ac:dyDescent="0.25">
      <c r="A35" s="12" t="s">
        <v>51</v>
      </c>
      <c r="B35">
        <v>2</v>
      </c>
      <c r="C35">
        <f>B35+1</f>
        <v>3</v>
      </c>
      <c r="D35">
        <f t="shared" ref="D35:L35" si="1">C35+1</f>
        <v>4</v>
      </c>
      <c r="E35">
        <f t="shared" si="1"/>
        <v>5</v>
      </c>
      <c r="F35">
        <f t="shared" si="1"/>
        <v>6</v>
      </c>
      <c r="G35">
        <f t="shared" si="1"/>
        <v>7</v>
      </c>
      <c r="H35">
        <f t="shared" si="1"/>
        <v>8</v>
      </c>
      <c r="I35">
        <f t="shared" si="1"/>
        <v>9</v>
      </c>
      <c r="J35">
        <f t="shared" si="1"/>
        <v>10</v>
      </c>
      <c r="K35">
        <f t="shared" si="1"/>
        <v>11</v>
      </c>
      <c r="L35">
        <f t="shared" si="1"/>
        <v>12</v>
      </c>
      <c r="M35">
        <v>13</v>
      </c>
      <c r="N35">
        <f>M35+1</f>
        <v>14</v>
      </c>
      <c r="O35">
        <f>N35+1</f>
        <v>15</v>
      </c>
      <c r="P35">
        <f>O35+1</f>
        <v>16</v>
      </c>
      <c r="Q35">
        <f>P35+2</f>
        <v>18</v>
      </c>
      <c r="R35">
        <f>Q35+2</f>
        <v>20</v>
      </c>
      <c r="S35">
        <f>R35+4</f>
        <v>24</v>
      </c>
      <c r="T35">
        <f>S35+4</f>
        <v>28</v>
      </c>
      <c r="U35">
        <f>T35+4</f>
        <v>32</v>
      </c>
      <c r="V35">
        <f>U35+4</f>
        <v>36</v>
      </c>
      <c r="W35">
        <f>V35+4</f>
        <v>40</v>
      </c>
    </row>
    <row r="36" spans="1:23" x14ac:dyDescent="0.25">
      <c r="A36">
        <v>1</v>
      </c>
      <c r="B36" s="426">
        <v>35.99</v>
      </c>
      <c r="C36" s="427">
        <v>54</v>
      </c>
      <c r="D36" s="427">
        <v>65.69</v>
      </c>
      <c r="E36" s="427">
        <v>74.22</v>
      </c>
      <c r="F36" s="427">
        <v>80.87</v>
      </c>
      <c r="G36" s="427">
        <v>86.29</v>
      </c>
      <c r="H36" s="427">
        <v>90.85</v>
      </c>
      <c r="I36" s="427">
        <v>94.77</v>
      </c>
      <c r="J36" s="427">
        <v>98.2</v>
      </c>
      <c r="K36" s="271">
        <v>101.3</v>
      </c>
      <c r="L36" s="271">
        <v>104</v>
      </c>
      <c r="M36" s="271">
        <v>106.5</v>
      </c>
      <c r="N36" s="271">
        <v>108.8</v>
      </c>
      <c r="O36" s="271">
        <v>110.8</v>
      </c>
      <c r="P36" s="271">
        <v>112.7</v>
      </c>
      <c r="Q36" s="271">
        <v>116.2</v>
      </c>
      <c r="R36" s="271">
        <v>119.2</v>
      </c>
      <c r="S36" s="271">
        <v>124.3</v>
      </c>
      <c r="T36" s="271">
        <v>128.6</v>
      </c>
      <c r="U36" s="271">
        <v>132.1</v>
      </c>
      <c r="V36" s="271">
        <v>135.19999999999999</v>
      </c>
      <c r="W36" s="428">
        <v>137.9</v>
      </c>
    </row>
    <row r="37" spans="1:23" x14ac:dyDescent="0.25">
      <c r="A37">
        <v>2</v>
      </c>
      <c r="B37" s="417">
        <v>8.7759999999999998</v>
      </c>
      <c r="C37" s="424">
        <v>11.94</v>
      </c>
      <c r="D37" s="424">
        <v>14.01</v>
      </c>
      <c r="E37" s="424">
        <v>15.54</v>
      </c>
      <c r="F37" s="424">
        <v>16.75</v>
      </c>
      <c r="G37" s="424">
        <v>17.739999999999998</v>
      </c>
      <c r="H37" s="424">
        <v>18.579999999999998</v>
      </c>
      <c r="I37" s="424">
        <v>19.309999999999999</v>
      </c>
      <c r="J37" s="424">
        <v>19.95</v>
      </c>
      <c r="K37" s="424">
        <v>20.52</v>
      </c>
      <c r="L37" s="424">
        <v>21.03</v>
      </c>
      <c r="M37" s="424">
        <v>21.49</v>
      </c>
      <c r="N37" s="424">
        <v>21.91</v>
      </c>
      <c r="O37" s="424">
        <v>22.3</v>
      </c>
      <c r="P37" s="424">
        <v>22.67</v>
      </c>
      <c r="Q37" s="424">
        <v>23.32</v>
      </c>
      <c r="R37" s="424">
        <v>23.89</v>
      </c>
      <c r="S37" s="424">
        <v>24.87</v>
      </c>
      <c r="T37" s="424">
        <v>25.67</v>
      </c>
      <c r="U37" s="424">
        <v>26.35</v>
      </c>
      <c r="V37" s="424">
        <v>26.95</v>
      </c>
      <c r="W37" s="425">
        <v>27.47</v>
      </c>
    </row>
    <row r="38" spans="1:23" x14ac:dyDescent="0.25">
      <c r="A38">
        <v>3</v>
      </c>
      <c r="B38" s="417">
        <v>5.907</v>
      </c>
      <c r="C38" s="418">
        <v>7.6609999999999996</v>
      </c>
      <c r="D38" s="418">
        <v>8.8079999999999998</v>
      </c>
      <c r="E38" s="418">
        <v>9.66</v>
      </c>
      <c r="F38" s="424">
        <v>10.34</v>
      </c>
      <c r="G38" s="424">
        <v>10.89</v>
      </c>
      <c r="H38" s="424">
        <v>11.37</v>
      </c>
      <c r="I38" s="424">
        <v>11.78</v>
      </c>
      <c r="J38" s="424">
        <v>12.14</v>
      </c>
      <c r="K38" s="424">
        <v>12.46</v>
      </c>
      <c r="L38" s="424">
        <v>12.75</v>
      </c>
      <c r="M38" s="424">
        <v>13.01</v>
      </c>
      <c r="N38" s="424">
        <v>13.26</v>
      </c>
      <c r="O38" s="424">
        <v>13.48</v>
      </c>
      <c r="P38" s="424">
        <v>13.69</v>
      </c>
      <c r="Q38" s="424">
        <v>14.06</v>
      </c>
      <c r="R38" s="424">
        <v>14.39</v>
      </c>
      <c r="S38" s="424">
        <v>14.95</v>
      </c>
      <c r="T38" s="424">
        <v>15.41</v>
      </c>
      <c r="U38" s="424">
        <v>15.81</v>
      </c>
      <c r="V38" s="424">
        <v>16.149999999999999</v>
      </c>
      <c r="W38" s="425">
        <v>16.46</v>
      </c>
    </row>
    <row r="39" spans="1:23" x14ac:dyDescent="0.25">
      <c r="A39">
        <v>4</v>
      </c>
      <c r="B39" s="417">
        <v>4.9429999999999996</v>
      </c>
      <c r="C39" s="418">
        <v>6.2439999999999998</v>
      </c>
      <c r="D39" s="418">
        <v>7.0880000000000001</v>
      </c>
      <c r="E39" s="418">
        <v>7.7160000000000002</v>
      </c>
      <c r="F39" s="418">
        <v>8.2129999999999992</v>
      </c>
      <c r="G39" s="418">
        <v>8.625</v>
      </c>
      <c r="H39" s="418">
        <v>8.9760000000000009</v>
      </c>
      <c r="I39" s="418">
        <v>9.2789999999999999</v>
      </c>
      <c r="J39" s="418">
        <v>9.548</v>
      </c>
      <c r="K39" s="418">
        <v>9.7880000000000003</v>
      </c>
      <c r="L39" s="424">
        <v>10.01</v>
      </c>
      <c r="M39" s="424">
        <v>10.199999999999999</v>
      </c>
      <c r="N39" s="424">
        <v>10.39</v>
      </c>
      <c r="O39" s="424">
        <v>10.55</v>
      </c>
      <c r="P39" s="424">
        <v>10.71</v>
      </c>
      <c r="Q39" s="424">
        <v>10.99</v>
      </c>
      <c r="R39" s="424">
        <v>11.23</v>
      </c>
      <c r="S39" s="424">
        <v>11.66</v>
      </c>
      <c r="T39" s="424">
        <v>12</v>
      </c>
      <c r="U39" s="424">
        <v>12.3</v>
      </c>
      <c r="V39" s="424">
        <v>12.56</v>
      </c>
      <c r="W39" s="425">
        <v>12.79</v>
      </c>
    </row>
    <row r="40" spans="1:23" x14ac:dyDescent="0.25">
      <c r="A40">
        <v>5</v>
      </c>
      <c r="B40" s="417">
        <v>4.4740000000000002</v>
      </c>
      <c r="C40" s="418">
        <v>5.5579999999999998</v>
      </c>
      <c r="D40" s="418">
        <v>6.2569999999999997</v>
      </c>
      <c r="E40" s="418">
        <v>6.7750000000000004</v>
      </c>
      <c r="F40" s="418">
        <v>7.1859999999999999</v>
      </c>
      <c r="G40" s="418">
        <v>7.5270000000000001</v>
      </c>
      <c r="H40" s="418">
        <v>7.8159999999999998</v>
      </c>
      <c r="I40" s="418">
        <v>8.0679999999999996</v>
      </c>
      <c r="J40" s="418">
        <v>8.2910000000000004</v>
      </c>
      <c r="K40" s="418">
        <v>8.49</v>
      </c>
      <c r="L40" s="418">
        <v>8.67</v>
      </c>
      <c r="M40" s="418">
        <v>8.8339999999999996</v>
      </c>
      <c r="N40" s="418">
        <v>8.984</v>
      </c>
      <c r="O40" s="418">
        <v>9.1240000000000006</v>
      </c>
      <c r="P40" s="418">
        <v>9.2530000000000001</v>
      </c>
      <c r="Q40" s="418">
        <v>9.4860000000000007</v>
      </c>
      <c r="R40" s="418">
        <v>9.6929999999999996</v>
      </c>
      <c r="S40" s="424">
        <v>10.039999999999999</v>
      </c>
      <c r="T40" s="424">
        <v>10.34</v>
      </c>
      <c r="U40" s="424">
        <v>10.59</v>
      </c>
      <c r="V40" s="424">
        <v>10.8</v>
      </c>
      <c r="W40" s="425">
        <v>11</v>
      </c>
    </row>
    <row r="41" spans="1:23" x14ac:dyDescent="0.25">
      <c r="A41">
        <v>6</v>
      </c>
      <c r="B41" s="417">
        <v>4.1989999999999998</v>
      </c>
      <c r="C41" s="418">
        <v>5.1580000000000004</v>
      </c>
      <c r="D41" s="418">
        <v>5.7720000000000002</v>
      </c>
      <c r="E41" s="418">
        <v>6.226</v>
      </c>
      <c r="F41" s="418">
        <v>6.5860000000000003</v>
      </c>
      <c r="G41" s="418">
        <v>6.8840000000000003</v>
      </c>
      <c r="H41" s="418">
        <v>7.1379999999999999</v>
      </c>
      <c r="I41" s="418">
        <v>7.359</v>
      </c>
      <c r="J41" s="418">
        <v>7.5540000000000003</v>
      </c>
      <c r="K41" s="418">
        <v>7.7290000000000001</v>
      </c>
      <c r="L41" s="418">
        <v>7.8869999999999996</v>
      </c>
      <c r="M41" s="418">
        <v>8.0310000000000006</v>
      </c>
      <c r="N41" s="418">
        <v>8.1630000000000003</v>
      </c>
      <c r="O41" s="418">
        <v>8.2859999999999996</v>
      </c>
      <c r="P41" s="418">
        <v>8.3989999999999991</v>
      </c>
      <c r="Q41" s="418">
        <v>8.6050000000000004</v>
      </c>
      <c r="R41" s="418">
        <v>8.7870000000000008</v>
      </c>
      <c r="S41" s="418">
        <v>9.0969999999999995</v>
      </c>
      <c r="T41" s="418">
        <v>9.3550000000000004</v>
      </c>
      <c r="U41" s="418">
        <v>9.5749999999999993</v>
      </c>
      <c r="V41" s="418">
        <v>9.7669999999999995</v>
      </c>
      <c r="W41" s="419">
        <v>9.9380000000000006</v>
      </c>
    </row>
    <row r="42" spans="1:23" x14ac:dyDescent="0.25">
      <c r="A42">
        <v>7</v>
      </c>
      <c r="B42" s="417">
        <v>4.0179999999999998</v>
      </c>
      <c r="C42" s="418">
        <v>4.8970000000000002</v>
      </c>
      <c r="D42" s="418">
        <v>5.4550000000000001</v>
      </c>
      <c r="E42" s="418">
        <v>5.8680000000000003</v>
      </c>
      <c r="F42" s="418">
        <v>6.194</v>
      </c>
      <c r="G42" s="418">
        <v>6.4640000000000004</v>
      </c>
      <c r="H42" s="418">
        <v>6.6950000000000003</v>
      </c>
      <c r="I42" s="418">
        <v>6.8949999999999996</v>
      </c>
      <c r="J42" s="418">
        <v>7.0720000000000001</v>
      </c>
      <c r="K42" s="418">
        <v>7.23</v>
      </c>
      <c r="L42" s="418">
        <v>7.3730000000000002</v>
      </c>
      <c r="M42" s="418">
        <v>7.5039999999999996</v>
      </c>
      <c r="N42" s="418">
        <v>7.6239999999999997</v>
      </c>
      <c r="O42" s="418">
        <v>7.7350000000000003</v>
      </c>
      <c r="P42" s="418">
        <v>7.8390000000000004</v>
      </c>
      <c r="Q42" s="418">
        <v>8.0250000000000004</v>
      </c>
      <c r="R42" s="418">
        <v>8.1910000000000007</v>
      </c>
      <c r="S42" s="418">
        <v>8.4730000000000008</v>
      </c>
      <c r="T42" s="418">
        <v>8.7080000000000002</v>
      </c>
      <c r="U42" s="418">
        <v>8.9090000000000007</v>
      </c>
      <c r="V42" s="418">
        <v>9.0839999999999996</v>
      </c>
      <c r="W42" s="419">
        <v>9.2390000000000008</v>
      </c>
    </row>
    <row r="43" spans="1:23" x14ac:dyDescent="0.25">
      <c r="A43">
        <v>8</v>
      </c>
      <c r="B43" s="417">
        <v>3.8919999999999999</v>
      </c>
      <c r="C43" s="418">
        <v>4.7140000000000004</v>
      </c>
      <c r="D43" s="418">
        <v>5.2329999999999997</v>
      </c>
      <c r="E43" s="418">
        <v>5.6159999999999997</v>
      </c>
      <c r="F43" s="418">
        <v>5.9189999999999996</v>
      </c>
      <c r="G43" s="418">
        <v>6.1689999999999996</v>
      </c>
      <c r="H43" s="418">
        <v>6.3819999999999997</v>
      </c>
      <c r="I43" s="418">
        <v>6.5679999999999996</v>
      </c>
      <c r="J43" s="418">
        <v>6.7320000000000002</v>
      </c>
      <c r="K43" s="418">
        <v>6.8789999999999996</v>
      </c>
      <c r="L43" s="418">
        <v>7.0110000000000001</v>
      </c>
      <c r="M43" s="418">
        <v>7.1319999999999997</v>
      </c>
      <c r="N43" s="418">
        <v>7.2439999999999998</v>
      </c>
      <c r="O43" s="418">
        <v>7.3470000000000004</v>
      </c>
      <c r="P43" s="418">
        <v>7.4429999999999996</v>
      </c>
      <c r="Q43" s="418">
        <v>7.6159999999999997</v>
      </c>
      <c r="R43" s="418">
        <v>7.7690000000000001</v>
      </c>
      <c r="S43" s="418">
        <v>8.0310000000000006</v>
      </c>
      <c r="T43" s="418">
        <v>8.25</v>
      </c>
      <c r="U43" s="418">
        <v>8.4359999999999999</v>
      </c>
      <c r="V43" s="418">
        <v>8.5990000000000002</v>
      </c>
      <c r="W43" s="419">
        <v>8.7430000000000003</v>
      </c>
    </row>
    <row r="44" spans="1:23" x14ac:dyDescent="0.25">
      <c r="A44">
        <v>9</v>
      </c>
      <c r="B44" s="417">
        <v>3.7970000000000002</v>
      </c>
      <c r="C44" s="418">
        <v>4.5780000000000003</v>
      </c>
      <c r="D44" s="418">
        <v>5.069</v>
      </c>
      <c r="E44" s="418">
        <v>5.43</v>
      </c>
      <c r="F44" s="418">
        <v>5.7149999999999999</v>
      </c>
      <c r="G44" s="418">
        <v>5.95</v>
      </c>
      <c r="H44" s="418">
        <v>6.1509999999999998</v>
      </c>
      <c r="I44" s="418">
        <v>6.3250000000000002</v>
      </c>
      <c r="J44" s="418">
        <v>6.4790000000000001</v>
      </c>
      <c r="K44" s="418">
        <v>6.617</v>
      </c>
      <c r="L44" s="418">
        <v>6.742</v>
      </c>
      <c r="M44" s="418">
        <v>6.8559999999999999</v>
      </c>
      <c r="N44" s="418">
        <v>6.9610000000000003</v>
      </c>
      <c r="O44" s="418">
        <v>7.0579999999999998</v>
      </c>
      <c r="P44" s="418">
        <v>7.1479999999999997</v>
      </c>
      <c r="Q44" s="418">
        <v>7.3109999999999999</v>
      </c>
      <c r="R44" s="418">
        <v>7.4550000000000001</v>
      </c>
      <c r="S44" s="418">
        <v>7.702</v>
      </c>
      <c r="T44" s="418">
        <v>7.9080000000000004</v>
      </c>
      <c r="U44" s="418">
        <v>8.0839999999999996</v>
      </c>
      <c r="V44" s="418">
        <v>8.2370000000000001</v>
      </c>
      <c r="W44" s="419">
        <v>8.3729999999999993</v>
      </c>
    </row>
    <row r="45" spans="1:23" x14ac:dyDescent="0.25">
      <c r="A45">
        <v>10</v>
      </c>
      <c r="B45" s="417">
        <v>3.7250000000000001</v>
      </c>
      <c r="C45" s="418">
        <v>4.4740000000000002</v>
      </c>
      <c r="D45" s="418">
        <v>4.9429999999999996</v>
      </c>
      <c r="E45" s="418">
        <v>5.2869999999999999</v>
      </c>
      <c r="F45" s="418">
        <v>5.5579999999999998</v>
      </c>
      <c r="G45" s="418">
        <v>5.782</v>
      </c>
      <c r="H45" s="418">
        <v>5.9720000000000004</v>
      </c>
      <c r="I45" s="418">
        <v>6.1379999999999999</v>
      </c>
      <c r="J45" s="418">
        <v>6.2850000000000001</v>
      </c>
      <c r="K45" s="418">
        <v>6.4160000000000004</v>
      </c>
      <c r="L45" s="418">
        <v>6.5339999999999998</v>
      </c>
      <c r="M45" s="418">
        <v>6.6429999999999998</v>
      </c>
      <c r="N45" s="418">
        <v>6.742</v>
      </c>
      <c r="O45" s="418">
        <v>6.8339999999999996</v>
      </c>
      <c r="P45" s="418">
        <v>6.92</v>
      </c>
      <c r="Q45" s="418">
        <v>7.0750000000000002</v>
      </c>
      <c r="R45" s="418">
        <v>7.2119999999999997</v>
      </c>
      <c r="S45" s="418">
        <v>7.4470000000000001</v>
      </c>
      <c r="T45" s="418">
        <v>7.6429999999999998</v>
      </c>
      <c r="U45" s="418">
        <v>7.81</v>
      </c>
      <c r="V45" s="418">
        <v>7.9560000000000004</v>
      </c>
      <c r="W45" s="419">
        <v>8.0860000000000003</v>
      </c>
    </row>
    <row r="46" spans="1:23" x14ac:dyDescent="0.25">
      <c r="A46">
        <v>11</v>
      </c>
      <c r="B46" s="417">
        <v>3.6669999999999998</v>
      </c>
      <c r="C46" s="418">
        <v>4.391</v>
      </c>
      <c r="D46" s="418">
        <v>4.843</v>
      </c>
      <c r="E46" s="418">
        <v>5.173</v>
      </c>
      <c r="F46" s="418">
        <v>5.4329999999999998</v>
      </c>
      <c r="G46" s="418">
        <v>5.6479999999999997</v>
      </c>
      <c r="H46" s="418">
        <v>5.8310000000000004</v>
      </c>
      <c r="I46" s="418">
        <v>5.9889999999999999</v>
      </c>
      <c r="J46" s="418">
        <v>6.13</v>
      </c>
      <c r="K46" s="418">
        <v>6.2560000000000002</v>
      </c>
      <c r="L46" s="418">
        <v>6.3689999999999998</v>
      </c>
      <c r="M46" s="418">
        <v>6.4729999999999999</v>
      </c>
      <c r="N46" s="418">
        <v>6.5679999999999996</v>
      </c>
      <c r="O46" s="418">
        <v>6.657</v>
      </c>
      <c r="P46" s="418">
        <v>6.7389999999999999</v>
      </c>
      <c r="Q46" s="418">
        <v>6.8869999999999996</v>
      </c>
      <c r="R46" s="418">
        <v>7.0190000000000001</v>
      </c>
      <c r="S46" s="418">
        <v>7.2439999999999998</v>
      </c>
      <c r="T46" s="418">
        <v>7.431</v>
      </c>
      <c r="U46" s="418">
        <v>7.5919999999999996</v>
      </c>
      <c r="V46" s="418">
        <v>7.7320000000000002</v>
      </c>
      <c r="W46" s="419">
        <v>7.8559999999999999</v>
      </c>
    </row>
    <row r="47" spans="1:23" x14ac:dyDescent="0.25">
      <c r="A47">
        <v>12</v>
      </c>
      <c r="B47" s="417">
        <v>3.62</v>
      </c>
      <c r="C47" s="418">
        <v>4.3250000000000002</v>
      </c>
      <c r="D47" s="418">
        <v>4.7619999999999996</v>
      </c>
      <c r="E47" s="418">
        <v>5.0810000000000004</v>
      </c>
      <c r="F47" s="418">
        <v>5.3319999999999999</v>
      </c>
      <c r="G47" s="418">
        <v>5.54</v>
      </c>
      <c r="H47" s="418">
        <v>5.7160000000000002</v>
      </c>
      <c r="I47" s="418">
        <v>5.8689999999999998</v>
      </c>
      <c r="J47" s="418">
        <v>6.0039999999999996</v>
      </c>
      <c r="K47" s="418">
        <v>6.125</v>
      </c>
      <c r="L47" s="418">
        <v>6.2350000000000003</v>
      </c>
      <c r="M47" s="418">
        <v>6.335</v>
      </c>
      <c r="N47" s="418">
        <v>6.4269999999999996</v>
      </c>
      <c r="O47" s="418">
        <v>6.5119999999999996</v>
      </c>
      <c r="P47" s="418">
        <v>6.5910000000000002</v>
      </c>
      <c r="Q47" s="418">
        <v>6.734</v>
      </c>
      <c r="R47" s="418">
        <v>6.8609999999999998</v>
      </c>
      <c r="S47" s="418">
        <v>7.0780000000000003</v>
      </c>
      <c r="T47" s="418">
        <v>7.258</v>
      </c>
      <c r="U47" s="418">
        <v>7.4130000000000003</v>
      </c>
      <c r="V47" s="418">
        <v>7.548</v>
      </c>
      <c r="W47" s="419">
        <v>7.6680000000000001</v>
      </c>
    </row>
    <row r="48" spans="1:23" x14ac:dyDescent="0.25">
      <c r="A48">
        <v>13</v>
      </c>
      <c r="B48" s="417">
        <v>3.5819999999999999</v>
      </c>
      <c r="C48" s="418">
        <v>4.2690000000000001</v>
      </c>
      <c r="D48" s="418">
        <v>4.694</v>
      </c>
      <c r="E48" s="418">
        <v>5.0039999999999996</v>
      </c>
      <c r="F48" s="418">
        <v>5.2480000000000002</v>
      </c>
      <c r="G48" s="418">
        <v>5.4489999999999998</v>
      </c>
      <c r="H48" s="418">
        <v>5.62</v>
      </c>
      <c r="I48" s="418">
        <v>5.7690000000000001</v>
      </c>
      <c r="J48" s="418">
        <v>5.9</v>
      </c>
      <c r="K48" s="418">
        <v>6.0170000000000003</v>
      </c>
      <c r="L48" s="418">
        <v>6.1230000000000002</v>
      </c>
      <c r="M48" s="418">
        <v>6.22</v>
      </c>
      <c r="N48" s="418">
        <v>6.3090000000000002</v>
      </c>
      <c r="O48" s="418">
        <v>6.3920000000000003</v>
      </c>
      <c r="P48" s="418">
        <v>6.468</v>
      </c>
      <c r="Q48" s="418">
        <v>6.6070000000000002</v>
      </c>
      <c r="R48" s="418">
        <v>6.73</v>
      </c>
      <c r="S48" s="418">
        <v>6.9390000000000001</v>
      </c>
      <c r="T48" s="418">
        <v>7.1150000000000002</v>
      </c>
      <c r="U48" s="418">
        <v>7.2649999999999997</v>
      </c>
      <c r="V48" s="418">
        <v>7.3959999999999999</v>
      </c>
      <c r="W48" s="419">
        <v>7.5119999999999996</v>
      </c>
    </row>
    <row r="49" spans="1:23" x14ac:dyDescent="0.25">
      <c r="A49">
        <v>14</v>
      </c>
      <c r="B49" s="417">
        <v>3.55</v>
      </c>
      <c r="C49" s="418">
        <v>4.2220000000000004</v>
      </c>
      <c r="D49" s="418">
        <v>4.6379999999999999</v>
      </c>
      <c r="E49" s="418">
        <v>4.9400000000000004</v>
      </c>
      <c r="F49" s="418">
        <v>5.1779999999999999</v>
      </c>
      <c r="G49" s="418">
        <v>5.3739999999999997</v>
      </c>
      <c r="H49" s="418">
        <v>5.54</v>
      </c>
      <c r="I49" s="418">
        <v>5.6840000000000002</v>
      </c>
      <c r="J49" s="418">
        <v>5.8109999999999999</v>
      </c>
      <c r="K49" s="418">
        <v>5.9260000000000002</v>
      </c>
      <c r="L49" s="418">
        <v>6.0289999999999999</v>
      </c>
      <c r="M49" s="418">
        <v>6.1230000000000002</v>
      </c>
      <c r="N49" s="418">
        <v>6.21</v>
      </c>
      <c r="O49" s="418">
        <v>6.29</v>
      </c>
      <c r="P49" s="418">
        <v>6.3639999999999999</v>
      </c>
      <c r="Q49" s="418">
        <v>6.4989999999999997</v>
      </c>
      <c r="R49" s="418">
        <v>6.6189999999999998</v>
      </c>
      <c r="S49" s="418">
        <v>6.8230000000000004</v>
      </c>
      <c r="T49" s="418">
        <v>6.9930000000000003</v>
      </c>
      <c r="U49" s="418">
        <v>7.1390000000000002</v>
      </c>
      <c r="V49" s="418">
        <v>7.266</v>
      </c>
      <c r="W49" s="419">
        <v>7.3789999999999996</v>
      </c>
    </row>
    <row r="50" spans="1:23" x14ac:dyDescent="0.25">
      <c r="A50">
        <v>15</v>
      </c>
      <c r="B50" s="417">
        <v>3.5219999999999998</v>
      </c>
      <c r="C50" s="418">
        <v>4.1820000000000004</v>
      </c>
      <c r="D50" s="418">
        <v>4.5890000000000004</v>
      </c>
      <c r="E50" s="418">
        <v>4.8849999999999998</v>
      </c>
      <c r="F50" s="418">
        <v>5.1180000000000003</v>
      </c>
      <c r="G50" s="418">
        <v>5.3090000000000002</v>
      </c>
      <c r="H50" s="418">
        <v>5.4710000000000001</v>
      </c>
      <c r="I50" s="418">
        <v>5.6120000000000001</v>
      </c>
      <c r="J50" s="418">
        <v>5.7370000000000001</v>
      </c>
      <c r="K50" s="418">
        <v>5.8479999999999999</v>
      </c>
      <c r="L50" s="418">
        <v>5.9489999999999998</v>
      </c>
      <c r="M50" s="418">
        <v>6.0410000000000004</v>
      </c>
      <c r="N50" s="418">
        <v>6.125</v>
      </c>
      <c r="O50" s="418">
        <v>6.2030000000000003</v>
      </c>
      <c r="P50" s="418">
        <v>6.2759999999999998</v>
      </c>
      <c r="Q50" s="418">
        <v>6.407</v>
      </c>
      <c r="R50" s="418">
        <v>6.5229999999999997</v>
      </c>
      <c r="S50" s="418">
        <v>6.7229999999999999</v>
      </c>
      <c r="T50" s="418">
        <v>6.8890000000000002</v>
      </c>
      <c r="U50" s="418">
        <v>7.0309999999999997</v>
      </c>
      <c r="V50" s="418">
        <v>7.1550000000000002</v>
      </c>
      <c r="W50" s="419">
        <v>7.2649999999999997</v>
      </c>
    </row>
    <row r="51" spans="1:23" x14ac:dyDescent="0.25">
      <c r="A51">
        <v>16</v>
      </c>
      <c r="B51" s="417">
        <v>3.4980000000000002</v>
      </c>
      <c r="C51" s="418">
        <v>4.1479999999999997</v>
      </c>
      <c r="D51" s="418">
        <v>4.548</v>
      </c>
      <c r="E51" s="418">
        <v>4.8380000000000001</v>
      </c>
      <c r="F51" s="418">
        <v>5.0659999999999998</v>
      </c>
      <c r="G51" s="418">
        <v>5.2530000000000001</v>
      </c>
      <c r="H51" s="418">
        <v>5.4119999999999999</v>
      </c>
      <c r="I51" s="418">
        <v>5.55</v>
      </c>
      <c r="J51" s="418">
        <v>5.6719999999999997</v>
      </c>
      <c r="K51" s="418">
        <v>5.7809999999999997</v>
      </c>
      <c r="L51" s="418">
        <v>5.8789999999999996</v>
      </c>
      <c r="M51" s="418">
        <v>5.9690000000000003</v>
      </c>
      <c r="N51" s="418">
        <v>6.0519999999999996</v>
      </c>
      <c r="O51" s="418">
        <v>6.1280000000000001</v>
      </c>
      <c r="P51" s="418">
        <v>6.1989999999999998</v>
      </c>
      <c r="Q51" s="418">
        <v>6.3280000000000003</v>
      </c>
      <c r="R51" s="418">
        <v>6.4409999999999998</v>
      </c>
      <c r="S51" s="418">
        <v>6.6360000000000001</v>
      </c>
      <c r="T51" s="418">
        <v>6.7990000000000004</v>
      </c>
      <c r="U51" s="418">
        <v>6.9379999999999997</v>
      </c>
      <c r="V51" s="418">
        <v>7.0590000000000002</v>
      </c>
      <c r="W51" s="419">
        <v>7.1669999999999998</v>
      </c>
    </row>
    <row r="52" spans="1:23" x14ac:dyDescent="0.25">
      <c r="A52">
        <v>17</v>
      </c>
      <c r="B52" s="417">
        <v>3.4769999999999999</v>
      </c>
      <c r="C52" s="418">
        <v>4.1180000000000003</v>
      </c>
      <c r="D52" s="418">
        <v>4.5119999999999996</v>
      </c>
      <c r="E52" s="418">
        <v>4.7969999999999997</v>
      </c>
      <c r="F52" s="418">
        <v>5.0199999999999996</v>
      </c>
      <c r="G52" s="418">
        <v>5.2039999999999997</v>
      </c>
      <c r="H52" s="418">
        <v>5.3609999999999998</v>
      </c>
      <c r="I52" s="418">
        <v>5.4960000000000004</v>
      </c>
      <c r="J52" s="418">
        <v>5.6150000000000002</v>
      </c>
      <c r="K52" s="418">
        <v>5.7220000000000004</v>
      </c>
      <c r="L52" s="418">
        <v>5.8179999999999996</v>
      </c>
      <c r="M52" s="418">
        <v>5.907</v>
      </c>
      <c r="N52" s="418">
        <v>5.9870000000000001</v>
      </c>
      <c r="O52" s="418">
        <v>6.0620000000000003</v>
      </c>
      <c r="P52" s="418">
        <v>6.1319999999999997</v>
      </c>
      <c r="Q52" s="418">
        <v>6.258</v>
      </c>
      <c r="R52" s="418">
        <v>6.37</v>
      </c>
      <c r="S52" s="418">
        <v>6.56</v>
      </c>
      <c r="T52" s="418">
        <v>6.72</v>
      </c>
      <c r="U52" s="418">
        <v>6.8559999999999999</v>
      </c>
      <c r="V52" s="418">
        <v>6.9749999999999996</v>
      </c>
      <c r="W52" s="419">
        <v>7.0810000000000004</v>
      </c>
    </row>
    <row r="53" spans="1:23" x14ac:dyDescent="0.25">
      <c r="A53">
        <v>18</v>
      </c>
      <c r="B53" s="417">
        <v>3.4580000000000002</v>
      </c>
      <c r="C53" s="418">
        <v>4.0919999999999996</v>
      </c>
      <c r="D53" s="418">
        <v>4.4800000000000004</v>
      </c>
      <c r="E53" s="418">
        <v>4.7610000000000001</v>
      </c>
      <c r="F53" s="418">
        <v>4.9809999999999999</v>
      </c>
      <c r="G53" s="418">
        <v>5.1619999999999999</v>
      </c>
      <c r="H53" s="418">
        <v>5.3150000000000004</v>
      </c>
      <c r="I53" s="418">
        <v>5.4480000000000004</v>
      </c>
      <c r="J53" s="418">
        <v>5.5650000000000004</v>
      </c>
      <c r="K53" s="418">
        <v>5.67</v>
      </c>
      <c r="L53" s="418">
        <v>5.7649999999999997</v>
      </c>
      <c r="M53" s="418">
        <v>5.8520000000000003</v>
      </c>
      <c r="N53" s="418">
        <v>5.931</v>
      </c>
      <c r="O53" s="418">
        <v>6.0039999999999996</v>
      </c>
      <c r="P53" s="418">
        <v>6.0730000000000004</v>
      </c>
      <c r="Q53" s="418">
        <v>6.1970000000000001</v>
      </c>
      <c r="R53" s="418">
        <v>6.306</v>
      </c>
      <c r="S53" s="418">
        <v>6.4930000000000003</v>
      </c>
      <c r="T53" s="418">
        <v>6.65</v>
      </c>
      <c r="U53" s="418">
        <v>6.7839999999999998</v>
      </c>
      <c r="V53" s="418">
        <v>6.9</v>
      </c>
      <c r="W53" s="419">
        <v>7.0049999999999999</v>
      </c>
    </row>
    <row r="54" spans="1:23" x14ac:dyDescent="0.25">
      <c r="A54">
        <v>19</v>
      </c>
      <c r="B54" s="417">
        <v>3.4420000000000002</v>
      </c>
      <c r="C54" s="418">
        <v>4.0679999999999996</v>
      </c>
      <c r="D54" s="418">
        <v>4.4509999999999996</v>
      </c>
      <c r="E54" s="418">
        <v>4.7279999999999998</v>
      </c>
      <c r="F54" s="418">
        <v>4.9450000000000003</v>
      </c>
      <c r="G54" s="418">
        <v>5.1230000000000002</v>
      </c>
      <c r="H54" s="418">
        <v>5.2750000000000004</v>
      </c>
      <c r="I54" s="418">
        <v>5.4050000000000002</v>
      </c>
      <c r="J54" s="418">
        <v>5.5209999999999999</v>
      </c>
      <c r="K54" s="418">
        <v>5.6239999999999997</v>
      </c>
      <c r="L54" s="418">
        <v>5.718</v>
      </c>
      <c r="M54" s="418">
        <v>5.8029999999999999</v>
      </c>
      <c r="N54" s="418">
        <v>5.8810000000000002</v>
      </c>
      <c r="O54" s="418">
        <v>5.9539999999999997</v>
      </c>
      <c r="P54" s="418">
        <v>6.02</v>
      </c>
      <c r="Q54" s="418">
        <v>6.1420000000000003</v>
      </c>
      <c r="R54" s="418">
        <v>6.25</v>
      </c>
      <c r="S54" s="418">
        <v>6.4340000000000002</v>
      </c>
      <c r="T54" s="418">
        <v>6.5880000000000001</v>
      </c>
      <c r="U54" s="418">
        <v>6.7190000000000003</v>
      </c>
      <c r="V54" s="418">
        <v>6.835</v>
      </c>
      <c r="W54" s="419">
        <v>6.9359999999999999</v>
      </c>
    </row>
    <row r="55" spans="1:23" x14ac:dyDescent="0.25">
      <c r="A55">
        <v>20</v>
      </c>
      <c r="B55" s="417">
        <v>3.427</v>
      </c>
      <c r="C55" s="418">
        <v>4.0469999999999997</v>
      </c>
      <c r="D55" s="418">
        <v>4.4260000000000002</v>
      </c>
      <c r="E55" s="418">
        <v>4.7</v>
      </c>
      <c r="F55" s="418">
        <v>4.9139999999999997</v>
      </c>
      <c r="G55" s="418">
        <v>5.0890000000000004</v>
      </c>
      <c r="H55" s="418">
        <v>5.2380000000000004</v>
      </c>
      <c r="I55" s="418">
        <v>5.3680000000000003</v>
      </c>
      <c r="J55" s="418">
        <v>5.4809999999999999</v>
      </c>
      <c r="K55" s="418">
        <v>5.5830000000000002</v>
      </c>
      <c r="L55" s="418">
        <v>5.6749999999999998</v>
      </c>
      <c r="M55" s="418">
        <v>5.7590000000000003</v>
      </c>
      <c r="N55" s="418">
        <v>5.8360000000000003</v>
      </c>
      <c r="O55" s="418">
        <v>5.907</v>
      </c>
      <c r="P55" s="418">
        <v>5.9740000000000002</v>
      </c>
      <c r="Q55" s="418">
        <v>6.093</v>
      </c>
      <c r="R55" s="418">
        <v>6.2</v>
      </c>
      <c r="S55" s="418">
        <v>6.3810000000000002</v>
      </c>
      <c r="T55" s="418">
        <v>6.532</v>
      </c>
      <c r="U55" s="418">
        <v>6.6619999999999999</v>
      </c>
      <c r="V55" s="418">
        <v>6.7750000000000004</v>
      </c>
      <c r="W55" s="419">
        <v>6.8760000000000003</v>
      </c>
    </row>
    <row r="56" spans="1:23" x14ac:dyDescent="0.25">
      <c r="A56">
        <v>24</v>
      </c>
      <c r="B56" s="417">
        <v>3.3809999999999998</v>
      </c>
      <c r="C56" s="418">
        <v>3.9830000000000001</v>
      </c>
      <c r="D56" s="418">
        <v>4.3470000000000004</v>
      </c>
      <c r="E56" s="418">
        <v>4.6100000000000003</v>
      </c>
      <c r="F56" s="418">
        <v>4.8159999999999998</v>
      </c>
      <c r="G56" s="418">
        <v>4.984</v>
      </c>
      <c r="H56" s="418">
        <v>5.2160000000000002</v>
      </c>
      <c r="I56" s="418">
        <v>5.25</v>
      </c>
      <c r="J56" s="418">
        <v>5.3579999999999997</v>
      </c>
      <c r="K56" s="418">
        <v>5.4550000000000001</v>
      </c>
      <c r="L56" s="418">
        <v>5.5430000000000001</v>
      </c>
      <c r="M56" s="418">
        <v>5.6230000000000002</v>
      </c>
      <c r="N56" s="418">
        <v>5.6970000000000001</v>
      </c>
      <c r="O56" s="418">
        <v>5.7640000000000002</v>
      </c>
      <c r="P56" s="418">
        <v>5.827</v>
      </c>
      <c r="Q56" s="418">
        <v>5.9409999999999998</v>
      </c>
      <c r="R56" s="418">
        <v>6.0430000000000001</v>
      </c>
      <c r="S56" s="418">
        <v>6.2149999999999999</v>
      </c>
      <c r="T56" s="418">
        <v>6.359</v>
      </c>
      <c r="U56" s="418">
        <v>6.4820000000000002</v>
      </c>
      <c r="V56" s="418">
        <v>6.5890000000000004</v>
      </c>
      <c r="W56" s="419">
        <v>6.6849999999999996</v>
      </c>
    </row>
    <row r="57" spans="1:23" x14ac:dyDescent="0.25">
      <c r="A57">
        <v>30</v>
      </c>
      <c r="B57" s="417">
        <v>3.3370000000000002</v>
      </c>
      <c r="C57" s="418">
        <v>3.919</v>
      </c>
      <c r="D57" s="418">
        <v>4.2709999999999999</v>
      </c>
      <c r="E57" s="418">
        <v>4.5229999999999997</v>
      </c>
      <c r="F57" s="418">
        <v>4.72</v>
      </c>
      <c r="G57" s="418">
        <v>4.8810000000000002</v>
      </c>
      <c r="H57" s="418">
        <v>5.0170000000000003</v>
      </c>
      <c r="I57" s="418">
        <v>5.1340000000000003</v>
      </c>
      <c r="J57" s="418">
        <v>5.2380000000000004</v>
      </c>
      <c r="K57" s="418">
        <v>5.33</v>
      </c>
      <c r="L57" s="418">
        <v>5.4139999999999997</v>
      </c>
      <c r="M57" s="418">
        <v>5.49</v>
      </c>
      <c r="N57" s="418">
        <v>5.56</v>
      </c>
      <c r="O57" s="418">
        <v>5.6239999999999997</v>
      </c>
      <c r="P57" s="418">
        <v>5.6840000000000002</v>
      </c>
      <c r="Q57" s="418">
        <v>5.7919999999999998</v>
      </c>
      <c r="R57" s="418">
        <v>5.8879999999999999</v>
      </c>
      <c r="S57" s="418">
        <v>6.0519999999999996</v>
      </c>
      <c r="T57" s="418">
        <v>6.1879999999999997</v>
      </c>
      <c r="U57" s="418">
        <v>6.3049999999999997</v>
      </c>
      <c r="V57" s="418">
        <v>6.4059999999999997</v>
      </c>
      <c r="W57" s="419">
        <v>6.4969999999999999</v>
      </c>
    </row>
    <row r="58" spans="1:23" x14ac:dyDescent="0.25">
      <c r="A58">
        <v>40</v>
      </c>
      <c r="B58" s="417">
        <v>3.294</v>
      </c>
      <c r="C58" s="418">
        <v>3.8580000000000001</v>
      </c>
      <c r="D58" s="418">
        <v>4.1970000000000001</v>
      </c>
      <c r="E58" s="418">
        <v>4.4390000000000001</v>
      </c>
      <c r="F58" s="418">
        <v>4.6269999999999998</v>
      </c>
      <c r="G58" s="418">
        <v>4.78</v>
      </c>
      <c r="H58" s="418">
        <v>4.91</v>
      </c>
      <c r="I58" s="418">
        <v>5.0220000000000002</v>
      </c>
      <c r="J58" s="418">
        <v>5.12</v>
      </c>
      <c r="K58" s="418">
        <v>5.2080000000000002</v>
      </c>
      <c r="L58" s="418">
        <v>5.2880000000000003</v>
      </c>
      <c r="M58" s="418">
        <v>5.36</v>
      </c>
      <c r="N58" s="418">
        <v>5.4260000000000002</v>
      </c>
      <c r="O58" s="418">
        <v>5.4870000000000001</v>
      </c>
      <c r="P58" s="418">
        <v>5.5439999999999996</v>
      </c>
      <c r="Q58" s="418">
        <v>5.6459999999999999</v>
      </c>
      <c r="R58" s="418">
        <v>5.7370000000000001</v>
      </c>
      <c r="S58" s="418">
        <v>5.891</v>
      </c>
      <c r="T58" s="418">
        <v>6.02</v>
      </c>
      <c r="U58" s="418">
        <v>6.13</v>
      </c>
      <c r="V58" s="418">
        <v>6.226</v>
      </c>
      <c r="W58" s="419">
        <v>6.3109999999999999</v>
      </c>
    </row>
    <row r="59" spans="1:23" x14ac:dyDescent="0.25">
      <c r="A59">
        <v>60</v>
      </c>
      <c r="B59" s="417">
        <v>3.2509999999999999</v>
      </c>
      <c r="C59" s="418">
        <v>3.798</v>
      </c>
      <c r="D59" s="418">
        <v>4.1239999999999997</v>
      </c>
      <c r="E59" s="418">
        <v>4.3559999999999999</v>
      </c>
      <c r="F59" s="418">
        <v>4.5359999999999996</v>
      </c>
      <c r="G59" s="418">
        <v>4.6820000000000004</v>
      </c>
      <c r="H59" s="418">
        <v>4.806</v>
      </c>
      <c r="I59" s="418">
        <v>4.9119999999999999</v>
      </c>
      <c r="J59" s="418">
        <v>5.0060000000000002</v>
      </c>
      <c r="K59" s="418">
        <v>5.0890000000000004</v>
      </c>
      <c r="L59" s="418">
        <v>5.1639999999999997</v>
      </c>
      <c r="M59" s="418">
        <v>5.2320000000000002</v>
      </c>
      <c r="N59" s="418">
        <v>5.2949999999999999</v>
      </c>
      <c r="O59" s="418">
        <v>5.3520000000000003</v>
      </c>
      <c r="P59" s="418">
        <v>5.4059999999999997</v>
      </c>
      <c r="Q59" s="418">
        <v>5.5030000000000001</v>
      </c>
      <c r="R59" s="418">
        <v>5.5880000000000001</v>
      </c>
      <c r="S59" s="418">
        <v>5.7329999999999997</v>
      </c>
      <c r="T59" s="418">
        <v>5.8540000000000001</v>
      </c>
      <c r="U59" s="418">
        <v>5.9580000000000002</v>
      </c>
      <c r="V59" s="418">
        <v>6.048</v>
      </c>
      <c r="W59" s="419">
        <v>6.1269999999999998</v>
      </c>
    </row>
    <row r="60" spans="1:23" x14ac:dyDescent="0.25">
      <c r="A60">
        <v>120</v>
      </c>
      <c r="B60" s="417">
        <v>3.21</v>
      </c>
      <c r="C60" s="418">
        <v>3.7389999999999999</v>
      </c>
      <c r="D60" s="418">
        <v>4.0529999999999999</v>
      </c>
      <c r="E60" s="418">
        <v>4.2759999999999998</v>
      </c>
      <c r="F60" s="418">
        <v>4.4470000000000001</v>
      </c>
      <c r="G60" s="418">
        <v>4.5869999999999997</v>
      </c>
      <c r="H60" s="418">
        <v>4.7039999999999997</v>
      </c>
      <c r="I60" s="418">
        <v>4.8049999999999997</v>
      </c>
      <c r="J60" s="418">
        <v>4.8940000000000001</v>
      </c>
      <c r="K60" s="418">
        <v>4.9720000000000004</v>
      </c>
      <c r="L60" s="418">
        <v>5.0430000000000001</v>
      </c>
      <c r="M60" s="418">
        <v>5.1070000000000002</v>
      </c>
      <c r="N60" s="418">
        <v>5.1660000000000004</v>
      </c>
      <c r="O60" s="418">
        <v>5.2210000000000001</v>
      </c>
      <c r="P60" s="418">
        <v>5.2709999999999999</v>
      </c>
      <c r="Q60" s="418">
        <v>5.3620000000000001</v>
      </c>
      <c r="R60" s="418">
        <v>5.4420000000000002</v>
      </c>
      <c r="S60" s="418">
        <v>5.5780000000000003</v>
      </c>
      <c r="T60" s="418">
        <v>5.6909999999999998</v>
      </c>
      <c r="U60" s="418">
        <v>5.7880000000000003</v>
      </c>
      <c r="V60" s="418">
        <v>5.8719999999999999</v>
      </c>
      <c r="W60" s="419">
        <v>5.9459999999999997</v>
      </c>
    </row>
    <row r="61" spans="1:23" x14ac:dyDescent="0.25">
      <c r="A61" s="12" t="s">
        <v>753</v>
      </c>
      <c r="B61" s="420">
        <v>3.17</v>
      </c>
      <c r="C61" s="421">
        <v>3.6819999999999999</v>
      </c>
      <c r="D61" s="421">
        <v>3.984</v>
      </c>
      <c r="E61" s="421">
        <v>4.1970000000000001</v>
      </c>
      <c r="F61" s="421">
        <v>4.3609999999999998</v>
      </c>
      <c r="G61" s="421">
        <v>4.4939999999999998</v>
      </c>
      <c r="H61" s="421">
        <v>4.6050000000000004</v>
      </c>
      <c r="I61" s="421">
        <v>4.7</v>
      </c>
      <c r="J61" s="421">
        <v>4.7839999999999998</v>
      </c>
      <c r="K61" s="421">
        <v>4.8579999999999997</v>
      </c>
      <c r="L61" s="421">
        <v>4.9249999999999998</v>
      </c>
      <c r="M61" s="421">
        <v>4.9850000000000003</v>
      </c>
      <c r="N61" s="421">
        <v>5.0410000000000004</v>
      </c>
      <c r="O61" s="421">
        <v>5.0919999999999996</v>
      </c>
      <c r="P61" s="421">
        <v>5.1390000000000002</v>
      </c>
      <c r="Q61" s="421">
        <v>5.2240000000000002</v>
      </c>
      <c r="R61" s="421">
        <v>5.2990000000000004</v>
      </c>
      <c r="S61" s="421">
        <v>5.4249999999999998</v>
      </c>
      <c r="T61" s="421">
        <v>5.53</v>
      </c>
      <c r="U61" s="421">
        <v>5.62</v>
      </c>
      <c r="V61" s="421">
        <v>5.6980000000000004</v>
      </c>
      <c r="W61" s="422">
        <v>5.76</v>
      </c>
    </row>
    <row r="63" spans="1:23" x14ac:dyDescent="0.25">
      <c r="A63" t="s">
        <v>31</v>
      </c>
      <c r="B63">
        <v>0.05</v>
      </c>
    </row>
    <row r="64" spans="1:23" x14ac:dyDescent="0.25">
      <c r="B64" t="s">
        <v>751</v>
      </c>
    </row>
    <row r="65" spans="1:23" x14ac:dyDescent="0.25">
      <c r="A65" s="12" t="s">
        <v>51</v>
      </c>
      <c r="B65">
        <v>2</v>
      </c>
      <c r="C65">
        <f>B65+1</f>
        <v>3</v>
      </c>
      <c r="D65">
        <f t="shared" ref="D65:L65" si="2">C65+1</f>
        <v>4</v>
      </c>
      <c r="E65">
        <f t="shared" si="2"/>
        <v>5</v>
      </c>
      <c r="F65">
        <f t="shared" si="2"/>
        <v>6</v>
      </c>
      <c r="G65">
        <f t="shared" si="2"/>
        <v>7</v>
      </c>
      <c r="H65">
        <f t="shared" si="2"/>
        <v>8</v>
      </c>
      <c r="I65">
        <f t="shared" si="2"/>
        <v>9</v>
      </c>
      <c r="J65">
        <f t="shared" si="2"/>
        <v>10</v>
      </c>
      <c r="K65">
        <f t="shared" si="2"/>
        <v>11</v>
      </c>
      <c r="L65">
        <f t="shared" si="2"/>
        <v>12</v>
      </c>
      <c r="M65">
        <v>13</v>
      </c>
      <c r="N65">
        <f>M65+1</f>
        <v>14</v>
      </c>
      <c r="O65">
        <f>N65+1</f>
        <v>15</v>
      </c>
      <c r="P65">
        <f>O65+1</f>
        <v>16</v>
      </c>
      <c r="Q65">
        <f>P65+2</f>
        <v>18</v>
      </c>
      <c r="R65">
        <f>Q65+2</f>
        <v>20</v>
      </c>
      <c r="S65">
        <f>R65+4</f>
        <v>24</v>
      </c>
      <c r="T65">
        <f>S65+4</f>
        <v>28</v>
      </c>
      <c r="U65">
        <f>T65+4</f>
        <v>32</v>
      </c>
      <c r="V65">
        <f>U65+4</f>
        <v>36</v>
      </c>
      <c r="W65">
        <f>V65+4</f>
        <v>40</v>
      </c>
    </row>
    <row r="66" spans="1:23" x14ac:dyDescent="0.25">
      <c r="A66">
        <v>1</v>
      </c>
      <c r="B66" s="423">
        <v>17.97</v>
      </c>
      <c r="C66" s="252">
        <v>26.98</v>
      </c>
      <c r="D66" s="252">
        <v>32.82</v>
      </c>
      <c r="E66" s="252">
        <v>37.08</v>
      </c>
      <c r="F66" s="252">
        <v>40.409999999999997</v>
      </c>
      <c r="G66" s="252">
        <v>43.12</v>
      </c>
      <c r="H66" s="427">
        <v>45.4</v>
      </c>
      <c r="I66" s="252">
        <v>47.36</v>
      </c>
      <c r="J66" s="252">
        <v>49.07</v>
      </c>
      <c r="K66" s="252">
        <v>50.59</v>
      </c>
      <c r="L66" s="252">
        <v>51.96</v>
      </c>
      <c r="M66" s="427">
        <v>53.2</v>
      </c>
      <c r="N66" s="252">
        <v>54.33</v>
      </c>
      <c r="O66" s="252">
        <v>55.36</v>
      </c>
      <c r="P66" s="252">
        <v>56.32</v>
      </c>
      <c r="Q66" s="252">
        <v>58.04</v>
      </c>
      <c r="R66" s="252">
        <v>59.56</v>
      </c>
      <c r="S66" s="252">
        <v>62.12</v>
      </c>
      <c r="T66" s="252">
        <v>64.23</v>
      </c>
      <c r="U66" s="252">
        <v>66.010000000000005</v>
      </c>
      <c r="V66" s="252">
        <v>67.56</v>
      </c>
      <c r="W66" s="196">
        <v>68.92</v>
      </c>
    </row>
    <row r="67" spans="1:23" x14ac:dyDescent="0.25">
      <c r="A67">
        <v>2</v>
      </c>
      <c r="B67" s="180">
        <v>6.085</v>
      </c>
      <c r="C67" s="7">
        <v>8.3309999999999995</v>
      </c>
      <c r="D67" s="7">
        <v>9.798</v>
      </c>
      <c r="E67" s="7">
        <v>10.88</v>
      </c>
      <c r="F67" s="7">
        <v>11.74</v>
      </c>
      <c r="G67" s="7">
        <v>12.44</v>
      </c>
      <c r="H67" s="7">
        <v>13.03</v>
      </c>
      <c r="I67" s="7">
        <v>13.54</v>
      </c>
      <c r="J67" s="7">
        <v>13.99</v>
      </c>
      <c r="K67" s="7">
        <v>14.39</v>
      </c>
      <c r="L67" s="7">
        <v>14.75</v>
      </c>
      <c r="M67" s="7">
        <v>15.08</v>
      </c>
      <c r="N67" s="7">
        <v>15.38</v>
      </c>
      <c r="O67" s="7">
        <v>15.65</v>
      </c>
      <c r="P67" s="7">
        <v>15.91</v>
      </c>
      <c r="Q67" s="7">
        <v>16.37</v>
      </c>
      <c r="R67" s="7">
        <v>16.77</v>
      </c>
      <c r="S67" s="7">
        <v>17.45</v>
      </c>
      <c r="T67" s="7">
        <v>18.02</v>
      </c>
      <c r="U67" s="7">
        <v>18.5</v>
      </c>
      <c r="V67" s="7">
        <v>18.920000000000002</v>
      </c>
      <c r="W67" s="181">
        <v>19.28</v>
      </c>
    </row>
    <row r="68" spans="1:23" x14ac:dyDescent="0.25">
      <c r="A68">
        <v>3</v>
      </c>
      <c r="B68" s="180">
        <v>4.5010000000000003</v>
      </c>
      <c r="C68" s="418">
        <v>5.91</v>
      </c>
      <c r="D68" s="7">
        <v>6.8250000000000002</v>
      </c>
      <c r="E68" s="7">
        <v>7.5019999999999998</v>
      </c>
      <c r="F68" s="7">
        <v>8.0370000000000008</v>
      </c>
      <c r="G68" s="7">
        <v>8.4779999999999998</v>
      </c>
      <c r="H68" s="7">
        <v>8.8529999999999998</v>
      </c>
      <c r="I68" s="7">
        <v>9.1769999999999996</v>
      </c>
      <c r="J68" s="7">
        <v>9.4619999999999997</v>
      </c>
      <c r="K68" s="7">
        <v>9.7170000000000005</v>
      </c>
      <c r="L68" s="7">
        <v>9.9459999999999997</v>
      </c>
      <c r="M68" s="7">
        <v>10.15</v>
      </c>
      <c r="N68" s="7">
        <v>10.35</v>
      </c>
      <c r="O68" s="7">
        <v>10.53</v>
      </c>
      <c r="P68" s="7">
        <v>10.69</v>
      </c>
      <c r="Q68" s="7">
        <v>10.98</v>
      </c>
      <c r="R68" s="7">
        <v>11.24</v>
      </c>
      <c r="S68" s="7">
        <v>11.68</v>
      </c>
      <c r="T68" s="7">
        <v>12.05</v>
      </c>
      <c r="U68" s="7">
        <v>12.36</v>
      </c>
      <c r="V68" s="7">
        <v>12.63</v>
      </c>
      <c r="W68" s="181">
        <v>12.87</v>
      </c>
    </row>
    <row r="69" spans="1:23" x14ac:dyDescent="0.25">
      <c r="A69">
        <v>4</v>
      </c>
      <c r="B69" s="417">
        <v>3.927</v>
      </c>
      <c r="C69" s="418">
        <v>5.04</v>
      </c>
      <c r="D69" s="418">
        <v>5.7569999999999997</v>
      </c>
      <c r="E69" s="418">
        <v>6.2869999999999999</v>
      </c>
      <c r="F69" s="418">
        <v>6.7069999999999999</v>
      </c>
      <c r="G69" s="418">
        <v>7.0529999999999999</v>
      </c>
      <c r="H69" s="418">
        <v>7.3470000000000004</v>
      </c>
      <c r="I69" s="418">
        <v>7.6020000000000003</v>
      </c>
      <c r="J69" s="418">
        <v>7.8259999999999996</v>
      </c>
      <c r="K69" s="418">
        <v>8.0269999999999992</v>
      </c>
      <c r="L69" s="418">
        <v>8.2080000000000002</v>
      </c>
      <c r="M69" s="418">
        <v>8.3729999999999993</v>
      </c>
      <c r="N69" s="418">
        <v>8.5250000000000004</v>
      </c>
      <c r="O69" s="418">
        <v>8.6639999999999997</v>
      </c>
      <c r="P69" s="418">
        <v>8.7940000000000005</v>
      </c>
      <c r="Q69" s="418">
        <v>9.0280000000000005</v>
      </c>
      <c r="R69" s="418">
        <v>9.2330000000000005</v>
      </c>
      <c r="S69" s="418">
        <v>9.5839999999999996</v>
      </c>
      <c r="T69" s="418">
        <v>9.875</v>
      </c>
      <c r="U69" s="424">
        <v>10.119999999999999</v>
      </c>
      <c r="V69" s="424">
        <v>10.34</v>
      </c>
      <c r="W69" s="425">
        <v>10.53</v>
      </c>
    </row>
    <row r="70" spans="1:23" x14ac:dyDescent="0.25">
      <c r="A70">
        <v>5</v>
      </c>
      <c r="B70" s="417">
        <v>3.6349999999999998</v>
      </c>
      <c r="C70" s="418">
        <v>4.6020000000000003</v>
      </c>
      <c r="D70" s="418">
        <v>5.218</v>
      </c>
      <c r="E70" s="418">
        <v>5.673</v>
      </c>
      <c r="F70" s="418">
        <v>6.0330000000000004</v>
      </c>
      <c r="G70" s="418">
        <v>6.33</v>
      </c>
      <c r="H70" s="418">
        <v>6.5819999999999999</v>
      </c>
      <c r="I70" s="418">
        <v>6.8019999999999996</v>
      </c>
      <c r="J70" s="418">
        <v>6.9950000000000001</v>
      </c>
      <c r="K70" s="418">
        <v>7.1680000000000001</v>
      </c>
      <c r="L70" s="418">
        <v>7.3239999999999998</v>
      </c>
      <c r="M70" s="418">
        <v>7.4660000000000002</v>
      </c>
      <c r="N70" s="418">
        <v>7.5960000000000001</v>
      </c>
      <c r="O70" s="418">
        <v>7.7169999999999996</v>
      </c>
      <c r="P70" s="418">
        <v>7.8280000000000003</v>
      </c>
      <c r="Q70" s="418">
        <v>8.0299999999999994</v>
      </c>
      <c r="R70" s="418">
        <v>8.2080000000000002</v>
      </c>
      <c r="S70" s="418">
        <v>8.5120000000000005</v>
      </c>
      <c r="T70" s="418">
        <v>8.7639999999999993</v>
      </c>
      <c r="U70" s="418">
        <v>8.9789999999999992</v>
      </c>
      <c r="V70" s="418">
        <v>9.1649999999999991</v>
      </c>
      <c r="W70" s="419">
        <v>9.33</v>
      </c>
    </row>
    <row r="71" spans="1:23" x14ac:dyDescent="0.25">
      <c r="A71">
        <v>6</v>
      </c>
      <c r="B71" s="417">
        <v>3.4609999999999999</v>
      </c>
      <c r="C71" s="418">
        <v>4.3390000000000004</v>
      </c>
      <c r="D71" s="418">
        <v>4.8959999999999999</v>
      </c>
      <c r="E71" s="418">
        <v>5.3049999999999997</v>
      </c>
      <c r="F71" s="418">
        <v>5.6280000000000001</v>
      </c>
      <c r="G71" s="418">
        <v>5.8949999999999996</v>
      </c>
      <c r="H71" s="418">
        <v>6.1219999999999999</v>
      </c>
      <c r="I71" s="418">
        <v>6.319</v>
      </c>
      <c r="J71" s="418">
        <v>6.4930000000000003</v>
      </c>
      <c r="K71" s="418">
        <v>6.649</v>
      </c>
      <c r="L71" s="418">
        <v>6.7889999999999997</v>
      </c>
      <c r="M71" s="418">
        <v>6.9169999999999998</v>
      </c>
      <c r="N71" s="418">
        <v>7.0339999999999998</v>
      </c>
      <c r="O71" s="418">
        <v>7.1429999999999998</v>
      </c>
      <c r="P71" s="418">
        <v>7.2439999999999998</v>
      </c>
      <c r="Q71" s="418">
        <v>7.4260000000000002</v>
      </c>
      <c r="R71" s="418">
        <v>7.5869999999999997</v>
      </c>
      <c r="S71" s="418">
        <v>7.8609999999999998</v>
      </c>
      <c r="T71" s="418">
        <v>8.0879999999999992</v>
      </c>
      <c r="U71" s="418">
        <v>8.2829999999999995</v>
      </c>
      <c r="V71" s="418">
        <v>8.452</v>
      </c>
      <c r="W71" s="419">
        <v>8.6010000000000009</v>
      </c>
    </row>
    <row r="72" spans="1:23" x14ac:dyDescent="0.25">
      <c r="A72">
        <v>7</v>
      </c>
      <c r="B72" s="417">
        <v>3.3439999999999999</v>
      </c>
      <c r="C72" s="418">
        <v>4.165</v>
      </c>
      <c r="D72" s="418">
        <v>4.681</v>
      </c>
      <c r="E72" s="418">
        <v>5.0599999999999996</v>
      </c>
      <c r="F72" s="418">
        <v>5.359</v>
      </c>
      <c r="G72" s="418">
        <v>5.6059999999999999</v>
      </c>
      <c r="H72" s="418">
        <v>5.8150000000000004</v>
      </c>
      <c r="I72" s="418">
        <v>5.9980000000000002</v>
      </c>
      <c r="J72" s="418">
        <v>6.1580000000000004</v>
      </c>
      <c r="K72" s="418">
        <v>6.3019999999999996</v>
      </c>
      <c r="L72" s="418">
        <v>6.431</v>
      </c>
      <c r="M72" s="418">
        <v>6.55</v>
      </c>
      <c r="N72" s="418">
        <v>6.6580000000000004</v>
      </c>
      <c r="O72" s="418">
        <v>6.7590000000000003</v>
      </c>
      <c r="P72" s="418">
        <v>6.8520000000000003</v>
      </c>
      <c r="Q72" s="418">
        <v>7.02</v>
      </c>
      <c r="R72" s="418">
        <v>7.17</v>
      </c>
      <c r="S72" s="418">
        <v>7.423</v>
      </c>
      <c r="T72" s="418">
        <v>7.6340000000000003</v>
      </c>
      <c r="U72" s="418">
        <v>7.8140000000000001</v>
      </c>
      <c r="V72" s="418">
        <v>7.9720000000000004</v>
      </c>
      <c r="W72" s="419">
        <v>8.11</v>
      </c>
    </row>
    <row r="73" spans="1:23" x14ac:dyDescent="0.25">
      <c r="A73">
        <v>8</v>
      </c>
      <c r="B73" s="417">
        <v>3.2610000000000001</v>
      </c>
      <c r="C73" s="418">
        <v>4.0410000000000004</v>
      </c>
      <c r="D73" s="418">
        <v>4.5289999999999999</v>
      </c>
      <c r="E73" s="418">
        <v>4.8860000000000001</v>
      </c>
      <c r="F73" s="418">
        <v>5.1669999999999998</v>
      </c>
      <c r="G73" s="418">
        <v>5.399</v>
      </c>
      <c r="H73" s="418">
        <v>5.5970000000000004</v>
      </c>
      <c r="I73" s="418">
        <v>5.7670000000000003</v>
      </c>
      <c r="J73" s="418">
        <v>5.9180000000000001</v>
      </c>
      <c r="K73" s="418">
        <v>6.0540000000000003</v>
      </c>
      <c r="L73" s="418">
        <v>6.1749999999999998</v>
      </c>
      <c r="M73" s="418">
        <v>6.2869999999999999</v>
      </c>
      <c r="N73" s="418">
        <v>6.3890000000000002</v>
      </c>
      <c r="O73" s="418">
        <v>6.4829999999999997</v>
      </c>
      <c r="P73" s="418">
        <v>6.5709999999999997</v>
      </c>
      <c r="Q73" s="418">
        <v>6.7290000000000001</v>
      </c>
      <c r="R73" s="418">
        <v>6.87</v>
      </c>
      <c r="S73" s="418">
        <v>7.109</v>
      </c>
      <c r="T73" s="418">
        <v>7.3070000000000004</v>
      </c>
      <c r="U73" s="418">
        <v>7.4770000000000003</v>
      </c>
      <c r="V73" s="418">
        <v>7.625</v>
      </c>
      <c r="W73" s="419">
        <v>7.7560000000000002</v>
      </c>
    </row>
    <row r="74" spans="1:23" x14ac:dyDescent="0.25">
      <c r="A74">
        <v>9</v>
      </c>
      <c r="B74" s="417">
        <v>3.1989999999999998</v>
      </c>
      <c r="C74" s="418">
        <v>3.9489999999999998</v>
      </c>
      <c r="D74" s="418">
        <v>4.415</v>
      </c>
      <c r="E74" s="418">
        <v>4.7560000000000002</v>
      </c>
      <c r="F74" s="418">
        <v>5.024</v>
      </c>
      <c r="G74" s="418">
        <v>5.2439999999999998</v>
      </c>
      <c r="H74" s="418">
        <v>5.4320000000000004</v>
      </c>
      <c r="I74" s="418">
        <v>5.5949999999999998</v>
      </c>
      <c r="J74" s="418">
        <v>5.7389999999999999</v>
      </c>
      <c r="K74" s="418">
        <v>5.867</v>
      </c>
      <c r="L74" s="418">
        <v>5.9829999999999997</v>
      </c>
      <c r="M74" s="418">
        <v>6.0890000000000004</v>
      </c>
      <c r="N74" s="418">
        <v>6.1859999999999999</v>
      </c>
      <c r="O74" s="418">
        <v>6.2759999999999998</v>
      </c>
      <c r="P74" s="418">
        <v>6.359</v>
      </c>
      <c r="Q74" s="418">
        <v>6.51</v>
      </c>
      <c r="R74" s="418">
        <v>6.6440000000000001</v>
      </c>
      <c r="S74" s="418">
        <v>6.8710000000000004</v>
      </c>
      <c r="T74" s="418">
        <v>7.0609999999999999</v>
      </c>
      <c r="U74" s="418">
        <v>7.2220000000000004</v>
      </c>
      <c r="V74" s="418">
        <v>7.3630000000000004</v>
      </c>
      <c r="W74" s="419">
        <v>7.4880000000000004</v>
      </c>
    </row>
    <row r="75" spans="1:23" x14ac:dyDescent="0.25">
      <c r="A75">
        <v>10</v>
      </c>
      <c r="B75" s="417">
        <v>3.1509999999999998</v>
      </c>
      <c r="C75" s="418">
        <v>3.8769999999999998</v>
      </c>
      <c r="D75" s="418">
        <v>4.327</v>
      </c>
      <c r="E75" s="418">
        <v>4.6539999999999999</v>
      </c>
      <c r="F75" s="418">
        <v>4.9119999999999999</v>
      </c>
      <c r="G75" s="418">
        <v>5.1239999999999997</v>
      </c>
      <c r="H75" s="418">
        <v>5.3049999999999997</v>
      </c>
      <c r="I75" s="418">
        <v>5.4610000000000003</v>
      </c>
      <c r="J75" s="418">
        <v>5.5990000000000002</v>
      </c>
      <c r="K75" s="418">
        <v>5.7220000000000004</v>
      </c>
      <c r="L75" s="418">
        <v>5.8330000000000002</v>
      </c>
      <c r="M75" s="418">
        <v>5.9349999999999996</v>
      </c>
      <c r="N75" s="418">
        <v>6.0279999999999996</v>
      </c>
      <c r="O75" s="418">
        <v>6.1139999999999999</v>
      </c>
      <c r="P75" s="418">
        <v>6.194</v>
      </c>
      <c r="Q75" s="418">
        <v>6.3390000000000004</v>
      </c>
      <c r="R75" s="418">
        <v>6.4669999999999996</v>
      </c>
      <c r="S75" s="418">
        <v>6.6859999999999999</v>
      </c>
      <c r="T75" s="418">
        <v>6.8680000000000003</v>
      </c>
      <c r="U75" s="418">
        <v>7.0229999999999997</v>
      </c>
      <c r="V75" s="418">
        <v>7.1589999999999998</v>
      </c>
      <c r="W75" s="419">
        <v>7.2789999999999999</v>
      </c>
    </row>
    <row r="76" spans="1:23" x14ac:dyDescent="0.25">
      <c r="A76">
        <v>11</v>
      </c>
      <c r="B76" s="417">
        <v>3.113</v>
      </c>
      <c r="C76" s="418">
        <v>3.82</v>
      </c>
      <c r="D76" s="418">
        <v>4.2560000000000002</v>
      </c>
      <c r="E76" s="418">
        <v>4.5739999999999998</v>
      </c>
      <c r="F76" s="418">
        <v>4.8230000000000004</v>
      </c>
      <c r="G76" s="418">
        <v>5.0279999999999996</v>
      </c>
      <c r="H76" s="418">
        <v>5.202</v>
      </c>
      <c r="I76" s="418">
        <v>5.3529999999999998</v>
      </c>
      <c r="J76" s="418">
        <v>5.4870000000000001</v>
      </c>
      <c r="K76" s="418">
        <v>5.6050000000000004</v>
      </c>
      <c r="L76" s="418">
        <v>5.7130000000000001</v>
      </c>
      <c r="M76" s="418">
        <v>5.8109999999999999</v>
      </c>
      <c r="N76" s="418">
        <v>5.9009999999999998</v>
      </c>
      <c r="O76" s="418">
        <v>5.984</v>
      </c>
      <c r="P76" s="418">
        <v>6.0620000000000003</v>
      </c>
      <c r="Q76" s="418">
        <v>6.202</v>
      </c>
      <c r="R76" s="418">
        <v>6.3259999999999996</v>
      </c>
      <c r="S76" s="418">
        <v>6.5359999999999996</v>
      </c>
      <c r="T76" s="418">
        <v>6.7119999999999997</v>
      </c>
      <c r="U76" s="418">
        <v>6.8630000000000004</v>
      </c>
      <c r="V76" s="418">
        <v>6.9939999999999998</v>
      </c>
      <c r="W76" s="419">
        <v>7.11</v>
      </c>
    </row>
    <row r="77" spans="1:23" x14ac:dyDescent="0.25">
      <c r="A77">
        <v>12</v>
      </c>
      <c r="B77" s="417">
        <v>3.0819999999999999</v>
      </c>
      <c r="C77" s="418">
        <v>3.7730000000000001</v>
      </c>
      <c r="D77" s="418">
        <v>4.1989999999999998</v>
      </c>
      <c r="E77" s="418">
        <v>4.508</v>
      </c>
      <c r="F77" s="418">
        <v>4.7510000000000003</v>
      </c>
      <c r="G77" s="418">
        <v>4.95</v>
      </c>
      <c r="H77" s="418">
        <v>5.1189999999999998</v>
      </c>
      <c r="I77" s="418">
        <v>5.2649999999999997</v>
      </c>
      <c r="J77" s="418">
        <v>5.3949999999999996</v>
      </c>
      <c r="K77" s="418">
        <v>5.5110000000000001</v>
      </c>
      <c r="L77" s="418">
        <v>5.6150000000000002</v>
      </c>
      <c r="M77" s="418">
        <v>5.71</v>
      </c>
      <c r="N77" s="418">
        <v>5.798</v>
      </c>
      <c r="O77" s="418">
        <v>5.8780000000000001</v>
      </c>
      <c r="P77" s="418">
        <v>5.9530000000000003</v>
      </c>
      <c r="Q77" s="418">
        <v>6.0890000000000004</v>
      </c>
      <c r="R77" s="418">
        <v>6.2089999999999996</v>
      </c>
      <c r="S77" s="418">
        <v>6.4139999999999997</v>
      </c>
      <c r="T77" s="418">
        <v>6.585</v>
      </c>
      <c r="U77" s="418">
        <v>6.7309999999999999</v>
      </c>
      <c r="V77" s="418">
        <v>6.8579999999999997</v>
      </c>
      <c r="W77" s="419">
        <v>6.97</v>
      </c>
    </row>
    <row r="78" spans="1:23" x14ac:dyDescent="0.25">
      <c r="A78">
        <v>13</v>
      </c>
      <c r="B78" s="417">
        <v>3.0550000000000002</v>
      </c>
      <c r="C78" s="418">
        <v>3.7349999999999999</v>
      </c>
      <c r="D78" s="418">
        <v>4.1509999999999998</v>
      </c>
      <c r="E78" s="418">
        <v>4.4530000000000003</v>
      </c>
      <c r="F78" s="418">
        <v>4.6900000000000004</v>
      </c>
      <c r="G78" s="418">
        <v>4.8849999999999998</v>
      </c>
      <c r="H78" s="418">
        <v>5.0490000000000004</v>
      </c>
      <c r="I78" s="418">
        <v>5.1920000000000002</v>
      </c>
      <c r="J78" s="418">
        <v>5.3179999999999996</v>
      </c>
      <c r="K78" s="418">
        <v>5.431</v>
      </c>
      <c r="L78" s="418">
        <v>5.5330000000000004</v>
      </c>
      <c r="M78" s="418">
        <v>5.625</v>
      </c>
      <c r="N78" s="418">
        <v>5.7110000000000003</v>
      </c>
      <c r="O78" s="418">
        <v>5.7889999999999997</v>
      </c>
      <c r="P78" s="418">
        <v>5.8620000000000001</v>
      </c>
      <c r="Q78" s="418">
        <v>5.9950000000000001</v>
      </c>
      <c r="R78" s="418">
        <v>6.1120000000000001</v>
      </c>
      <c r="S78" s="418">
        <v>6.3120000000000003</v>
      </c>
      <c r="T78" s="418">
        <v>6.4779999999999998</v>
      </c>
      <c r="U78" s="418">
        <v>6.62</v>
      </c>
      <c r="V78" s="418">
        <v>6.7439999999999998</v>
      </c>
      <c r="W78" s="419">
        <v>6.8540000000000001</v>
      </c>
    </row>
    <row r="79" spans="1:23" x14ac:dyDescent="0.25">
      <c r="A79">
        <v>14</v>
      </c>
      <c r="B79" s="417">
        <v>3.0329999999999999</v>
      </c>
      <c r="C79" s="418">
        <v>3.702</v>
      </c>
      <c r="D79" s="418">
        <v>4.1109999999999998</v>
      </c>
      <c r="E79" s="418">
        <v>4.407</v>
      </c>
      <c r="F79" s="418">
        <v>4.6390000000000002</v>
      </c>
      <c r="G79" s="418">
        <v>4.8289999999999997</v>
      </c>
      <c r="H79" s="418">
        <v>4.99</v>
      </c>
      <c r="I79" s="418">
        <v>5.1310000000000002</v>
      </c>
      <c r="J79" s="418">
        <v>5.2539999999999996</v>
      </c>
      <c r="K79" s="418">
        <v>5.3639999999999999</v>
      </c>
      <c r="L79" s="418">
        <v>5.4630000000000001</v>
      </c>
      <c r="M79" s="418">
        <v>5.5540000000000003</v>
      </c>
      <c r="N79" s="418">
        <v>5.6369999999999996</v>
      </c>
      <c r="O79" s="418">
        <v>5.7140000000000004</v>
      </c>
      <c r="P79" s="418">
        <v>5.7859999999999996</v>
      </c>
      <c r="Q79" s="418">
        <v>5.915</v>
      </c>
      <c r="R79" s="418">
        <v>6.0289999999999999</v>
      </c>
      <c r="S79" s="418">
        <v>6.2240000000000002</v>
      </c>
      <c r="T79" s="418">
        <v>6.3869999999999996</v>
      </c>
      <c r="U79" s="418">
        <v>6.5259999999999998</v>
      </c>
      <c r="V79" s="418">
        <v>6.6470000000000002</v>
      </c>
      <c r="W79" s="419">
        <v>6.7539999999999996</v>
      </c>
    </row>
    <row r="80" spans="1:23" x14ac:dyDescent="0.25">
      <c r="A80">
        <v>15</v>
      </c>
      <c r="B80" s="417">
        <v>3.0139999999999998</v>
      </c>
      <c r="C80" s="418">
        <v>3.6739999999999999</v>
      </c>
      <c r="D80" s="418">
        <v>4.0759999999999996</v>
      </c>
      <c r="E80" s="418">
        <v>4.367</v>
      </c>
      <c r="F80" s="418">
        <v>4.5949999999999998</v>
      </c>
      <c r="G80" s="418">
        <v>4.782</v>
      </c>
      <c r="H80" s="418">
        <v>4.9400000000000004</v>
      </c>
      <c r="I80" s="418">
        <v>5.077</v>
      </c>
      <c r="J80" s="418">
        <v>5.1980000000000004</v>
      </c>
      <c r="K80" s="418">
        <v>5.306</v>
      </c>
      <c r="L80" s="418">
        <v>5.4039999999999999</v>
      </c>
      <c r="M80" s="418">
        <v>5.4930000000000003</v>
      </c>
      <c r="N80" s="418">
        <v>5.5739999999999998</v>
      </c>
      <c r="O80" s="418">
        <v>5.649</v>
      </c>
      <c r="P80" s="418">
        <v>5.72</v>
      </c>
      <c r="Q80" s="418">
        <v>5.8460000000000001</v>
      </c>
      <c r="R80" s="418">
        <v>5.9580000000000002</v>
      </c>
      <c r="S80" s="418">
        <v>6.149</v>
      </c>
      <c r="T80" s="418">
        <v>6.3090000000000002</v>
      </c>
      <c r="U80" s="418">
        <v>6.4450000000000003</v>
      </c>
      <c r="V80" s="418">
        <v>6.5640000000000001</v>
      </c>
      <c r="W80" s="419">
        <v>6.6689999999999996</v>
      </c>
    </row>
    <row r="81" spans="1:23" x14ac:dyDescent="0.25">
      <c r="A81">
        <v>16</v>
      </c>
      <c r="B81" s="417">
        <v>2.9980000000000002</v>
      </c>
      <c r="C81" s="418">
        <v>3.649</v>
      </c>
      <c r="D81" s="418">
        <v>4.0460000000000003</v>
      </c>
      <c r="E81" s="418">
        <v>4.3330000000000002</v>
      </c>
      <c r="F81" s="418">
        <v>4.5570000000000004</v>
      </c>
      <c r="G81" s="418">
        <v>4.7409999999999997</v>
      </c>
      <c r="H81" s="418">
        <v>4.8970000000000002</v>
      </c>
      <c r="I81" s="418">
        <v>5.0309999999999997</v>
      </c>
      <c r="J81" s="418">
        <v>5.15</v>
      </c>
      <c r="K81" s="418">
        <v>5.2560000000000002</v>
      </c>
      <c r="L81" s="418">
        <v>5.3520000000000003</v>
      </c>
      <c r="M81" s="418">
        <v>5.4390000000000001</v>
      </c>
      <c r="N81" s="418">
        <v>5.52</v>
      </c>
      <c r="O81" s="418">
        <v>5.593</v>
      </c>
      <c r="P81" s="418">
        <v>5.6619999999999999</v>
      </c>
      <c r="Q81" s="418">
        <v>5.7859999999999996</v>
      </c>
      <c r="R81" s="418">
        <v>5.8970000000000002</v>
      </c>
      <c r="S81" s="418">
        <v>6.0839999999999996</v>
      </c>
      <c r="T81" s="418">
        <v>6.2409999999999997</v>
      </c>
      <c r="U81" s="418">
        <v>6.3739999999999997</v>
      </c>
      <c r="V81" s="418">
        <v>6.4909999999999997</v>
      </c>
      <c r="W81" s="419">
        <v>6.5940000000000003</v>
      </c>
    </row>
    <row r="82" spans="1:23" x14ac:dyDescent="0.25">
      <c r="A82">
        <v>17</v>
      </c>
      <c r="B82" s="417">
        <v>2.984</v>
      </c>
      <c r="C82" s="418">
        <v>3.6280000000000001</v>
      </c>
      <c r="D82" s="418">
        <v>4.0199999999999996</v>
      </c>
      <c r="E82" s="418">
        <v>4.3029999999999999</v>
      </c>
      <c r="F82" s="418">
        <v>4.524</v>
      </c>
      <c r="G82" s="418">
        <v>4.7050000000000001</v>
      </c>
      <c r="H82" s="418">
        <v>4.8579999999999997</v>
      </c>
      <c r="I82" s="418">
        <v>4.9909999999999997</v>
      </c>
      <c r="J82" s="418">
        <v>5.1079999999999997</v>
      </c>
      <c r="K82" s="418">
        <v>5.2119999999999997</v>
      </c>
      <c r="L82" s="418">
        <v>5.3070000000000004</v>
      </c>
      <c r="M82" s="418">
        <v>5.3920000000000003</v>
      </c>
      <c r="N82" s="418">
        <v>5.4710000000000001</v>
      </c>
      <c r="O82" s="418">
        <v>5.5439999999999996</v>
      </c>
      <c r="P82" s="418">
        <v>5.6120000000000001</v>
      </c>
      <c r="Q82" s="418">
        <v>5.734</v>
      </c>
      <c r="R82" s="418">
        <v>5.8419999999999996</v>
      </c>
      <c r="S82" s="418">
        <v>6.0270000000000001</v>
      </c>
      <c r="T82" s="418">
        <v>6.181</v>
      </c>
      <c r="U82" s="418">
        <v>6.3129999999999997</v>
      </c>
      <c r="V82" s="418">
        <v>6.4269999999999996</v>
      </c>
      <c r="W82" s="419">
        <v>6.5289999999999999</v>
      </c>
    </row>
    <row r="83" spans="1:23" x14ac:dyDescent="0.25">
      <c r="A83">
        <v>18</v>
      </c>
      <c r="B83" s="417">
        <v>2.9710000000000001</v>
      </c>
      <c r="C83" s="418">
        <v>3.609</v>
      </c>
      <c r="D83" s="418">
        <v>3.9969999999999999</v>
      </c>
      <c r="E83" s="418">
        <v>4.2770000000000001</v>
      </c>
      <c r="F83" s="418">
        <v>4.4950000000000001</v>
      </c>
      <c r="G83" s="418">
        <v>4.673</v>
      </c>
      <c r="H83" s="418">
        <v>4.8239999999999998</v>
      </c>
      <c r="I83" s="418">
        <v>4.9560000000000004</v>
      </c>
      <c r="J83" s="418">
        <v>5.0709999999999997</v>
      </c>
      <c r="K83" s="418">
        <v>5.1740000000000004</v>
      </c>
      <c r="L83" s="418">
        <v>5.2670000000000003</v>
      </c>
      <c r="M83" s="418">
        <v>5.3520000000000003</v>
      </c>
      <c r="N83" s="418">
        <v>5.4290000000000003</v>
      </c>
      <c r="O83" s="418">
        <v>5.5010000000000003</v>
      </c>
      <c r="P83" s="418">
        <v>5.5679999999999996</v>
      </c>
      <c r="Q83" s="418">
        <v>5.6879999999999997</v>
      </c>
      <c r="R83" s="418">
        <v>5.7939999999999996</v>
      </c>
      <c r="S83" s="418">
        <v>5.9770000000000003</v>
      </c>
      <c r="T83" s="418">
        <v>6.1280000000000001</v>
      </c>
      <c r="U83" s="418">
        <v>6.258</v>
      </c>
      <c r="V83" s="418">
        <v>6.3710000000000004</v>
      </c>
      <c r="W83" s="419">
        <v>6.4710000000000001</v>
      </c>
    </row>
    <row r="84" spans="1:23" x14ac:dyDescent="0.25">
      <c r="A84">
        <v>19</v>
      </c>
      <c r="B84" s="417">
        <v>2.96</v>
      </c>
      <c r="C84" s="418">
        <v>3.593</v>
      </c>
      <c r="D84" s="418">
        <v>3.9769999999999999</v>
      </c>
      <c r="E84" s="418">
        <v>4.2530000000000001</v>
      </c>
      <c r="F84" s="418">
        <v>4.4690000000000003</v>
      </c>
      <c r="G84" s="418">
        <v>4.6449999999999996</v>
      </c>
      <c r="H84" s="418">
        <v>4.7939999999999996</v>
      </c>
      <c r="I84" s="418">
        <v>4.9240000000000004</v>
      </c>
      <c r="J84" s="418">
        <v>5.0380000000000003</v>
      </c>
      <c r="K84" s="418">
        <v>5.14</v>
      </c>
      <c r="L84" s="418">
        <v>5.2309999999999999</v>
      </c>
      <c r="M84" s="418">
        <v>5.3150000000000004</v>
      </c>
      <c r="N84" s="418">
        <v>5.391</v>
      </c>
      <c r="O84" s="418">
        <v>5.4619999999999997</v>
      </c>
      <c r="P84" s="418">
        <v>5.5279999999999996</v>
      </c>
      <c r="Q84" s="418">
        <v>5.6470000000000002</v>
      </c>
      <c r="R84" s="418">
        <v>5.7519999999999998</v>
      </c>
      <c r="S84" s="418">
        <v>5.9320000000000004</v>
      </c>
      <c r="T84" s="418">
        <v>6.0810000000000004</v>
      </c>
      <c r="U84" s="418">
        <v>6.2089999999999996</v>
      </c>
      <c r="V84" s="418">
        <v>6.3209999999999997</v>
      </c>
      <c r="W84" s="419">
        <v>6.4189999999999996</v>
      </c>
    </row>
    <row r="85" spans="1:23" x14ac:dyDescent="0.25">
      <c r="A85">
        <v>20</v>
      </c>
      <c r="B85" s="417">
        <v>2.95</v>
      </c>
      <c r="C85" s="418">
        <v>3.5779999999999998</v>
      </c>
      <c r="D85" s="418">
        <v>3.9580000000000002</v>
      </c>
      <c r="E85" s="418">
        <v>4.2320000000000002</v>
      </c>
      <c r="F85" s="418">
        <v>4.4450000000000003</v>
      </c>
      <c r="G85" s="418">
        <v>4.62</v>
      </c>
      <c r="H85" s="418">
        <v>4.7679999999999998</v>
      </c>
      <c r="I85" s="418">
        <v>4.8959999999999999</v>
      </c>
      <c r="J85" s="418">
        <v>5.008</v>
      </c>
      <c r="K85" s="418">
        <v>5.1079999999999997</v>
      </c>
      <c r="L85" s="418">
        <v>5.1989999999999998</v>
      </c>
      <c r="M85" s="418">
        <v>5.282</v>
      </c>
      <c r="N85" s="418">
        <v>5.3570000000000002</v>
      </c>
      <c r="O85" s="418">
        <v>5.4269999999999996</v>
      </c>
      <c r="P85" s="418">
        <v>5.4930000000000003</v>
      </c>
      <c r="Q85" s="418">
        <v>5.61</v>
      </c>
      <c r="R85" s="418">
        <v>5.7140000000000004</v>
      </c>
      <c r="S85" s="418">
        <v>5.891</v>
      </c>
      <c r="T85" s="418">
        <v>6.0389999999999997</v>
      </c>
      <c r="U85" s="418">
        <v>6.165</v>
      </c>
      <c r="V85" s="418">
        <v>6.2750000000000004</v>
      </c>
      <c r="W85" s="419">
        <v>6.3730000000000002</v>
      </c>
    </row>
    <row r="86" spans="1:23" x14ac:dyDescent="0.25">
      <c r="A86">
        <v>24</v>
      </c>
      <c r="B86" s="417">
        <v>2.919</v>
      </c>
      <c r="C86" s="418">
        <v>3.532</v>
      </c>
      <c r="D86" s="418">
        <v>3.9009999999999998</v>
      </c>
      <c r="E86" s="418">
        <v>4.1660000000000004</v>
      </c>
      <c r="F86" s="418">
        <v>4.3730000000000002</v>
      </c>
      <c r="G86" s="418">
        <v>4.5410000000000004</v>
      </c>
      <c r="H86" s="418">
        <v>4.6840000000000002</v>
      </c>
      <c r="I86" s="418">
        <v>4.8070000000000004</v>
      </c>
      <c r="J86" s="418">
        <v>4.915</v>
      </c>
      <c r="K86" s="418">
        <v>5.0119999999999996</v>
      </c>
      <c r="L86" s="418">
        <v>5.0990000000000002</v>
      </c>
      <c r="M86" s="418">
        <v>5.1790000000000003</v>
      </c>
      <c r="N86" s="418">
        <v>5.2510000000000003</v>
      </c>
      <c r="O86" s="418">
        <v>5.319</v>
      </c>
      <c r="P86" s="418">
        <v>5.3810000000000002</v>
      </c>
      <c r="Q86" s="418">
        <v>5.4939999999999998</v>
      </c>
      <c r="R86" s="418">
        <v>5.5940000000000003</v>
      </c>
      <c r="S86" s="418">
        <v>5.7640000000000002</v>
      </c>
      <c r="T86" s="418">
        <v>5.9059999999999997</v>
      </c>
      <c r="U86" s="418">
        <v>6.0270000000000001</v>
      </c>
      <c r="V86" s="418">
        <v>6.1319999999999997</v>
      </c>
      <c r="W86" s="419">
        <v>6.226</v>
      </c>
    </row>
    <row r="87" spans="1:23" x14ac:dyDescent="0.25">
      <c r="A87">
        <v>30</v>
      </c>
      <c r="B87" s="417">
        <v>2.8879999999999999</v>
      </c>
      <c r="C87" s="418">
        <v>3.4860000000000002</v>
      </c>
      <c r="D87" s="418">
        <v>3.8450000000000002</v>
      </c>
      <c r="E87" s="418">
        <v>4.1020000000000003</v>
      </c>
      <c r="F87" s="418">
        <v>4.3019999999999996</v>
      </c>
      <c r="G87" s="418">
        <v>4.4640000000000004</v>
      </c>
      <c r="H87" s="418">
        <v>4.6020000000000003</v>
      </c>
      <c r="I87" s="418">
        <v>4.72</v>
      </c>
      <c r="J87" s="418">
        <v>4.8239999999999998</v>
      </c>
      <c r="K87" s="418">
        <v>4.9169999999999998</v>
      </c>
      <c r="L87" s="418">
        <v>5.0010000000000003</v>
      </c>
      <c r="M87" s="418">
        <v>5.077</v>
      </c>
      <c r="N87" s="418">
        <v>5.1470000000000002</v>
      </c>
      <c r="O87" s="418">
        <v>5.2110000000000003</v>
      </c>
      <c r="P87" s="418">
        <v>5.2709999999999999</v>
      </c>
      <c r="Q87" s="418">
        <v>5.3789999999999996</v>
      </c>
      <c r="R87" s="418">
        <v>5.4749999999999996</v>
      </c>
      <c r="S87" s="418">
        <v>5.6379999999999999</v>
      </c>
      <c r="T87" s="418">
        <v>5.774</v>
      </c>
      <c r="U87" s="418">
        <v>5.8890000000000002</v>
      </c>
      <c r="V87" s="418">
        <v>5.99</v>
      </c>
      <c r="W87" s="419">
        <v>6.08</v>
      </c>
    </row>
    <row r="88" spans="1:23" x14ac:dyDescent="0.25">
      <c r="A88">
        <v>40</v>
      </c>
      <c r="B88" s="417">
        <v>2.8580000000000001</v>
      </c>
      <c r="C88" s="418">
        <v>3.4420000000000002</v>
      </c>
      <c r="D88" s="418">
        <v>3.7909999999999999</v>
      </c>
      <c r="E88" s="418">
        <v>4.0389999999999997</v>
      </c>
      <c r="F88" s="418">
        <v>4.2320000000000002</v>
      </c>
      <c r="G88" s="418">
        <v>4.3890000000000002</v>
      </c>
      <c r="H88" s="418">
        <v>4.5209999999999999</v>
      </c>
      <c r="I88" s="418">
        <v>4.6349999999999998</v>
      </c>
      <c r="J88" s="418">
        <v>4.7350000000000003</v>
      </c>
      <c r="K88" s="418">
        <v>4.8239999999999998</v>
      </c>
      <c r="L88" s="418">
        <v>4.9039999999999999</v>
      </c>
      <c r="M88" s="418">
        <v>4.9770000000000003</v>
      </c>
      <c r="N88" s="418">
        <v>5.0439999999999996</v>
      </c>
      <c r="O88" s="418">
        <v>5.1059999999999999</v>
      </c>
      <c r="P88" s="418">
        <v>5.1630000000000003</v>
      </c>
      <c r="Q88" s="418">
        <v>5.266</v>
      </c>
      <c r="R88" s="418">
        <v>5.3579999999999997</v>
      </c>
      <c r="S88" s="418">
        <v>5.5129999999999999</v>
      </c>
      <c r="T88" s="418">
        <v>5.6420000000000003</v>
      </c>
      <c r="U88" s="418">
        <v>5.7530000000000001</v>
      </c>
      <c r="V88" s="418">
        <v>5.8490000000000002</v>
      </c>
      <c r="W88" s="419">
        <v>5.9340000000000002</v>
      </c>
    </row>
    <row r="89" spans="1:23" x14ac:dyDescent="0.25">
      <c r="A89">
        <v>60</v>
      </c>
      <c r="B89" s="417">
        <v>2.8290000000000002</v>
      </c>
      <c r="C89" s="418">
        <v>3.399</v>
      </c>
      <c r="D89" s="418">
        <v>3.7370000000000001</v>
      </c>
      <c r="E89" s="418">
        <v>3.9769999999999999</v>
      </c>
      <c r="F89" s="418">
        <v>4.1630000000000003</v>
      </c>
      <c r="G89" s="418">
        <v>4.3140000000000001</v>
      </c>
      <c r="H89" s="418">
        <v>4.4409999999999998</v>
      </c>
      <c r="I89" s="418">
        <v>4.55</v>
      </c>
      <c r="J89" s="418">
        <v>4.6459999999999999</v>
      </c>
      <c r="K89" s="418">
        <v>4.7320000000000002</v>
      </c>
      <c r="L89" s="418">
        <v>4.8079999999999998</v>
      </c>
      <c r="M89" s="418">
        <v>4.8780000000000001</v>
      </c>
      <c r="N89" s="418">
        <v>4.9420000000000002</v>
      </c>
      <c r="O89" s="418">
        <v>5.0010000000000003</v>
      </c>
      <c r="P89" s="418">
        <v>5.056</v>
      </c>
      <c r="Q89" s="418">
        <v>5.1539999999999999</v>
      </c>
      <c r="R89" s="418">
        <v>5.2409999999999997</v>
      </c>
      <c r="S89" s="418">
        <v>5.3890000000000002</v>
      </c>
      <c r="T89" s="418">
        <v>5.5119999999999996</v>
      </c>
      <c r="U89" s="418">
        <v>5.617</v>
      </c>
      <c r="V89" s="418">
        <v>5.7080000000000002</v>
      </c>
      <c r="W89" s="419">
        <v>5.7889999999999997</v>
      </c>
    </row>
    <row r="90" spans="1:23" x14ac:dyDescent="0.25">
      <c r="A90">
        <v>120</v>
      </c>
      <c r="B90" s="417">
        <v>2.8</v>
      </c>
      <c r="C90" s="418">
        <v>3.3559999999999999</v>
      </c>
      <c r="D90" s="418">
        <v>3.6850000000000001</v>
      </c>
      <c r="E90" s="418">
        <v>3.9169999999999998</v>
      </c>
      <c r="F90" s="418">
        <v>4.0960000000000001</v>
      </c>
      <c r="G90" s="418">
        <v>4.2409999999999997</v>
      </c>
      <c r="H90" s="418">
        <v>4.3630000000000004</v>
      </c>
      <c r="I90" s="418">
        <v>4.468</v>
      </c>
      <c r="J90" s="418">
        <v>4.5599999999999996</v>
      </c>
      <c r="K90" s="418">
        <v>4.641</v>
      </c>
      <c r="L90" s="418">
        <v>4.7140000000000004</v>
      </c>
      <c r="M90" s="418">
        <v>4.7809999999999997</v>
      </c>
      <c r="N90" s="418">
        <v>4.8419999999999996</v>
      </c>
      <c r="O90" s="418">
        <v>4.8979999999999997</v>
      </c>
      <c r="P90" s="418">
        <v>4.95</v>
      </c>
      <c r="Q90" s="418">
        <v>5.0439999999999996</v>
      </c>
      <c r="R90" s="418">
        <v>5.1260000000000003</v>
      </c>
      <c r="S90" s="418">
        <v>5.266</v>
      </c>
      <c r="T90" s="418">
        <v>5.3819999999999997</v>
      </c>
      <c r="U90" s="418">
        <v>5.4809999999999999</v>
      </c>
      <c r="V90" s="418">
        <v>5.5679999999999996</v>
      </c>
      <c r="W90" s="419">
        <v>5.6440000000000001</v>
      </c>
    </row>
    <row r="91" spans="1:23" x14ac:dyDescent="0.25">
      <c r="A91" s="12" t="s">
        <v>753</v>
      </c>
      <c r="B91" s="420">
        <v>2.7719999999999998</v>
      </c>
      <c r="C91" s="421">
        <v>3.3140000000000001</v>
      </c>
      <c r="D91" s="421">
        <v>3.633</v>
      </c>
      <c r="E91" s="421">
        <v>3.8580000000000001</v>
      </c>
      <c r="F91" s="421">
        <v>4.03</v>
      </c>
      <c r="G91" s="421">
        <v>4.17</v>
      </c>
      <c r="H91" s="421">
        <v>4.2859999999999996</v>
      </c>
      <c r="I91" s="421">
        <v>4.3869999999999996</v>
      </c>
      <c r="J91" s="421">
        <v>4.4740000000000002</v>
      </c>
      <c r="K91" s="421">
        <v>4.5519999999999996</v>
      </c>
      <c r="L91" s="421">
        <v>4.6219999999999999</v>
      </c>
      <c r="M91" s="421">
        <v>4.6849999999999996</v>
      </c>
      <c r="N91" s="421">
        <v>4.7430000000000003</v>
      </c>
      <c r="O91" s="421">
        <v>4.7960000000000003</v>
      </c>
      <c r="P91" s="421">
        <v>4.8449999999999998</v>
      </c>
      <c r="Q91" s="421">
        <v>4.9340000000000002</v>
      </c>
      <c r="R91" s="421">
        <v>5.0119999999999996</v>
      </c>
      <c r="S91" s="421">
        <v>5.1440000000000001</v>
      </c>
      <c r="T91" s="421">
        <v>5.2530000000000001</v>
      </c>
      <c r="U91" s="421">
        <v>5.3460000000000001</v>
      </c>
      <c r="V91" s="421">
        <v>5.4269999999999996</v>
      </c>
      <c r="W91" s="422">
        <v>5.4980000000000002</v>
      </c>
    </row>
    <row r="93" spans="1:23" x14ac:dyDescent="0.25">
      <c r="A93" t="s">
        <v>31</v>
      </c>
      <c r="B93">
        <v>5.0000000000000001E-3</v>
      </c>
    </row>
    <row r="94" spans="1:23" x14ac:dyDescent="0.25">
      <c r="B94" t="s">
        <v>751</v>
      </c>
    </row>
    <row r="95" spans="1:23" x14ac:dyDescent="0.25">
      <c r="A95" s="12" t="s">
        <v>51</v>
      </c>
      <c r="B95">
        <v>2</v>
      </c>
      <c r="C95">
        <f>B95+1</f>
        <v>3</v>
      </c>
      <c r="D95">
        <f t="shared" ref="D95:L95" si="3">C95+1</f>
        <v>4</v>
      </c>
      <c r="E95">
        <f t="shared" si="3"/>
        <v>5</v>
      </c>
      <c r="F95">
        <f t="shared" si="3"/>
        <v>6</v>
      </c>
      <c r="G95">
        <f t="shared" si="3"/>
        <v>7</v>
      </c>
      <c r="H95">
        <f t="shared" si="3"/>
        <v>8</v>
      </c>
      <c r="I95">
        <f t="shared" si="3"/>
        <v>9</v>
      </c>
      <c r="J95">
        <f t="shared" si="3"/>
        <v>10</v>
      </c>
      <c r="K95">
        <f t="shared" si="3"/>
        <v>11</v>
      </c>
      <c r="L95">
        <f t="shared" si="3"/>
        <v>12</v>
      </c>
      <c r="M95">
        <v>13</v>
      </c>
      <c r="N95">
        <f>M95+1</f>
        <v>14</v>
      </c>
      <c r="O95">
        <f>N95+1</f>
        <v>15</v>
      </c>
      <c r="P95">
        <f>O95+1</f>
        <v>16</v>
      </c>
      <c r="Q95">
        <f>P95+2</f>
        <v>18</v>
      </c>
      <c r="R95">
        <f>Q95+2</f>
        <v>20</v>
      </c>
      <c r="S95">
        <f>R95+4</f>
        <v>24</v>
      </c>
      <c r="T95">
        <f>S95+4</f>
        <v>28</v>
      </c>
      <c r="U95">
        <f>T95+4</f>
        <v>32</v>
      </c>
      <c r="V95">
        <f>U95+4</f>
        <v>36</v>
      </c>
      <c r="W95">
        <f>V95+4</f>
        <v>40</v>
      </c>
    </row>
    <row r="96" spans="1:23" x14ac:dyDescent="0.25">
      <c r="A96">
        <v>1</v>
      </c>
      <c r="B96" s="423">
        <v>180.1</v>
      </c>
      <c r="C96" s="252">
        <v>270.10000000000002</v>
      </c>
      <c r="D96" s="252">
        <v>328.5</v>
      </c>
      <c r="E96" s="252">
        <v>371.2</v>
      </c>
      <c r="F96" s="252">
        <v>404.4</v>
      </c>
      <c r="G96" s="252">
        <v>431.6</v>
      </c>
      <c r="H96" s="252">
        <v>454.4</v>
      </c>
      <c r="I96" s="271">
        <v>474</v>
      </c>
      <c r="J96" s="271">
        <v>491.1</v>
      </c>
      <c r="K96" s="271">
        <v>506.3</v>
      </c>
      <c r="L96" s="271">
        <v>520</v>
      </c>
      <c r="M96" s="252">
        <v>532.4</v>
      </c>
      <c r="N96" s="252">
        <v>543.6</v>
      </c>
      <c r="O96" s="271">
        <v>554</v>
      </c>
      <c r="P96" s="252">
        <v>563.6</v>
      </c>
      <c r="Q96" s="252">
        <v>580.9</v>
      </c>
      <c r="R96" s="271">
        <v>596</v>
      </c>
      <c r="S96" s="252">
        <v>621.70000000000005</v>
      </c>
      <c r="T96" s="252">
        <v>642.70000000000005</v>
      </c>
      <c r="U96" s="252">
        <v>660.6</v>
      </c>
      <c r="V96" s="271">
        <v>676</v>
      </c>
      <c r="W96" s="196">
        <v>689.6</v>
      </c>
    </row>
    <row r="97" spans="1:23" x14ac:dyDescent="0.25">
      <c r="A97">
        <v>2</v>
      </c>
      <c r="B97" s="180">
        <v>19.93</v>
      </c>
      <c r="C97" s="7">
        <v>26.97</v>
      </c>
      <c r="D97" s="7">
        <v>31.6</v>
      </c>
      <c r="E97" s="7">
        <v>35.020000000000003</v>
      </c>
      <c r="F97" s="7">
        <v>37.729999999999997</v>
      </c>
      <c r="G97" s="7">
        <v>39.950000000000003</v>
      </c>
      <c r="H97" s="7">
        <v>41.83</v>
      </c>
      <c r="I97" s="7">
        <v>43.46</v>
      </c>
      <c r="J97" s="7">
        <v>44.89</v>
      </c>
      <c r="K97" s="7">
        <v>46.16</v>
      </c>
      <c r="L97" s="7">
        <v>47.31</v>
      </c>
      <c r="M97" s="7">
        <v>48.35</v>
      </c>
      <c r="N97" s="7">
        <v>49.3</v>
      </c>
      <c r="O97" s="7">
        <v>50.17</v>
      </c>
      <c r="P97" s="7">
        <v>50.99</v>
      </c>
      <c r="Q97" s="7">
        <v>52.45</v>
      </c>
      <c r="R97" s="7">
        <v>53.74</v>
      </c>
      <c r="S97" s="7">
        <v>55.92</v>
      </c>
      <c r="T97" s="7">
        <v>57.73</v>
      </c>
      <c r="U97" s="7">
        <v>59.26</v>
      </c>
      <c r="V97" s="7">
        <v>60.59</v>
      </c>
      <c r="W97" s="181">
        <v>61.76</v>
      </c>
    </row>
    <row r="98" spans="1:23" x14ac:dyDescent="0.25">
      <c r="A98">
        <v>3</v>
      </c>
      <c r="B98" s="180">
        <v>10.55</v>
      </c>
      <c r="C98" s="424">
        <v>13.5</v>
      </c>
      <c r="D98" s="7">
        <v>15.45</v>
      </c>
      <c r="E98" s="7">
        <v>16.91</v>
      </c>
      <c r="F98" s="7">
        <v>18.059999999999999</v>
      </c>
      <c r="G98" s="7">
        <v>19.010000000000002</v>
      </c>
      <c r="H98" s="7">
        <v>19.829999999999998</v>
      </c>
      <c r="I98" s="7">
        <v>20.53</v>
      </c>
      <c r="J98" s="7">
        <v>21.15</v>
      </c>
      <c r="K98" s="424">
        <v>21.7</v>
      </c>
      <c r="L98" s="424">
        <v>22.2</v>
      </c>
      <c r="M98" s="7">
        <v>22.66</v>
      </c>
      <c r="N98" s="7">
        <v>23.08</v>
      </c>
      <c r="O98" s="7">
        <v>23.46</v>
      </c>
      <c r="P98" s="7">
        <v>23.82</v>
      </c>
      <c r="Q98" s="7">
        <v>24.46</v>
      </c>
      <c r="R98" s="7">
        <v>25.03</v>
      </c>
      <c r="S98" s="424">
        <v>26</v>
      </c>
      <c r="T98" s="424">
        <v>26.8</v>
      </c>
      <c r="U98" s="7">
        <v>27.48</v>
      </c>
      <c r="V98" s="7">
        <v>28.07</v>
      </c>
      <c r="W98" s="425">
        <v>28.6</v>
      </c>
    </row>
    <row r="99" spans="1:23" x14ac:dyDescent="0.25">
      <c r="A99">
        <v>4</v>
      </c>
      <c r="B99" s="180">
        <v>7.9160000000000004</v>
      </c>
      <c r="C99" s="7">
        <v>9.8140000000000001</v>
      </c>
      <c r="D99" s="7">
        <v>11.06</v>
      </c>
      <c r="E99" s="7">
        <v>11.99</v>
      </c>
      <c r="F99" s="7">
        <v>12.74</v>
      </c>
      <c r="G99" s="7">
        <v>13.35</v>
      </c>
      <c r="H99" s="7">
        <v>13.88</v>
      </c>
      <c r="I99" s="7">
        <v>14.33</v>
      </c>
      <c r="J99" s="7">
        <v>14.74</v>
      </c>
      <c r="K99" s="424">
        <v>15.1</v>
      </c>
      <c r="L99" s="424">
        <v>15.42</v>
      </c>
      <c r="M99" s="7">
        <v>15.72</v>
      </c>
      <c r="N99" s="7">
        <v>15.99</v>
      </c>
      <c r="O99" s="7">
        <v>16.239999999999998</v>
      </c>
      <c r="P99" s="7">
        <v>16.48</v>
      </c>
      <c r="Q99" s="424">
        <v>16.899999999999999</v>
      </c>
      <c r="R99" s="7">
        <v>17.28</v>
      </c>
      <c r="S99" s="7">
        <v>17.91</v>
      </c>
      <c r="T99" s="7">
        <v>18.440000000000001</v>
      </c>
      <c r="U99" s="7">
        <v>18.89</v>
      </c>
      <c r="V99" s="7">
        <v>19.28</v>
      </c>
      <c r="W99" s="181">
        <v>19.63</v>
      </c>
    </row>
    <row r="100" spans="1:23" x14ac:dyDescent="0.25">
      <c r="A100">
        <v>5</v>
      </c>
      <c r="B100" s="180">
        <v>6.7510000000000003</v>
      </c>
      <c r="C100" s="7">
        <v>8.1959999999999997</v>
      </c>
      <c r="D100" s="7">
        <v>9.141</v>
      </c>
      <c r="E100" s="7">
        <v>9.8469999999999995</v>
      </c>
      <c r="F100" s="7">
        <v>10.41</v>
      </c>
      <c r="G100" s="7">
        <v>10.88</v>
      </c>
      <c r="H100" s="7">
        <v>11.28</v>
      </c>
      <c r="I100" s="7">
        <v>11.63</v>
      </c>
      <c r="J100" s="7">
        <v>11.93</v>
      </c>
      <c r="K100" s="7">
        <v>12.21</v>
      </c>
      <c r="L100" s="7">
        <v>12.46</v>
      </c>
      <c r="M100" s="7">
        <v>12.69</v>
      </c>
      <c r="N100" s="424">
        <v>12.9</v>
      </c>
      <c r="O100" s="7">
        <v>13.09</v>
      </c>
      <c r="P100" s="7">
        <v>13.27</v>
      </c>
      <c r="Q100" s="424">
        <v>13.6</v>
      </c>
      <c r="R100" s="7">
        <v>13.89</v>
      </c>
      <c r="S100" s="7">
        <v>14.38</v>
      </c>
      <c r="T100" s="7">
        <v>14.79</v>
      </c>
      <c r="U100" s="7">
        <v>15.13</v>
      </c>
      <c r="V100" s="7">
        <v>15.44</v>
      </c>
      <c r="W100" s="181">
        <v>15.71</v>
      </c>
    </row>
    <row r="101" spans="1:23" x14ac:dyDescent="0.25">
      <c r="A101">
        <v>6</v>
      </c>
      <c r="B101" s="180">
        <v>6.1050000000000004</v>
      </c>
      <c r="C101" s="7">
        <v>7.306</v>
      </c>
      <c r="D101" s="7">
        <v>8.0879999999999992</v>
      </c>
      <c r="E101" s="418">
        <v>8.67</v>
      </c>
      <c r="F101" s="7">
        <v>9.1349999999999998</v>
      </c>
      <c r="G101" s="7">
        <v>9.5220000000000002</v>
      </c>
      <c r="H101" s="7">
        <v>9.8520000000000003</v>
      </c>
      <c r="I101" s="7">
        <v>10.14</v>
      </c>
      <c r="J101" s="424">
        <v>10.4</v>
      </c>
      <c r="K101" s="7">
        <v>10.63</v>
      </c>
      <c r="L101" s="7">
        <v>10.83</v>
      </c>
      <c r="M101" s="7">
        <v>11.02</v>
      </c>
      <c r="N101" s="424">
        <v>11.2</v>
      </c>
      <c r="O101" s="7">
        <v>11.36</v>
      </c>
      <c r="P101" s="7">
        <v>11.51</v>
      </c>
      <c r="Q101" s="7">
        <v>11.78</v>
      </c>
      <c r="R101" s="7">
        <v>12.02</v>
      </c>
      <c r="S101" s="7">
        <v>12.43</v>
      </c>
      <c r="T101" s="7">
        <v>12.77</v>
      </c>
      <c r="U101" s="7">
        <v>13.06</v>
      </c>
      <c r="V101" s="7">
        <v>13.32</v>
      </c>
      <c r="W101" s="181">
        <v>13.54</v>
      </c>
    </row>
    <row r="102" spans="1:23" x14ac:dyDescent="0.25">
      <c r="A102">
        <v>7</v>
      </c>
      <c r="B102" s="417">
        <v>5.6989999999999998</v>
      </c>
      <c r="C102" s="418">
        <v>6.75</v>
      </c>
      <c r="D102" s="7">
        <v>7.4290000000000003</v>
      </c>
      <c r="E102" s="7">
        <v>7.9349999999999996</v>
      </c>
      <c r="F102" s="7">
        <v>8.3390000000000004</v>
      </c>
      <c r="G102" s="7">
        <v>8.6739999999999995</v>
      </c>
      <c r="H102" s="7">
        <v>8.9610000000000003</v>
      </c>
      <c r="I102" s="7">
        <v>9.2110000000000003</v>
      </c>
      <c r="J102" s="7">
        <v>9.4329999999999998</v>
      </c>
      <c r="K102" s="7">
        <v>9.6319999999999997</v>
      </c>
      <c r="L102" s="7">
        <v>9.8119999999999994</v>
      </c>
      <c r="M102" s="7">
        <v>9.9770000000000003</v>
      </c>
      <c r="N102" s="7">
        <v>10.130000000000001</v>
      </c>
      <c r="O102" s="7">
        <v>10.27</v>
      </c>
      <c r="P102" s="424">
        <v>10.4</v>
      </c>
      <c r="Q102" s="7">
        <v>10.64</v>
      </c>
      <c r="R102" s="7">
        <v>10.85</v>
      </c>
      <c r="S102" s="7">
        <v>11.21</v>
      </c>
      <c r="T102" s="424">
        <v>11.5</v>
      </c>
      <c r="U102" s="7">
        <v>11.76</v>
      </c>
      <c r="V102" s="7">
        <v>11.99</v>
      </c>
      <c r="W102" s="181">
        <v>12.18</v>
      </c>
    </row>
    <row r="103" spans="1:23" x14ac:dyDescent="0.25">
      <c r="A103">
        <v>8</v>
      </c>
      <c r="B103" s="417">
        <v>5.42</v>
      </c>
      <c r="C103" s="418">
        <v>6.37</v>
      </c>
      <c r="D103" s="7">
        <v>6.9809999999999999</v>
      </c>
      <c r="E103" s="7">
        <v>7.4349999999999996</v>
      </c>
      <c r="F103" s="7">
        <v>7.7969999999999997</v>
      </c>
      <c r="G103" s="7">
        <v>8.0969999999999995</v>
      </c>
      <c r="H103" s="7">
        <v>8.3539999999999992</v>
      </c>
      <c r="I103" s="7">
        <v>8.5779999999999994</v>
      </c>
      <c r="J103" s="7">
        <v>8.7769999999999992</v>
      </c>
      <c r="K103" s="7">
        <v>8.9550000000000001</v>
      </c>
      <c r="L103" s="7">
        <v>9.1170000000000009</v>
      </c>
      <c r="M103" s="7">
        <v>9.2650000000000006</v>
      </c>
      <c r="N103" s="7">
        <v>9.4009999999999998</v>
      </c>
      <c r="O103" s="7">
        <v>9.5269999999999992</v>
      </c>
      <c r="P103" s="7">
        <v>9.6440000000000001</v>
      </c>
      <c r="Q103" s="7">
        <v>9.8569999999999993</v>
      </c>
      <c r="R103" s="7">
        <v>10.039999999999999</v>
      </c>
      <c r="S103" s="7">
        <v>10.37</v>
      </c>
      <c r="T103" s="7">
        <v>10.64</v>
      </c>
      <c r="U103" s="7">
        <v>10.87</v>
      </c>
      <c r="V103" s="7">
        <v>11.07</v>
      </c>
      <c r="W103" s="181">
        <v>11.25</v>
      </c>
    </row>
    <row r="104" spans="1:23" x14ac:dyDescent="0.25">
      <c r="A104">
        <v>9</v>
      </c>
      <c r="B104" s="180">
        <v>5.218</v>
      </c>
      <c r="C104" s="7">
        <v>6.0960000000000001</v>
      </c>
      <c r="D104" s="7">
        <v>6.657</v>
      </c>
      <c r="E104" s="7">
        <v>7.0739999999999998</v>
      </c>
      <c r="F104" s="7">
        <v>7.4050000000000002</v>
      </c>
      <c r="G104" s="418">
        <v>7.68</v>
      </c>
      <c r="H104" s="7">
        <v>7.915</v>
      </c>
      <c r="I104" s="418">
        <v>8.1199999999999992</v>
      </c>
      <c r="J104" s="7">
        <v>8.3030000000000008</v>
      </c>
      <c r="K104" s="7">
        <v>8.4659999999999993</v>
      </c>
      <c r="L104" s="7">
        <v>8.6140000000000008</v>
      </c>
      <c r="M104" s="7">
        <v>8.7490000000000006</v>
      </c>
      <c r="N104" s="7">
        <v>8.8740000000000006</v>
      </c>
      <c r="O104" s="418">
        <v>8.99</v>
      </c>
      <c r="P104" s="7">
        <v>9.0969999999999995</v>
      </c>
      <c r="Q104" s="7">
        <v>9.2919999999999998</v>
      </c>
      <c r="R104" s="7">
        <v>9.4649999999999999</v>
      </c>
      <c r="S104" s="7">
        <v>9.7609999999999992</v>
      </c>
      <c r="T104" s="7">
        <v>10.01</v>
      </c>
      <c r="U104" s="7">
        <v>10.220000000000001</v>
      </c>
      <c r="V104" s="7">
        <v>10.41</v>
      </c>
      <c r="W104" s="181">
        <v>10.58</v>
      </c>
    </row>
    <row r="105" spans="1:23" x14ac:dyDescent="0.25">
      <c r="A105">
        <v>10</v>
      </c>
      <c r="B105" s="180">
        <v>5.0650000000000004</v>
      </c>
      <c r="C105" s="7">
        <v>5.8879999999999999</v>
      </c>
      <c r="D105" s="7">
        <v>6.4119999999999999</v>
      </c>
      <c r="E105" s="418">
        <v>6.8</v>
      </c>
      <c r="F105" s="7">
        <v>7.109</v>
      </c>
      <c r="G105" s="418">
        <v>7.3650000000000002</v>
      </c>
      <c r="H105" s="7">
        <v>7.5839999999999996</v>
      </c>
      <c r="I105" s="7">
        <v>7.7750000000000004</v>
      </c>
      <c r="J105" s="7">
        <v>7.944</v>
      </c>
      <c r="K105" s="7">
        <v>8.0960000000000001</v>
      </c>
      <c r="L105" s="7">
        <v>8.234</v>
      </c>
      <c r="M105" s="418">
        <v>8.36</v>
      </c>
      <c r="N105" s="7">
        <v>8.4760000000000009</v>
      </c>
      <c r="O105" s="7">
        <v>8.5830000000000002</v>
      </c>
      <c r="P105" s="7">
        <v>8.6829999999999998</v>
      </c>
      <c r="Q105" s="7">
        <v>8.8650000000000002</v>
      </c>
      <c r="R105" s="7">
        <v>9.0259999999999998</v>
      </c>
      <c r="S105" s="7">
        <v>9.3019999999999996</v>
      </c>
      <c r="T105" s="7">
        <v>9.532</v>
      </c>
      <c r="U105" s="418">
        <v>9.73</v>
      </c>
      <c r="V105" s="7">
        <v>9.9039999999999999</v>
      </c>
      <c r="W105" s="181">
        <v>10.06</v>
      </c>
    </row>
    <row r="106" spans="1:23" x14ac:dyDescent="0.25">
      <c r="A106">
        <v>11</v>
      </c>
      <c r="B106" s="180">
        <v>4.9450000000000003</v>
      </c>
      <c r="C106" s="7">
        <v>5.7270000000000003</v>
      </c>
      <c r="D106" s="7">
        <v>6.2220000000000004</v>
      </c>
      <c r="E106" s="7">
        <v>6.5880000000000001</v>
      </c>
      <c r="F106" s="7">
        <v>6.8780000000000001</v>
      </c>
      <c r="G106" s="418">
        <v>7.1189999999999998</v>
      </c>
      <c r="H106" s="7">
        <v>7.3250000000000002</v>
      </c>
      <c r="I106" s="7">
        <v>7.5049999999999999</v>
      </c>
      <c r="J106" s="7">
        <v>7.6639999999999997</v>
      </c>
      <c r="K106" s="7">
        <v>7.8070000000000004</v>
      </c>
      <c r="L106" s="7">
        <v>7.9370000000000003</v>
      </c>
      <c r="M106" s="7">
        <v>8.0549999999999997</v>
      </c>
      <c r="N106" s="7">
        <v>8.1639999999999997</v>
      </c>
      <c r="O106" s="7">
        <v>8.2650000000000006</v>
      </c>
      <c r="P106" s="7">
        <v>8.359</v>
      </c>
      <c r="Q106" s="418">
        <v>8.5299999999999994</v>
      </c>
      <c r="R106" s="7">
        <v>8.6820000000000004</v>
      </c>
      <c r="S106" s="7">
        <v>8.9410000000000007</v>
      </c>
      <c r="T106" s="7">
        <v>9.1590000000000007</v>
      </c>
      <c r="U106" s="7">
        <v>9.3450000000000006</v>
      </c>
      <c r="V106" s="7">
        <v>9.5090000000000003</v>
      </c>
      <c r="W106" s="181">
        <v>9.6539999999999999</v>
      </c>
    </row>
    <row r="107" spans="1:23" x14ac:dyDescent="0.25">
      <c r="A107">
        <v>12</v>
      </c>
      <c r="B107" s="180">
        <v>4.8490000000000002</v>
      </c>
      <c r="C107" s="7">
        <v>5.5970000000000004</v>
      </c>
      <c r="D107" s="7">
        <v>6.0679999999999996</v>
      </c>
      <c r="E107" s="7">
        <v>6.4160000000000004</v>
      </c>
      <c r="F107" s="7">
        <v>6.6929999999999996</v>
      </c>
      <c r="G107" s="418">
        <v>6.9219999999999997</v>
      </c>
      <c r="H107" s="7">
        <v>7.1180000000000003</v>
      </c>
      <c r="I107" s="7">
        <v>7.2880000000000003</v>
      </c>
      <c r="J107" s="7">
        <v>7.4390000000000001</v>
      </c>
      <c r="K107" s="7">
        <v>7.5750000000000002</v>
      </c>
      <c r="L107" s="7">
        <v>7.6970000000000001</v>
      </c>
      <c r="M107" s="418">
        <v>7.81</v>
      </c>
      <c r="N107" s="7">
        <v>7.9139999999999997</v>
      </c>
      <c r="O107" s="7">
        <v>8.0090000000000003</v>
      </c>
      <c r="P107" s="7">
        <v>8.0990000000000002</v>
      </c>
      <c r="Q107" s="418">
        <v>8.2609999999999992</v>
      </c>
      <c r="R107" s="7">
        <v>8.4049999999999994</v>
      </c>
      <c r="S107" s="7">
        <v>8.6519999999999992</v>
      </c>
      <c r="T107" s="7">
        <v>8.8580000000000005</v>
      </c>
      <c r="U107" s="7">
        <v>9.0359999999999996</v>
      </c>
      <c r="V107" s="7">
        <v>9.1910000000000007</v>
      </c>
      <c r="W107" s="181">
        <v>9.3279999999999994</v>
      </c>
    </row>
    <row r="108" spans="1:23" x14ac:dyDescent="0.25">
      <c r="A108">
        <v>13</v>
      </c>
      <c r="B108" s="417">
        <v>4.7699999999999996</v>
      </c>
      <c r="C108" s="418">
        <v>5.49</v>
      </c>
      <c r="D108" s="7">
        <v>5.9429999999999996</v>
      </c>
      <c r="E108" s="7">
        <v>6.2770000000000001</v>
      </c>
      <c r="F108" s="7">
        <v>6.5410000000000004</v>
      </c>
      <c r="G108" s="418">
        <v>6.76</v>
      </c>
      <c r="H108" s="7">
        <v>6.9470000000000001</v>
      </c>
      <c r="I108" s="7">
        <v>7.1109999999999998</v>
      </c>
      <c r="J108" s="7">
        <v>7.2549999999999999</v>
      </c>
      <c r="K108" s="7">
        <v>7.3840000000000003</v>
      </c>
      <c r="L108" s="7">
        <v>7.5019999999999998</v>
      </c>
      <c r="M108" s="7">
        <v>7.609</v>
      </c>
      <c r="N108" s="7">
        <v>7.7080000000000002</v>
      </c>
      <c r="O108" s="418">
        <v>7.8</v>
      </c>
      <c r="P108" s="7">
        <v>7.8860000000000001</v>
      </c>
      <c r="Q108" s="418">
        <v>8.0399999999999991</v>
      </c>
      <c r="R108" s="7">
        <v>8.1780000000000008</v>
      </c>
      <c r="S108" s="7">
        <v>8.4139999999999997</v>
      </c>
      <c r="T108" s="7">
        <v>8.6110000000000007</v>
      </c>
      <c r="U108" s="7">
        <v>8.7810000000000006</v>
      </c>
      <c r="V108" s="7">
        <v>8.9290000000000003</v>
      </c>
      <c r="W108" s="181">
        <v>9.0609999999999999</v>
      </c>
    </row>
    <row r="109" spans="1:23" x14ac:dyDescent="0.25">
      <c r="A109">
        <v>14</v>
      </c>
      <c r="B109" s="180">
        <v>4.7039999999999997</v>
      </c>
      <c r="C109" s="7">
        <v>5.4009999999999998</v>
      </c>
      <c r="D109" s="7">
        <v>5.8380000000000001</v>
      </c>
      <c r="E109" s="418">
        <v>6.16</v>
      </c>
      <c r="F109" s="7">
        <v>6.4139999999999997</v>
      </c>
      <c r="G109" s="7">
        <v>6.6260000000000003</v>
      </c>
      <c r="H109" s="7">
        <v>6.8049999999999997</v>
      </c>
      <c r="I109" s="7">
        <v>6.9619999999999997</v>
      </c>
      <c r="J109" s="7">
        <v>7.101</v>
      </c>
      <c r="K109" s="7">
        <v>7.2249999999999996</v>
      </c>
      <c r="L109" s="7">
        <v>7.3380000000000001</v>
      </c>
      <c r="M109" s="7">
        <v>7.4420000000000002</v>
      </c>
      <c r="N109" s="7">
        <v>7.5369999999999999</v>
      </c>
      <c r="O109" s="7">
        <v>7.625</v>
      </c>
      <c r="P109" s="7">
        <v>7.7069999999999999</v>
      </c>
      <c r="Q109" s="7">
        <v>7.8559999999999999</v>
      </c>
      <c r="R109" s="7">
        <v>7.9880000000000004</v>
      </c>
      <c r="S109" s="7">
        <v>8.2149999999999999</v>
      </c>
      <c r="T109" s="7">
        <v>8.4039999999999999</v>
      </c>
      <c r="U109" s="7">
        <v>8.5679999999999996</v>
      </c>
      <c r="V109" s="418">
        <v>8.7100000000000009</v>
      </c>
      <c r="W109" s="181">
        <v>8.8369999999999997</v>
      </c>
    </row>
    <row r="110" spans="1:23" x14ac:dyDescent="0.25">
      <c r="A110">
        <v>15</v>
      </c>
      <c r="B110" s="180">
        <v>4.6470000000000002</v>
      </c>
      <c r="C110" s="7">
        <v>5.3250000000000002</v>
      </c>
      <c r="D110" s="418">
        <v>5.75</v>
      </c>
      <c r="E110" s="7">
        <v>6.0609999999999999</v>
      </c>
      <c r="F110" s="7">
        <v>6.3079999999999998</v>
      </c>
      <c r="G110" s="7">
        <v>6.5110000000000001</v>
      </c>
      <c r="H110" s="7">
        <v>6.6849999999999996</v>
      </c>
      <c r="I110" s="7">
        <v>6.8369999999999997</v>
      </c>
      <c r="J110" s="7">
        <v>6.9710000000000001</v>
      </c>
      <c r="K110" s="7">
        <v>7.0910000000000002</v>
      </c>
      <c r="L110" s="418">
        <v>7.2</v>
      </c>
      <c r="M110" s="418">
        <v>7.3</v>
      </c>
      <c r="N110" s="7">
        <v>7.3920000000000003</v>
      </c>
      <c r="O110" s="7">
        <v>7.4770000000000003</v>
      </c>
      <c r="P110" s="7">
        <v>7.556</v>
      </c>
      <c r="Q110" s="7">
        <v>7.6989999999999998</v>
      </c>
      <c r="R110" s="7">
        <v>7.827</v>
      </c>
      <c r="S110" s="7">
        <v>8.0459999999999994</v>
      </c>
      <c r="T110" s="7">
        <v>8.2289999999999992</v>
      </c>
      <c r="U110" s="7">
        <v>8.3870000000000005</v>
      </c>
      <c r="V110" s="7">
        <v>8.5239999999999991</v>
      </c>
      <c r="W110" s="181">
        <v>8.6470000000000002</v>
      </c>
    </row>
    <row r="111" spans="1:23" x14ac:dyDescent="0.25">
      <c r="A111">
        <v>16</v>
      </c>
      <c r="B111" s="180">
        <v>4.5990000000000002</v>
      </c>
      <c r="C111" s="7">
        <v>5.2610000000000001</v>
      </c>
      <c r="D111" s="418">
        <v>5.6740000000000004</v>
      </c>
      <c r="E111" s="7">
        <v>5.9770000000000003</v>
      </c>
      <c r="F111" s="7">
        <v>6.2160000000000002</v>
      </c>
      <c r="G111" s="7">
        <v>6.4130000000000003</v>
      </c>
      <c r="H111" s="7">
        <v>6.5819999999999999</v>
      </c>
      <c r="I111" s="7">
        <v>6.7290000000000001</v>
      </c>
      <c r="J111" s="7">
        <v>6.859</v>
      </c>
      <c r="K111" s="7">
        <v>6.976</v>
      </c>
      <c r="L111" s="7">
        <v>7.0810000000000004</v>
      </c>
      <c r="M111" s="7">
        <v>7.1779999999999999</v>
      </c>
      <c r="N111" s="7">
        <v>7.2670000000000003</v>
      </c>
      <c r="O111" s="7">
        <v>7.3490000000000002</v>
      </c>
      <c r="P111" s="7">
        <v>7.4260000000000002</v>
      </c>
      <c r="Q111" s="7">
        <v>7.5659999999999998</v>
      </c>
      <c r="R111" s="7">
        <v>7.6890000000000001</v>
      </c>
      <c r="S111" s="7">
        <v>7.9009999999999998</v>
      </c>
      <c r="T111" s="7">
        <v>8.0779999999999994</v>
      </c>
      <c r="U111" s="7">
        <v>8.2309999999999999</v>
      </c>
      <c r="V111" s="7">
        <v>8.3650000000000002</v>
      </c>
      <c r="W111" s="181">
        <v>8.4830000000000005</v>
      </c>
    </row>
    <row r="112" spans="1:23" x14ac:dyDescent="0.25">
      <c r="A112">
        <v>17</v>
      </c>
      <c r="B112" s="180">
        <v>4.5570000000000004</v>
      </c>
      <c r="C112" s="7">
        <v>5.2050000000000001</v>
      </c>
      <c r="D112" s="418">
        <v>5.6079999999999997</v>
      </c>
      <c r="E112" s="7">
        <v>5.9029999999999996</v>
      </c>
      <c r="F112" s="7">
        <v>6.1360000000000001</v>
      </c>
      <c r="G112" s="7">
        <v>6.3289999999999997</v>
      </c>
      <c r="H112" s="7">
        <v>6.4930000000000003</v>
      </c>
      <c r="I112" s="7">
        <v>6.6360000000000001</v>
      </c>
      <c r="J112" s="7">
        <v>6.7629999999999999</v>
      </c>
      <c r="K112" s="7">
        <v>6.8760000000000003</v>
      </c>
      <c r="L112" s="7">
        <v>6.9790000000000001</v>
      </c>
      <c r="M112" s="7">
        <v>7.0720000000000001</v>
      </c>
      <c r="N112" s="7">
        <v>7.1589999999999998</v>
      </c>
      <c r="O112" s="7">
        <v>7.2389999999999999</v>
      </c>
      <c r="P112" s="7">
        <v>7.3140000000000001</v>
      </c>
      <c r="Q112" s="7">
        <v>7.4489999999999998</v>
      </c>
      <c r="R112" s="7">
        <v>7.569</v>
      </c>
      <c r="S112" s="7">
        <v>7.7750000000000004</v>
      </c>
      <c r="T112" s="7">
        <v>7.9480000000000004</v>
      </c>
      <c r="U112" s="7">
        <v>8.0960000000000001</v>
      </c>
      <c r="V112" s="7">
        <v>8.2260000000000009</v>
      </c>
      <c r="W112" s="181">
        <v>8.3409999999999993</v>
      </c>
    </row>
    <row r="113" spans="1:23" x14ac:dyDescent="0.25">
      <c r="A113">
        <v>18</v>
      </c>
      <c r="B113" s="180">
        <v>4.5209999999999999</v>
      </c>
      <c r="C113" s="7">
        <v>5.1559999999999997</v>
      </c>
      <c r="D113" s="418">
        <v>5.55</v>
      </c>
      <c r="E113" s="7">
        <v>5.8390000000000004</v>
      </c>
      <c r="F113" s="7">
        <v>6.0670000000000002</v>
      </c>
      <c r="G113" s="7">
        <v>6.2549999999999999</v>
      </c>
      <c r="H113" s="7">
        <v>6.415</v>
      </c>
      <c r="I113" s="7">
        <v>6.5540000000000003</v>
      </c>
      <c r="J113" s="7">
        <v>6.6779999999999999</v>
      </c>
      <c r="K113" s="7">
        <v>6.7880000000000003</v>
      </c>
      <c r="L113" s="7">
        <v>6.8879999999999999</v>
      </c>
      <c r="M113" s="429">
        <v>6980</v>
      </c>
      <c r="N113" s="7">
        <v>7.0640000000000001</v>
      </c>
      <c r="O113" s="7">
        <v>7.1420000000000003</v>
      </c>
      <c r="P113" s="7">
        <v>7.2149999999999999</v>
      </c>
      <c r="Q113" s="7">
        <v>7.3470000000000004</v>
      </c>
      <c r="R113" s="7">
        <v>7.4640000000000004</v>
      </c>
      <c r="S113" s="7">
        <v>7.665</v>
      </c>
      <c r="T113" s="7">
        <v>7.8330000000000002</v>
      </c>
      <c r="U113" s="7">
        <v>7.9779999999999998</v>
      </c>
      <c r="V113" s="7">
        <v>8.1039999999999992</v>
      </c>
      <c r="W113" s="181">
        <v>8.2170000000000005</v>
      </c>
    </row>
    <row r="114" spans="1:23" x14ac:dyDescent="0.25">
      <c r="A114">
        <v>19</v>
      </c>
      <c r="B114" s="417">
        <v>4.4880000000000004</v>
      </c>
      <c r="C114" s="418">
        <v>5.1130000000000004</v>
      </c>
      <c r="D114" s="418">
        <v>5.5</v>
      </c>
      <c r="E114" s="7">
        <v>5.7830000000000004</v>
      </c>
      <c r="F114" s="7">
        <v>6.0049999999999999</v>
      </c>
      <c r="G114" s="7">
        <v>6.1890000000000001</v>
      </c>
      <c r="H114" s="7">
        <v>6.3460000000000001</v>
      </c>
      <c r="I114" s="7">
        <v>6.4820000000000002</v>
      </c>
      <c r="J114" s="7">
        <v>6.6029999999999998</v>
      </c>
      <c r="K114" s="7">
        <v>6.7110000000000003</v>
      </c>
      <c r="L114" s="7">
        <v>6.8090000000000002</v>
      </c>
      <c r="M114" s="7">
        <v>6.8979999999999997</v>
      </c>
      <c r="N114" s="7">
        <v>6.9809999999999999</v>
      </c>
      <c r="O114" s="7">
        <v>7.0570000000000004</v>
      </c>
      <c r="P114" s="7">
        <v>7.1280000000000001</v>
      </c>
      <c r="Q114" s="7">
        <v>7.2569999999999997</v>
      </c>
      <c r="R114" s="7">
        <v>7.3719999999999999</v>
      </c>
      <c r="S114" s="7">
        <v>7.5679999999999996</v>
      </c>
      <c r="T114" s="7">
        <v>7.7320000000000002</v>
      </c>
      <c r="U114" s="7">
        <v>7.8730000000000002</v>
      </c>
      <c r="V114" s="7">
        <v>7.9960000000000004</v>
      </c>
      <c r="W114" s="181">
        <v>8.1059999999999999</v>
      </c>
    </row>
    <row r="115" spans="1:23" x14ac:dyDescent="0.25">
      <c r="A115">
        <v>20</v>
      </c>
      <c r="B115" s="417">
        <v>4.46</v>
      </c>
      <c r="C115" s="418">
        <v>5.0739999999999998</v>
      </c>
      <c r="D115" s="418">
        <v>5.4550000000000001</v>
      </c>
      <c r="E115" s="7">
        <v>5.7320000000000002</v>
      </c>
      <c r="F115" s="7">
        <v>5.9509999999999996</v>
      </c>
      <c r="G115" s="7">
        <v>6.1310000000000002</v>
      </c>
      <c r="H115" s="7">
        <v>6.2850000000000001</v>
      </c>
      <c r="I115" s="7">
        <v>6.4180000000000001</v>
      </c>
      <c r="J115" s="7">
        <v>6.5369999999999999</v>
      </c>
      <c r="K115" s="7">
        <v>6.6420000000000003</v>
      </c>
      <c r="L115" s="7">
        <v>6.7380000000000004</v>
      </c>
      <c r="M115" s="7">
        <v>6.8259999999999996</v>
      </c>
      <c r="N115" s="7">
        <v>6.907</v>
      </c>
      <c r="O115" s="7">
        <v>6.9809999999999999</v>
      </c>
      <c r="P115" s="7">
        <v>7.0510000000000002</v>
      </c>
      <c r="Q115" s="7">
        <v>7.1769999999999996</v>
      </c>
      <c r="R115" s="7">
        <v>7.2889999999999997</v>
      </c>
      <c r="S115" s="7">
        <v>7.4809999999999999</v>
      </c>
      <c r="T115" s="7">
        <v>7.6420000000000003</v>
      </c>
      <c r="U115" s="418">
        <v>7.78</v>
      </c>
      <c r="V115" s="7">
        <v>7.9009999999999998</v>
      </c>
      <c r="W115" s="181">
        <v>8.0079999999999991</v>
      </c>
    </row>
    <row r="116" spans="1:23" x14ac:dyDescent="0.25">
      <c r="A116">
        <v>24</v>
      </c>
      <c r="B116" s="180">
        <v>4.3710000000000004</v>
      </c>
      <c r="C116" s="7">
        <v>4.9550000000000001</v>
      </c>
      <c r="D116" s="7">
        <v>5.3150000000000004</v>
      </c>
      <c r="E116" s="7">
        <v>5.577</v>
      </c>
      <c r="F116" s="7">
        <v>5.7830000000000004</v>
      </c>
      <c r="G116" s="7">
        <v>5.952</v>
      </c>
      <c r="H116" s="7">
        <v>6.0960000000000001</v>
      </c>
      <c r="I116" s="7">
        <v>6.2210000000000001</v>
      </c>
      <c r="J116" s="7">
        <v>6.3319999999999999</v>
      </c>
      <c r="K116" s="418">
        <v>6.431</v>
      </c>
      <c r="L116" s="418">
        <v>6.52</v>
      </c>
      <c r="M116" s="7">
        <v>6.6020000000000003</v>
      </c>
      <c r="N116" s="7">
        <v>6.6769999999999996</v>
      </c>
      <c r="O116" s="7">
        <v>6.7469999999999999</v>
      </c>
      <c r="P116" s="418">
        <v>6.8120000000000003</v>
      </c>
      <c r="Q116" s="418">
        <v>6.93</v>
      </c>
      <c r="R116" s="418">
        <v>7.0339999999999998</v>
      </c>
      <c r="S116" s="7">
        <v>7.2130000000000001</v>
      </c>
      <c r="T116" s="7">
        <v>7.3620000000000001</v>
      </c>
      <c r="U116" s="7">
        <v>7.4909999999999997</v>
      </c>
      <c r="V116" s="7">
        <v>7.6029999999999998</v>
      </c>
      <c r="W116" s="181">
        <v>7.7039999999999997</v>
      </c>
    </row>
    <row r="117" spans="1:23" x14ac:dyDescent="0.25">
      <c r="A117">
        <v>30</v>
      </c>
      <c r="B117" s="180">
        <v>4.2850000000000001</v>
      </c>
      <c r="C117" s="7">
        <v>4.8410000000000002</v>
      </c>
      <c r="D117" s="7">
        <v>5.181</v>
      </c>
      <c r="E117" s="7">
        <v>5.4279999999999999</v>
      </c>
      <c r="F117" s="7">
        <v>5.6210000000000004</v>
      </c>
      <c r="G117" s="418">
        <v>5.78</v>
      </c>
      <c r="H117" s="7">
        <v>5.9139999999999997</v>
      </c>
      <c r="I117" s="7">
        <v>6.0309999999999997</v>
      </c>
      <c r="J117" s="7">
        <v>6.1349999999999998</v>
      </c>
      <c r="K117" s="418">
        <v>6.2270000000000003</v>
      </c>
      <c r="L117" s="418">
        <v>6.31</v>
      </c>
      <c r="M117" s="7">
        <v>6.3869999999999996</v>
      </c>
      <c r="N117" s="7">
        <v>6.4560000000000004</v>
      </c>
      <c r="O117" s="7">
        <v>6.5209999999999999</v>
      </c>
      <c r="P117" s="418">
        <v>6.5810000000000004</v>
      </c>
      <c r="Q117" s="418">
        <v>6.6909999999999998</v>
      </c>
      <c r="R117" s="418">
        <v>6.7880000000000003</v>
      </c>
      <c r="S117" s="7">
        <v>6.9539999999999997</v>
      </c>
      <c r="T117" s="7">
        <v>7.093</v>
      </c>
      <c r="U117" s="7">
        <v>7.2119999999999997</v>
      </c>
      <c r="V117" s="7">
        <v>7.3159999999999998</v>
      </c>
      <c r="W117" s="181">
        <v>7.4089999999999998</v>
      </c>
    </row>
    <row r="118" spans="1:23" x14ac:dyDescent="0.25">
      <c r="A118">
        <v>40</v>
      </c>
      <c r="B118" s="180">
        <v>4.202</v>
      </c>
      <c r="C118" s="7">
        <v>4.7309999999999999</v>
      </c>
      <c r="D118" s="7">
        <v>5.0529999999999999</v>
      </c>
      <c r="E118" s="7">
        <v>5.2839999999999998</v>
      </c>
      <c r="F118" s="7">
        <v>5.4649999999999999</v>
      </c>
      <c r="G118" s="7">
        <v>5.6139999999999999</v>
      </c>
      <c r="H118" s="7">
        <v>5.7389999999999999</v>
      </c>
      <c r="I118" s="7">
        <v>5.8479999999999999</v>
      </c>
      <c r="J118" s="7">
        <v>5.944</v>
      </c>
      <c r="K118" s="418">
        <v>6.03</v>
      </c>
      <c r="L118" s="418">
        <v>6.1079999999999997</v>
      </c>
      <c r="M118" s="7">
        <v>6.1790000000000003</v>
      </c>
      <c r="N118" s="7">
        <v>6.2439999999999998</v>
      </c>
      <c r="O118" s="7">
        <v>6.3040000000000003</v>
      </c>
      <c r="P118" s="418">
        <v>6.36</v>
      </c>
      <c r="Q118" s="418">
        <v>6.4610000000000003</v>
      </c>
      <c r="R118" s="418">
        <v>6.55</v>
      </c>
      <c r="S118" s="7">
        <v>6.7039999999999997</v>
      </c>
      <c r="T118" s="7">
        <v>6.8319999999999999</v>
      </c>
      <c r="U118" s="7">
        <v>6.9420000000000002</v>
      </c>
      <c r="V118" s="7">
        <v>7.0380000000000003</v>
      </c>
      <c r="W118" s="181">
        <v>7.1230000000000002</v>
      </c>
    </row>
    <row r="119" spans="1:23" x14ac:dyDescent="0.25">
      <c r="A119">
        <v>60</v>
      </c>
      <c r="B119" s="180">
        <v>4.1219999999999999</v>
      </c>
      <c r="C119" s="7">
        <v>4.625</v>
      </c>
      <c r="D119" s="7">
        <v>4.9279999999999999</v>
      </c>
      <c r="E119" s="7">
        <v>5.1459999999999999</v>
      </c>
      <c r="F119" s="7">
        <v>5.3159999999999998</v>
      </c>
      <c r="G119" s="7">
        <v>5.4539999999999997</v>
      </c>
      <c r="H119" s="7">
        <v>5.5709999999999997</v>
      </c>
      <c r="I119" s="7">
        <v>5.673</v>
      </c>
      <c r="J119" s="7">
        <v>5.7619999999999996</v>
      </c>
      <c r="K119" s="418">
        <v>5.8410000000000002</v>
      </c>
      <c r="L119" s="418">
        <v>5.9130000000000003</v>
      </c>
      <c r="M119" s="7">
        <v>5.9790000000000001</v>
      </c>
      <c r="N119" s="7">
        <v>6.0389999999999997</v>
      </c>
      <c r="O119" s="7">
        <v>6.0940000000000003</v>
      </c>
      <c r="P119" s="418">
        <v>6.1459999999999999</v>
      </c>
      <c r="Q119" s="418">
        <v>6.2389999999999999</v>
      </c>
      <c r="R119" s="418">
        <v>6.3209999999999997</v>
      </c>
      <c r="S119" s="7">
        <v>6.4619999999999997</v>
      </c>
      <c r="T119" s="418">
        <v>6.58</v>
      </c>
      <c r="U119" s="7">
        <v>6.681</v>
      </c>
      <c r="V119" s="7">
        <v>6.7690000000000001</v>
      </c>
      <c r="W119" s="181">
        <v>6.8460000000000001</v>
      </c>
    </row>
    <row r="120" spans="1:23" x14ac:dyDescent="0.25">
      <c r="A120">
        <v>120</v>
      </c>
      <c r="B120" s="180">
        <v>4.0449999999999999</v>
      </c>
      <c r="C120" s="7">
        <v>4.5229999999999997</v>
      </c>
      <c r="D120" s="7">
        <v>4.8090000000000002</v>
      </c>
      <c r="E120" s="7">
        <v>5.0129999999999999</v>
      </c>
      <c r="F120" s="7">
        <v>5.1719999999999997</v>
      </c>
      <c r="G120" s="7">
        <v>5.3010000000000002</v>
      </c>
      <c r="H120" s="418">
        <v>5.41</v>
      </c>
      <c r="I120" s="7">
        <v>5.5039999999999996</v>
      </c>
      <c r="J120" s="7">
        <v>5.5860000000000003</v>
      </c>
      <c r="K120" s="418">
        <v>5.66</v>
      </c>
      <c r="L120" s="418">
        <v>5.726</v>
      </c>
      <c r="M120" s="7">
        <v>5.7859999999999996</v>
      </c>
      <c r="N120" s="7">
        <v>5.8419999999999996</v>
      </c>
      <c r="O120" s="7">
        <v>5.8929999999999998</v>
      </c>
      <c r="P120" s="418">
        <v>5.94</v>
      </c>
      <c r="Q120" s="418">
        <v>6.0250000000000004</v>
      </c>
      <c r="R120" s="418">
        <v>6.101</v>
      </c>
      <c r="S120" s="418">
        <v>6.23</v>
      </c>
      <c r="T120" s="7">
        <v>6.3369999999999997</v>
      </c>
      <c r="U120" s="7">
        <v>6.4279999999999999</v>
      </c>
      <c r="V120" s="7">
        <v>6.508</v>
      </c>
      <c r="W120" s="419">
        <v>6.58</v>
      </c>
    </row>
    <row r="121" spans="1:23" x14ac:dyDescent="0.25">
      <c r="A121" s="12" t="s">
        <v>753</v>
      </c>
      <c r="B121" s="420">
        <v>3.97</v>
      </c>
      <c r="C121" s="224">
        <v>4.4240000000000004</v>
      </c>
      <c r="D121" s="224">
        <v>4.694</v>
      </c>
      <c r="E121" s="224">
        <v>4.8860000000000001</v>
      </c>
      <c r="F121" s="224">
        <v>5.0330000000000004</v>
      </c>
      <c r="G121" s="224">
        <v>5.1539999999999999</v>
      </c>
      <c r="H121" s="224">
        <v>5.2549999999999999</v>
      </c>
      <c r="I121" s="224">
        <v>5.3410000000000002</v>
      </c>
      <c r="J121" s="224">
        <v>5.4180000000000001</v>
      </c>
      <c r="K121" s="224">
        <v>5.4850000000000003</v>
      </c>
      <c r="L121" s="224">
        <v>5.5460000000000003</v>
      </c>
      <c r="M121" s="224">
        <v>5.6020000000000003</v>
      </c>
      <c r="N121" s="224">
        <v>5.6520000000000001</v>
      </c>
      <c r="O121" s="224">
        <v>5.6989999999999998</v>
      </c>
      <c r="P121" s="421">
        <v>5.742</v>
      </c>
      <c r="Q121" s="421">
        <v>5.82</v>
      </c>
      <c r="R121" s="421">
        <v>5.8890000000000002</v>
      </c>
      <c r="S121" s="224">
        <v>6.0060000000000002</v>
      </c>
      <c r="T121" s="224">
        <v>6.1029999999999998</v>
      </c>
      <c r="U121" s="224">
        <v>6.1859999999999999</v>
      </c>
      <c r="V121" s="224">
        <v>6.258</v>
      </c>
      <c r="W121" s="174">
        <v>6.3220000000000001</v>
      </c>
    </row>
    <row r="122" spans="1:23" x14ac:dyDescent="0.25">
      <c r="A122" s="12"/>
    </row>
    <row r="123" spans="1:23" x14ac:dyDescent="0.25">
      <c r="A123" t="s">
        <v>31</v>
      </c>
      <c r="B123">
        <v>1E-3</v>
      </c>
    </row>
    <row r="124" spans="1:23" x14ac:dyDescent="0.25">
      <c r="B124" t="s">
        <v>751</v>
      </c>
    </row>
    <row r="125" spans="1:23" x14ac:dyDescent="0.25">
      <c r="A125" s="12" t="s">
        <v>51</v>
      </c>
      <c r="B125">
        <v>2</v>
      </c>
      <c r="C125">
        <f>B125+1</f>
        <v>3</v>
      </c>
      <c r="D125">
        <f t="shared" ref="D125:L125" si="4">C125+1</f>
        <v>4</v>
      </c>
      <c r="E125">
        <f t="shared" si="4"/>
        <v>5</v>
      </c>
      <c r="F125">
        <f t="shared" si="4"/>
        <v>6</v>
      </c>
      <c r="G125">
        <f t="shared" si="4"/>
        <v>7</v>
      </c>
      <c r="H125">
        <f t="shared" si="4"/>
        <v>8</v>
      </c>
      <c r="I125">
        <f t="shared" si="4"/>
        <v>9</v>
      </c>
      <c r="J125">
        <f t="shared" si="4"/>
        <v>10</v>
      </c>
      <c r="K125">
        <f t="shared" si="4"/>
        <v>11</v>
      </c>
      <c r="L125">
        <f t="shared" si="4"/>
        <v>12</v>
      </c>
      <c r="M125">
        <v>13</v>
      </c>
      <c r="N125">
        <f>M125+1</f>
        <v>14</v>
      </c>
      <c r="O125">
        <f>N125+1</f>
        <v>15</v>
      </c>
      <c r="P125">
        <f>O125+1</f>
        <v>16</v>
      </c>
      <c r="Q125">
        <f>P125+2</f>
        <v>18</v>
      </c>
      <c r="R125">
        <f>Q125+2</f>
        <v>20</v>
      </c>
      <c r="S125">
        <f>R125+4</f>
        <v>24</v>
      </c>
      <c r="T125">
        <f>S125+4</f>
        <v>28</v>
      </c>
      <c r="U125">
        <f>T125+4</f>
        <v>32</v>
      </c>
      <c r="V125">
        <f>U125+4</f>
        <v>36</v>
      </c>
      <c r="W125">
        <f>V125+4</f>
        <v>40</v>
      </c>
    </row>
    <row r="126" spans="1:23" x14ac:dyDescent="0.25">
      <c r="A126">
        <v>1</v>
      </c>
      <c r="B126" s="423">
        <v>900.3</v>
      </c>
      <c r="C126" s="252">
        <v>1351</v>
      </c>
      <c r="D126" s="252">
        <v>1643</v>
      </c>
      <c r="E126" s="252">
        <v>1856</v>
      </c>
      <c r="F126" s="252">
        <v>2022</v>
      </c>
      <c r="G126" s="252">
        <v>2158</v>
      </c>
      <c r="H126" s="252">
        <v>2272</v>
      </c>
      <c r="I126" s="252">
        <v>2370</v>
      </c>
      <c r="J126" s="252">
        <v>2455</v>
      </c>
      <c r="K126" s="252">
        <v>2532</v>
      </c>
      <c r="L126" s="252">
        <v>2600</v>
      </c>
      <c r="M126" s="252">
        <v>2662</v>
      </c>
      <c r="N126" s="252">
        <v>2718</v>
      </c>
      <c r="O126" s="252">
        <v>2770</v>
      </c>
      <c r="P126" s="252">
        <v>2818</v>
      </c>
      <c r="Q126" s="252">
        <v>2904</v>
      </c>
      <c r="R126" s="252">
        <v>2980</v>
      </c>
      <c r="S126" s="252">
        <v>3108</v>
      </c>
      <c r="T126" s="252">
        <v>3213</v>
      </c>
      <c r="U126" s="252">
        <v>3303</v>
      </c>
      <c r="V126" s="252">
        <v>3380</v>
      </c>
      <c r="W126" s="196">
        <v>3448</v>
      </c>
    </row>
    <row r="127" spans="1:23" x14ac:dyDescent="0.25">
      <c r="A127">
        <v>2</v>
      </c>
      <c r="B127" s="180">
        <v>44.69</v>
      </c>
      <c r="C127" s="7">
        <v>60.42</v>
      </c>
      <c r="D127" s="7">
        <v>70.77</v>
      </c>
      <c r="E127" s="7">
        <v>78.430000000000007</v>
      </c>
      <c r="F127" s="7">
        <v>84.49</v>
      </c>
      <c r="G127" s="7">
        <v>89.46</v>
      </c>
      <c r="H127" s="7">
        <v>93.67</v>
      </c>
      <c r="I127" s="424">
        <v>97.3</v>
      </c>
      <c r="J127" s="7">
        <v>100.5</v>
      </c>
      <c r="K127" s="7">
        <v>103.3</v>
      </c>
      <c r="L127" s="7">
        <v>105.9</v>
      </c>
      <c r="M127" s="7">
        <v>108.2</v>
      </c>
      <c r="N127" s="7">
        <v>110.4</v>
      </c>
      <c r="O127" s="7">
        <v>112.3</v>
      </c>
      <c r="P127" s="7">
        <v>114.2</v>
      </c>
      <c r="Q127" s="7">
        <v>117.4</v>
      </c>
      <c r="R127" s="7">
        <v>120.3</v>
      </c>
      <c r="S127" s="7">
        <v>125.2</v>
      </c>
      <c r="T127" s="7">
        <v>129.30000000000001</v>
      </c>
      <c r="U127" s="7">
        <v>132.69999999999999</v>
      </c>
      <c r="V127" s="7">
        <v>135.69999999999999</v>
      </c>
      <c r="W127" s="181">
        <v>138.30000000000001</v>
      </c>
    </row>
    <row r="128" spans="1:23" x14ac:dyDescent="0.25">
      <c r="A128">
        <v>3</v>
      </c>
      <c r="B128" s="180">
        <v>18.28</v>
      </c>
      <c r="C128" s="7">
        <v>23.32</v>
      </c>
      <c r="D128" s="7">
        <v>26.65</v>
      </c>
      <c r="E128" s="7">
        <v>29.13</v>
      </c>
      <c r="F128" s="7">
        <v>31.11</v>
      </c>
      <c r="G128" s="7">
        <v>32.74</v>
      </c>
      <c r="H128" s="7">
        <v>34.119999999999997</v>
      </c>
      <c r="I128" s="7">
        <v>35.33</v>
      </c>
      <c r="J128" s="7">
        <v>36.39</v>
      </c>
      <c r="K128" s="7">
        <v>37.340000000000003</v>
      </c>
      <c r="L128" s="424">
        <v>38.200000000000003</v>
      </c>
      <c r="M128" s="7">
        <v>38.979999999999997</v>
      </c>
      <c r="N128" s="7">
        <v>39.69</v>
      </c>
      <c r="O128" s="7">
        <v>40.35</v>
      </c>
      <c r="P128" s="7">
        <v>40.97</v>
      </c>
      <c r="Q128" s="7">
        <v>42.07</v>
      </c>
      <c r="R128" s="7">
        <v>43.05</v>
      </c>
      <c r="S128" s="7">
        <v>44.7</v>
      </c>
      <c r="T128" s="7">
        <v>46.07</v>
      </c>
      <c r="U128" s="7">
        <v>47.24</v>
      </c>
      <c r="V128" s="7">
        <v>48.26</v>
      </c>
      <c r="W128" s="181">
        <v>49.16</v>
      </c>
    </row>
    <row r="129" spans="1:23" x14ac:dyDescent="0.25">
      <c r="A129">
        <v>4</v>
      </c>
      <c r="B129" s="430">
        <v>12.18</v>
      </c>
      <c r="C129" s="424">
        <v>14.99</v>
      </c>
      <c r="D129" s="424">
        <v>16.84</v>
      </c>
      <c r="E129" s="424">
        <v>18.23</v>
      </c>
      <c r="F129" s="424">
        <v>19.34</v>
      </c>
      <c r="G129" s="424">
        <v>20.260000000000002</v>
      </c>
      <c r="H129" s="424">
        <v>21.04</v>
      </c>
      <c r="I129" s="424">
        <v>21.73</v>
      </c>
      <c r="J129" s="424">
        <v>22.33</v>
      </c>
      <c r="K129" s="424">
        <v>22.87</v>
      </c>
      <c r="L129" s="424">
        <v>23.36</v>
      </c>
      <c r="M129" s="424">
        <v>23.81</v>
      </c>
      <c r="N129" s="424">
        <v>24.21</v>
      </c>
      <c r="O129" s="424">
        <v>24.59</v>
      </c>
      <c r="P129" s="424">
        <v>24.94</v>
      </c>
      <c r="Q129" s="424">
        <v>25.58</v>
      </c>
      <c r="R129" s="424">
        <v>26.14</v>
      </c>
      <c r="S129" s="424">
        <v>27.1</v>
      </c>
      <c r="T129" s="424">
        <v>27.89</v>
      </c>
      <c r="U129" s="424">
        <v>28.57</v>
      </c>
      <c r="V129" s="424">
        <v>29.16</v>
      </c>
      <c r="W129" s="425">
        <v>29.68</v>
      </c>
    </row>
    <row r="130" spans="1:23" x14ac:dyDescent="0.25">
      <c r="A130">
        <v>5</v>
      </c>
      <c r="B130" s="417">
        <v>9.7140000000000004</v>
      </c>
      <c r="C130" s="424">
        <v>11.67</v>
      </c>
      <c r="D130" s="424">
        <v>12.96</v>
      </c>
      <c r="E130" s="424">
        <v>13.93</v>
      </c>
      <c r="F130" s="424">
        <v>14.71</v>
      </c>
      <c r="G130" s="424">
        <v>15.35</v>
      </c>
      <c r="H130" s="424">
        <v>15.9</v>
      </c>
      <c r="I130" s="424">
        <v>16.38</v>
      </c>
      <c r="J130" s="424">
        <v>16.809999999999999</v>
      </c>
      <c r="K130" s="424">
        <v>17.18</v>
      </c>
      <c r="L130" s="424">
        <v>17.53</v>
      </c>
      <c r="M130" s="424">
        <v>17.850000000000001</v>
      </c>
      <c r="N130" s="424">
        <v>18.13</v>
      </c>
      <c r="O130" s="424">
        <v>18.41</v>
      </c>
      <c r="P130" s="424">
        <v>18.66</v>
      </c>
      <c r="Q130" s="424">
        <v>19.100000000000001</v>
      </c>
      <c r="R130" s="424">
        <v>19.510000000000002</v>
      </c>
      <c r="S130" s="424">
        <v>20.190000000000001</v>
      </c>
      <c r="T130" s="424">
        <v>20.75</v>
      </c>
      <c r="U130" s="424">
        <v>21.24</v>
      </c>
      <c r="V130" s="424">
        <v>21.66</v>
      </c>
      <c r="W130" s="425">
        <v>22.03</v>
      </c>
    </row>
    <row r="131" spans="1:23" x14ac:dyDescent="0.25">
      <c r="A131">
        <v>6</v>
      </c>
      <c r="B131" s="417">
        <v>8.4269999999999996</v>
      </c>
      <c r="C131" s="424">
        <v>9.9600000000000009</v>
      </c>
      <c r="D131" s="424">
        <v>10.97</v>
      </c>
      <c r="E131" s="424">
        <v>11.72</v>
      </c>
      <c r="F131" s="424">
        <v>12.32</v>
      </c>
      <c r="G131" s="424">
        <v>12.83</v>
      </c>
      <c r="H131" s="424">
        <v>13.26</v>
      </c>
      <c r="I131" s="424">
        <v>13.63</v>
      </c>
      <c r="J131" s="424">
        <v>13.97</v>
      </c>
      <c r="K131" s="424">
        <v>14.27</v>
      </c>
      <c r="L131" s="424">
        <v>14.54</v>
      </c>
      <c r="M131" s="424">
        <v>14.79</v>
      </c>
      <c r="N131" s="424">
        <v>15.01</v>
      </c>
      <c r="O131" s="424">
        <v>15.22</v>
      </c>
      <c r="P131" s="424">
        <v>15.42</v>
      </c>
      <c r="Q131" s="424">
        <v>15.78</v>
      </c>
      <c r="R131" s="424">
        <v>16.09</v>
      </c>
      <c r="S131" s="424">
        <v>16.64</v>
      </c>
      <c r="T131" s="424">
        <v>17.079999999999998</v>
      </c>
      <c r="U131" s="424">
        <v>17.47</v>
      </c>
      <c r="V131" s="424">
        <v>17.809999999999999</v>
      </c>
      <c r="W131" s="425">
        <v>18.100000000000001</v>
      </c>
    </row>
    <row r="132" spans="1:23" x14ac:dyDescent="0.25">
      <c r="A132">
        <v>7</v>
      </c>
      <c r="B132" s="417">
        <v>7.6479999999999997</v>
      </c>
      <c r="C132" s="418">
        <v>8.93</v>
      </c>
      <c r="D132" s="418">
        <v>9.7680000000000007</v>
      </c>
      <c r="E132" s="424">
        <v>10.4</v>
      </c>
      <c r="F132" s="424">
        <v>10.9</v>
      </c>
      <c r="G132" s="7">
        <v>11.32</v>
      </c>
      <c r="H132" s="7">
        <v>11.68</v>
      </c>
      <c r="I132" s="7">
        <v>11.99</v>
      </c>
      <c r="J132" s="7">
        <v>12.27</v>
      </c>
      <c r="K132" s="7">
        <v>12.52</v>
      </c>
      <c r="L132" s="7">
        <v>12.74</v>
      </c>
      <c r="M132" s="7">
        <v>12.95</v>
      </c>
      <c r="N132" s="7">
        <v>13.14</v>
      </c>
      <c r="O132" s="7">
        <v>13.32</v>
      </c>
      <c r="P132" s="7">
        <v>13.48</v>
      </c>
      <c r="Q132" s="7">
        <v>13.78</v>
      </c>
      <c r="R132" s="7">
        <v>14.04</v>
      </c>
      <c r="S132" s="424">
        <v>14.5</v>
      </c>
      <c r="T132" s="7">
        <v>14.88</v>
      </c>
      <c r="U132" s="424">
        <v>15.2</v>
      </c>
      <c r="V132" s="7">
        <v>15.49</v>
      </c>
      <c r="W132" s="181">
        <v>15.74</v>
      </c>
    </row>
    <row r="133" spans="1:23" x14ac:dyDescent="0.25">
      <c r="A133">
        <v>8</v>
      </c>
      <c r="B133" s="417">
        <v>7.13</v>
      </c>
      <c r="C133" s="418">
        <v>8.25</v>
      </c>
      <c r="D133" s="418">
        <v>8.9779999999999998</v>
      </c>
      <c r="E133" s="7">
        <v>9.5220000000000002</v>
      </c>
      <c r="F133" s="7">
        <v>9.9580000000000002</v>
      </c>
      <c r="G133" s="7">
        <v>10.32</v>
      </c>
      <c r="H133" s="7">
        <v>10.64</v>
      </c>
      <c r="I133" s="7">
        <v>10.91</v>
      </c>
      <c r="J133" s="7">
        <v>11.15</v>
      </c>
      <c r="K133" s="7">
        <v>11.36</v>
      </c>
      <c r="L133" s="7">
        <v>11.56</v>
      </c>
      <c r="M133" s="7">
        <v>11.74</v>
      </c>
      <c r="N133" s="7">
        <v>11.91</v>
      </c>
      <c r="O133" s="7">
        <v>12.06</v>
      </c>
      <c r="P133" s="7">
        <v>12.21</v>
      </c>
      <c r="Q133" s="7">
        <v>12.47</v>
      </c>
      <c r="R133" s="424">
        <v>12.7</v>
      </c>
      <c r="S133" s="7">
        <v>13.09</v>
      </c>
      <c r="T133" s="7">
        <v>13.42</v>
      </c>
      <c r="U133" s="7">
        <v>13.71</v>
      </c>
      <c r="V133" s="7">
        <v>13.96</v>
      </c>
      <c r="W133" s="181">
        <v>14.18</v>
      </c>
    </row>
    <row r="134" spans="1:23" x14ac:dyDescent="0.25">
      <c r="A134">
        <v>9</v>
      </c>
      <c r="B134" s="417">
        <v>6.7619999999999996</v>
      </c>
      <c r="C134" s="7">
        <v>7.7679999999999998</v>
      </c>
      <c r="D134" s="7">
        <v>8.4190000000000005</v>
      </c>
      <c r="E134" s="7">
        <v>8.9060000000000006</v>
      </c>
      <c r="F134" s="7">
        <v>9.2949999999999999</v>
      </c>
      <c r="G134" s="7">
        <v>9.6189999999999998</v>
      </c>
      <c r="H134" s="7">
        <v>9.8970000000000002</v>
      </c>
      <c r="I134" s="7">
        <v>10.14</v>
      </c>
      <c r="J134" s="7">
        <v>10.36</v>
      </c>
      <c r="K134" s="7">
        <v>10.55</v>
      </c>
      <c r="L134" s="7">
        <v>10.73</v>
      </c>
      <c r="M134" s="7">
        <v>10.89</v>
      </c>
      <c r="N134" s="7">
        <v>11.03</v>
      </c>
      <c r="O134" s="7">
        <v>11.18</v>
      </c>
      <c r="P134" s="424">
        <v>11.3</v>
      </c>
      <c r="Q134" s="7">
        <v>11.54</v>
      </c>
      <c r="R134" s="7">
        <v>11.75</v>
      </c>
      <c r="S134" s="424">
        <v>12.1</v>
      </c>
      <c r="T134" s="7">
        <v>12.39</v>
      </c>
      <c r="U134" s="7">
        <v>12.65</v>
      </c>
      <c r="V134" s="7">
        <v>12.87</v>
      </c>
      <c r="W134" s="181">
        <v>13.07</v>
      </c>
    </row>
    <row r="135" spans="1:23" x14ac:dyDescent="0.25">
      <c r="A135">
        <v>10</v>
      </c>
      <c r="B135" s="417">
        <v>6.4870000000000001</v>
      </c>
      <c r="C135" s="7">
        <v>7.4109999999999996</v>
      </c>
      <c r="D135" s="7">
        <v>8.0060000000000002</v>
      </c>
      <c r="E135" s="418">
        <v>8.4499999999999993</v>
      </c>
      <c r="F135" s="7">
        <v>8.8040000000000003</v>
      </c>
      <c r="G135" s="7">
        <v>9.0990000000000002</v>
      </c>
      <c r="H135" s="7">
        <v>9.3520000000000003</v>
      </c>
      <c r="I135" s="7">
        <v>9.5730000000000004</v>
      </c>
      <c r="J135" s="7">
        <v>9.7690000000000001</v>
      </c>
      <c r="K135" s="7">
        <v>9.9459999999999997</v>
      </c>
      <c r="L135" s="7">
        <v>10.11</v>
      </c>
      <c r="M135" s="7">
        <v>10.25</v>
      </c>
      <c r="N135" s="7">
        <v>10.39</v>
      </c>
      <c r="O135" s="7">
        <v>10.52</v>
      </c>
      <c r="P135" s="7">
        <v>10.64</v>
      </c>
      <c r="Q135" s="7">
        <v>10.85</v>
      </c>
      <c r="R135" s="7">
        <v>11.03</v>
      </c>
      <c r="S135" s="7">
        <v>11.36</v>
      </c>
      <c r="T135" s="7">
        <v>11.63</v>
      </c>
      <c r="U135" s="7">
        <v>11.87</v>
      </c>
      <c r="V135" s="7">
        <v>12.07</v>
      </c>
      <c r="W135" s="181">
        <v>12.25</v>
      </c>
    </row>
    <row r="136" spans="1:23" x14ac:dyDescent="0.25">
      <c r="A136">
        <v>11</v>
      </c>
      <c r="B136" s="417">
        <v>6.2750000000000004</v>
      </c>
      <c r="C136" s="7">
        <v>7.1360000000000001</v>
      </c>
      <c r="D136" s="7">
        <v>7.6870000000000003</v>
      </c>
      <c r="E136" s="7">
        <v>8.0980000000000008</v>
      </c>
      <c r="F136" s="7">
        <v>8.4260000000000002</v>
      </c>
      <c r="G136" s="7">
        <v>8.6989999999999998</v>
      </c>
      <c r="H136" s="7">
        <v>8.9329999999999998</v>
      </c>
      <c r="I136" s="7">
        <v>9.1379999999999999</v>
      </c>
      <c r="J136" s="7">
        <v>9.3190000000000008</v>
      </c>
      <c r="K136" s="7">
        <v>9.4819999999999993</v>
      </c>
      <c r="L136" s="7">
        <v>9.6300000000000008</v>
      </c>
      <c r="M136" s="7">
        <v>9.766</v>
      </c>
      <c r="N136" s="7">
        <v>9.8919999999999995</v>
      </c>
      <c r="O136" s="7">
        <v>10.01</v>
      </c>
      <c r="P136" s="7">
        <v>10.119999999999999</v>
      </c>
      <c r="Q136" s="7">
        <v>10.31</v>
      </c>
      <c r="R136" s="7">
        <v>10.49</v>
      </c>
      <c r="S136" s="7">
        <v>10.79</v>
      </c>
      <c r="T136" s="7">
        <v>11.04</v>
      </c>
      <c r="U136" s="7">
        <v>11.26</v>
      </c>
      <c r="V136" s="7">
        <v>11.45</v>
      </c>
      <c r="W136" s="181">
        <v>11.62</v>
      </c>
    </row>
    <row r="137" spans="1:23" x14ac:dyDescent="0.25">
      <c r="A137">
        <v>12</v>
      </c>
      <c r="B137" s="417">
        <v>6.1059999999999999</v>
      </c>
      <c r="C137" s="7">
        <v>6.9169999999999998</v>
      </c>
      <c r="D137" s="7">
        <v>7.4359999999999999</v>
      </c>
      <c r="E137" s="7">
        <v>7.8209999999999997</v>
      </c>
      <c r="F137" s="7">
        <v>8.1270000000000007</v>
      </c>
      <c r="G137" s="7">
        <v>8.3829999999999991</v>
      </c>
      <c r="H137" s="7">
        <v>8.6010000000000009</v>
      </c>
      <c r="I137" s="7">
        <v>8.7929999999999993</v>
      </c>
      <c r="J137" s="7">
        <v>8.9619999999999997</v>
      </c>
      <c r="K137" s="7">
        <v>9.1150000000000002</v>
      </c>
      <c r="L137" s="7">
        <v>9.2539999999999996</v>
      </c>
      <c r="M137" s="7">
        <v>9.3810000000000002</v>
      </c>
      <c r="N137" s="7">
        <v>9.4979999999999993</v>
      </c>
      <c r="O137" s="7">
        <v>9.6059999999999999</v>
      </c>
      <c r="P137" s="7">
        <v>9.7070000000000007</v>
      </c>
      <c r="Q137" s="7">
        <v>9.891</v>
      </c>
      <c r="R137" s="7">
        <v>10.06</v>
      </c>
      <c r="S137" s="7">
        <v>10.34</v>
      </c>
      <c r="T137" s="7">
        <v>10.57</v>
      </c>
      <c r="U137" s="7">
        <v>10.78</v>
      </c>
      <c r="V137" s="7">
        <v>10.96</v>
      </c>
      <c r="W137" s="181">
        <v>11.11</v>
      </c>
    </row>
    <row r="138" spans="1:23" x14ac:dyDescent="0.25">
      <c r="A138">
        <v>13</v>
      </c>
      <c r="B138" s="417">
        <v>5.97</v>
      </c>
      <c r="C138" s="418">
        <v>6.74</v>
      </c>
      <c r="D138" s="418">
        <v>7.2309999999999999</v>
      </c>
      <c r="E138" s="418">
        <v>7.5949999999999998</v>
      </c>
      <c r="F138" s="418">
        <v>7.8849999999999998</v>
      </c>
      <c r="G138" s="418">
        <v>8.1259999999999994</v>
      </c>
      <c r="H138" s="418">
        <v>8.3330000000000002</v>
      </c>
      <c r="I138" s="418">
        <v>8.5129999999999999</v>
      </c>
      <c r="J138" s="418">
        <v>8.673</v>
      </c>
      <c r="K138" s="418">
        <v>8.8170000000000002</v>
      </c>
      <c r="L138" s="418">
        <v>8.9480000000000004</v>
      </c>
      <c r="M138" s="418">
        <v>9.0679999999999996</v>
      </c>
      <c r="N138" s="418">
        <v>9.1780000000000008</v>
      </c>
      <c r="O138" s="418">
        <v>9.2810000000000006</v>
      </c>
      <c r="P138" s="418">
        <v>9.3759999999999994</v>
      </c>
      <c r="Q138" s="418">
        <v>9.5500000000000007</v>
      </c>
      <c r="R138" s="418">
        <v>9.7040000000000006</v>
      </c>
      <c r="S138" s="418">
        <v>9.9689999999999994</v>
      </c>
      <c r="T138" s="424">
        <v>10.19</v>
      </c>
      <c r="U138" s="424">
        <v>10.39</v>
      </c>
      <c r="V138" s="424">
        <v>10.55</v>
      </c>
      <c r="W138" s="425">
        <v>10.7</v>
      </c>
    </row>
    <row r="139" spans="1:23" x14ac:dyDescent="0.25">
      <c r="A139">
        <v>14</v>
      </c>
      <c r="B139" s="417">
        <v>5.8559999999999999</v>
      </c>
      <c r="C139" s="418">
        <v>6.5940000000000003</v>
      </c>
      <c r="D139" s="418">
        <v>7.0620000000000003</v>
      </c>
      <c r="E139" s="418">
        <v>7.4089999999999998</v>
      </c>
      <c r="F139" s="418">
        <v>7.6849999999999996</v>
      </c>
      <c r="G139" s="418">
        <v>7.915</v>
      </c>
      <c r="H139" s="418">
        <v>8.11</v>
      </c>
      <c r="I139" s="418">
        <v>8.282</v>
      </c>
      <c r="J139" s="418">
        <v>8.4339999999999993</v>
      </c>
      <c r="K139" s="418">
        <v>8.5709999999999997</v>
      </c>
      <c r="L139" s="418">
        <v>8.6959999999999997</v>
      </c>
      <c r="M139" s="418">
        <v>8.8089999999999993</v>
      </c>
      <c r="N139" s="418">
        <v>8.9139999999999997</v>
      </c>
      <c r="O139" s="418">
        <v>9.0120000000000005</v>
      </c>
      <c r="P139" s="418">
        <v>9.1029999999999998</v>
      </c>
      <c r="Q139" s="418">
        <v>9.2669999999999995</v>
      </c>
      <c r="R139" s="418">
        <v>9.4139999999999997</v>
      </c>
      <c r="S139" s="418">
        <v>9.6660000000000004</v>
      </c>
      <c r="T139" s="418">
        <v>9.8780000000000001</v>
      </c>
      <c r="U139" s="424">
        <v>10.06</v>
      </c>
      <c r="V139" s="424">
        <v>10.220000000000001</v>
      </c>
      <c r="W139" s="425">
        <v>10.37</v>
      </c>
    </row>
    <row r="140" spans="1:23" x14ac:dyDescent="0.25">
      <c r="A140">
        <v>15</v>
      </c>
      <c r="B140" s="417">
        <v>5.76</v>
      </c>
      <c r="C140" s="418">
        <v>6.47</v>
      </c>
      <c r="D140" s="418">
        <v>6.92</v>
      </c>
      <c r="E140" s="418">
        <v>7.2519999999999998</v>
      </c>
      <c r="F140" s="418">
        <v>7.5170000000000003</v>
      </c>
      <c r="G140" s="418">
        <v>7.7359999999999998</v>
      </c>
      <c r="H140" s="418">
        <v>7.9249999999999998</v>
      </c>
      <c r="I140" s="418">
        <v>8.0879999999999992</v>
      </c>
      <c r="J140" s="418">
        <v>8.234</v>
      </c>
      <c r="K140" s="418">
        <v>8.3650000000000002</v>
      </c>
      <c r="L140" s="418">
        <v>8.4830000000000005</v>
      </c>
      <c r="M140" s="418">
        <v>8.5920000000000005</v>
      </c>
      <c r="N140" s="418">
        <v>8.6929999999999996</v>
      </c>
      <c r="O140" s="418">
        <v>8.7859999999999996</v>
      </c>
      <c r="P140" s="418">
        <v>8.8719999999999999</v>
      </c>
      <c r="Q140" s="418">
        <v>9.0299999999999994</v>
      </c>
      <c r="R140" s="418">
        <v>9.17</v>
      </c>
      <c r="S140" s="418">
        <v>9.4109999999999996</v>
      </c>
      <c r="T140" s="418">
        <v>9.6129999999999995</v>
      </c>
      <c r="U140" s="418">
        <v>9.7880000000000003</v>
      </c>
      <c r="V140" s="424">
        <v>9.94</v>
      </c>
      <c r="W140" s="425">
        <v>10.08</v>
      </c>
    </row>
    <row r="141" spans="1:23" x14ac:dyDescent="0.25">
      <c r="A141">
        <v>16</v>
      </c>
      <c r="B141" s="417">
        <v>5.6779999999999999</v>
      </c>
      <c r="C141" s="418">
        <v>6.3650000000000002</v>
      </c>
      <c r="D141" s="418">
        <v>6.7990000000000004</v>
      </c>
      <c r="E141" s="418">
        <v>7.1189999999999998</v>
      </c>
      <c r="F141" s="418">
        <v>7.3739999999999997</v>
      </c>
      <c r="G141" s="418">
        <v>7.585</v>
      </c>
      <c r="H141" s="418">
        <v>7.766</v>
      </c>
      <c r="I141" s="418">
        <v>7.923</v>
      </c>
      <c r="J141" s="418">
        <v>8.0630000000000006</v>
      </c>
      <c r="K141" s="418">
        <v>8.1890000000000001</v>
      </c>
      <c r="L141" s="418">
        <v>8.3030000000000008</v>
      </c>
      <c r="M141" s="418">
        <v>8.407</v>
      </c>
      <c r="N141" s="418">
        <v>8.5039999999999996</v>
      </c>
      <c r="O141" s="418">
        <v>8.593</v>
      </c>
      <c r="P141" s="418">
        <v>8.6760000000000002</v>
      </c>
      <c r="Q141" s="418">
        <v>8.8279999999999994</v>
      </c>
      <c r="R141" s="418">
        <v>8.9629999999999992</v>
      </c>
      <c r="S141" s="418">
        <v>9.1940000000000008</v>
      </c>
      <c r="T141" s="418">
        <v>9.3879999999999999</v>
      </c>
      <c r="U141" s="418">
        <v>9.5559999999999992</v>
      </c>
      <c r="V141" s="418">
        <v>9.702</v>
      </c>
      <c r="W141" s="419">
        <v>9.8330000000000002</v>
      </c>
    </row>
    <row r="142" spans="1:23" x14ac:dyDescent="0.25">
      <c r="A142">
        <v>17</v>
      </c>
      <c r="B142" s="417">
        <v>5.6079999999999997</v>
      </c>
      <c r="C142" s="418">
        <v>6.2750000000000004</v>
      </c>
      <c r="D142" s="418">
        <v>6.6950000000000003</v>
      </c>
      <c r="E142" s="418">
        <v>7.0049999999999999</v>
      </c>
      <c r="F142" s="418">
        <v>7.25</v>
      </c>
      <c r="G142" s="418">
        <v>7.4539999999999997</v>
      </c>
      <c r="H142" s="418">
        <v>7.6289999999999996</v>
      </c>
      <c r="I142" s="418">
        <v>7.7809999999999997</v>
      </c>
      <c r="J142" s="418">
        <v>7.9160000000000004</v>
      </c>
      <c r="K142" s="418">
        <v>8.0370000000000008</v>
      </c>
      <c r="L142" s="418">
        <v>8.1479999999999997</v>
      </c>
      <c r="M142" s="418">
        <v>8.2479999999999993</v>
      </c>
      <c r="N142" s="418">
        <v>8.3420000000000005</v>
      </c>
      <c r="O142" s="418">
        <v>8.4269999999999996</v>
      </c>
      <c r="P142" s="418">
        <v>8.5079999999999991</v>
      </c>
      <c r="Q142" s="418">
        <v>8.6539999999999999</v>
      </c>
      <c r="R142" s="418">
        <v>8.7840000000000007</v>
      </c>
      <c r="S142" s="418">
        <v>9.0069999999999997</v>
      </c>
      <c r="T142" s="418">
        <v>9.1940000000000008</v>
      </c>
      <c r="U142" s="418">
        <v>9.3550000000000004</v>
      </c>
      <c r="V142" s="418">
        <v>9.4969999999999999</v>
      </c>
      <c r="W142" s="419">
        <v>9.6229999999999993</v>
      </c>
    </row>
    <row r="143" spans="1:23" x14ac:dyDescent="0.25">
      <c r="A143">
        <v>18</v>
      </c>
      <c r="B143" s="417">
        <v>5.5460000000000003</v>
      </c>
      <c r="C143" s="418">
        <v>6.1959999999999997</v>
      </c>
      <c r="D143" s="418">
        <v>6.6040000000000001</v>
      </c>
      <c r="E143" s="418">
        <v>6.9050000000000002</v>
      </c>
      <c r="F143" s="418">
        <v>7.1429999999999998</v>
      </c>
      <c r="G143" s="418">
        <v>7.3410000000000002</v>
      </c>
      <c r="H143" s="418">
        <v>7.51</v>
      </c>
      <c r="I143" s="418">
        <v>7.657</v>
      </c>
      <c r="J143" s="418">
        <v>7.7880000000000003</v>
      </c>
      <c r="K143" s="418">
        <v>7.9059999999999997</v>
      </c>
      <c r="L143" s="418">
        <v>8.0120000000000005</v>
      </c>
      <c r="M143" s="418">
        <v>8.11</v>
      </c>
      <c r="N143" s="418">
        <v>8.1989999999999998</v>
      </c>
      <c r="O143" s="418">
        <v>8.2829999999999995</v>
      </c>
      <c r="P143" s="418">
        <v>8.3610000000000007</v>
      </c>
      <c r="Q143" s="418">
        <v>8.5020000000000007</v>
      </c>
      <c r="R143" s="418">
        <v>8.6280000000000001</v>
      </c>
      <c r="S143" s="418">
        <v>8.8439999999999994</v>
      </c>
      <c r="T143" s="418">
        <v>9.0250000000000004</v>
      </c>
      <c r="U143" s="418">
        <v>9.1809999999999992</v>
      </c>
      <c r="V143" s="418">
        <v>9.3179999999999996</v>
      </c>
      <c r="W143" s="419">
        <v>9.44</v>
      </c>
    </row>
    <row r="144" spans="1:23" x14ac:dyDescent="0.25">
      <c r="A144">
        <v>19</v>
      </c>
      <c r="B144" s="417">
        <v>5.492</v>
      </c>
      <c r="C144" s="418">
        <v>6.1269999999999998</v>
      </c>
      <c r="D144" s="418">
        <v>6.5250000000000004</v>
      </c>
      <c r="E144" s="418">
        <v>6.8170000000000002</v>
      </c>
      <c r="F144" s="418">
        <v>7.0490000000000004</v>
      </c>
      <c r="G144" s="418">
        <v>7.242</v>
      </c>
      <c r="H144" s="418">
        <v>7.4050000000000002</v>
      </c>
      <c r="I144" s="418">
        <v>7.5490000000000004</v>
      </c>
      <c r="J144" s="418">
        <v>7.6760000000000002</v>
      </c>
      <c r="K144" s="418">
        <v>7.79</v>
      </c>
      <c r="L144" s="418">
        <v>7.8929999999999998</v>
      </c>
      <c r="M144" s="418">
        <v>7.9880000000000004</v>
      </c>
      <c r="N144" s="418">
        <v>8.0749999999999993</v>
      </c>
      <c r="O144" s="418">
        <v>8.1560000000000006</v>
      </c>
      <c r="P144" s="418">
        <v>8.2319999999999993</v>
      </c>
      <c r="Q144" s="418">
        <v>8.3689999999999998</v>
      </c>
      <c r="R144" s="418">
        <v>8.4909999999999997</v>
      </c>
      <c r="S144" s="418">
        <v>8.7010000000000005</v>
      </c>
      <c r="T144" s="418">
        <v>8.8759999999999994</v>
      </c>
      <c r="U144" s="418">
        <v>9.0280000000000005</v>
      </c>
      <c r="V144" s="418">
        <v>9.1609999999999996</v>
      </c>
      <c r="W144" s="419">
        <v>9.2789999999999999</v>
      </c>
    </row>
    <row r="145" spans="1:23" x14ac:dyDescent="0.25">
      <c r="A145">
        <v>20</v>
      </c>
      <c r="B145" s="417">
        <v>5.444</v>
      </c>
      <c r="C145" s="418">
        <v>6.0650000000000004</v>
      </c>
      <c r="D145" s="418">
        <v>6.4539999999999997</v>
      </c>
      <c r="E145" s="418">
        <v>6.74</v>
      </c>
      <c r="F145" s="418">
        <v>6.9660000000000002</v>
      </c>
      <c r="G145" s="418">
        <v>7.1539999999999999</v>
      </c>
      <c r="H145" s="418">
        <v>7.3129999999999997</v>
      </c>
      <c r="I145" s="418">
        <v>7.4530000000000003</v>
      </c>
      <c r="J145" s="418">
        <v>7.577</v>
      </c>
      <c r="K145" s="418">
        <v>7.6879999999999997</v>
      </c>
      <c r="L145" s="418">
        <v>7.7880000000000003</v>
      </c>
      <c r="M145" s="418">
        <v>7.88</v>
      </c>
      <c r="N145" s="418">
        <v>7.9660000000000002</v>
      </c>
      <c r="O145" s="418">
        <v>8.0440000000000005</v>
      </c>
      <c r="P145" s="418">
        <v>8.1180000000000003</v>
      </c>
      <c r="Q145" s="418">
        <v>8.2509999999999994</v>
      </c>
      <c r="R145" s="418">
        <v>8.3699999999999992</v>
      </c>
      <c r="S145" s="418">
        <v>8.5739999999999998</v>
      </c>
      <c r="T145" s="418">
        <v>8.7449999999999992</v>
      </c>
      <c r="U145" s="418">
        <v>8.8919999999999995</v>
      </c>
      <c r="V145" s="418">
        <v>9.0210000000000008</v>
      </c>
      <c r="W145" s="419">
        <v>9.1370000000000005</v>
      </c>
    </row>
    <row r="146" spans="1:23" x14ac:dyDescent="0.25">
      <c r="A146">
        <v>24</v>
      </c>
      <c r="B146" s="417">
        <v>5.2969999999999997</v>
      </c>
      <c r="C146" s="418">
        <v>5.8769999999999998</v>
      </c>
      <c r="D146" s="418">
        <v>6.2380000000000004</v>
      </c>
      <c r="E146" s="418">
        <v>6.5030000000000001</v>
      </c>
      <c r="F146" s="418">
        <v>6.7119999999999997</v>
      </c>
      <c r="G146" s="418">
        <v>6.8840000000000003</v>
      </c>
      <c r="H146" s="418">
        <v>7.0309999999999997</v>
      </c>
      <c r="I146" s="418">
        <v>7.1589999999999998</v>
      </c>
      <c r="J146" s="418">
        <v>7.2720000000000002</v>
      </c>
      <c r="K146" s="418">
        <v>7.3739999999999997</v>
      </c>
      <c r="L146" s="418">
        <v>7.4669999999999996</v>
      </c>
      <c r="M146" s="418">
        <v>7.5510000000000002</v>
      </c>
      <c r="N146" s="418">
        <v>7.6289999999999996</v>
      </c>
      <c r="O146" s="418">
        <v>7.7009999999999996</v>
      </c>
      <c r="P146" s="418">
        <v>7.7679999999999998</v>
      </c>
      <c r="Q146" s="418">
        <v>7.89</v>
      </c>
      <c r="R146" s="418">
        <v>7.9989999999999997</v>
      </c>
      <c r="S146" s="418">
        <v>8.1850000000000005</v>
      </c>
      <c r="T146" s="418">
        <v>8.3420000000000005</v>
      </c>
      <c r="U146" s="418">
        <v>8.4760000000000009</v>
      </c>
      <c r="V146" s="418">
        <v>8.5939999999999994</v>
      </c>
      <c r="W146" s="419">
        <v>8.6999999999999993</v>
      </c>
    </row>
    <row r="147" spans="1:23" x14ac:dyDescent="0.25">
      <c r="A147">
        <v>30</v>
      </c>
      <c r="B147" s="417">
        <v>5.1559999999999997</v>
      </c>
      <c r="C147" s="418">
        <v>5.6980000000000004</v>
      </c>
      <c r="D147" s="418">
        <v>6.0330000000000004</v>
      </c>
      <c r="E147" s="418">
        <v>6.2779999999999996</v>
      </c>
      <c r="F147" s="418">
        <v>6.47</v>
      </c>
      <c r="G147" s="418">
        <v>6.6280000000000001</v>
      </c>
      <c r="H147" s="418">
        <v>6.7629999999999999</v>
      </c>
      <c r="I147" s="418">
        <v>6.88</v>
      </c>
      <c r="J147" s="418">
        <v>6.984</v>
      </c>
      <c r="K147" s="418">
        <v>7.077</v>
      </c>
      <c r="L147" s="418">
        <v>7.1619999999999999</v>
      </c>
      <c r="M147" s="418">
        <v>7.3289999999999997</v>
      </c>
      <c r="N147" s="418">
        <v>7.31</v>
      </c>
      <c r="O147" s="418">
        <v>7.375</v>
      </c>
      <c r="P147" s="418">
        <v>7.4370000000000003</v>
      </c>
      <c r="Q147" s="418">
        <v>7.548</v>
      </c>
      <c r="R147" s="418">
        <v>7.6470000000000002</v>
      </c>
      <c r="S147" s="418">
        <v>7.8159999999999998</v>
      </c>
      <c r="T147" s="418">
        <v>7.9580000000000002</v>
      </c>
      <c r="U147" s="418">
        <v>8.08</v>
      </c>
      <c r="V147" s="418">
        <v>8.1880000000000006</v>
      </c>
      <c r="W147" s="419">
        <v>8.2829999999999995</v>
      </c>
    </row>
    <row r="148" spans="1:23" x14ac:dyDescent="0.25">
      <c r="A148">
        <v>40</v>
      </c>
      <c r="B148" s="417">
        <v>5.0220000000000002</v>
      </c>
      <c r="C148" s="418">
        <v>5.5279999999999996</v>
      </c>
      <c r="D148" s="418">
        <v>5.8380000000000001</v>
      </c>
      <c r="E148" s="418">
        <v>6.0629999999999997</v>
      </c>
      <c r="F148" s="418">
        <v>6.24</v>
      </c>
      <c r="G148" s="418">
        <v>6.3860000000000001</v>
      </c>
      <c r="H148" s="418">
        <v>6.5090000000000003</v>
      </c>
      <c r="I148" s="418">
        <v>6.6159999999999997</v>
      </c>
      <c r="J148" s="418">
        <v>6.7110000000000003</v>
      </c>
      <c r="K148" s="418">
        <v>6.7960000000000003</v>
      </c>
      <c r="L148" s="418">
        <v>6.8719999999999999</v>
      </c>
      <c r="M148" s="418">
        <v>6.9420000000000002</v>
      </c>
      <c r="N148" s="418">
        <v>7.0069999999999997</v>
      </c>
      <c r="O148" s="418">
        <v>7.0670000000000002</v>
      </c>
      <c r="P148" s="418">
        <v>7.1219999999999999</v>
      </c>
      <c r="Q148" s="418">
        <v>7.2229999999999999</v>
      </c>
      <c r="R148" s="418">
        <v>7.3120000000000003</v>
      </c>
      <c r="S148" s="418">
        <v>7.4660000000000002</v>
      </c>
      <c r="T148" s="418">
        <v>7.5940000000000003</v>
      </c>
      <c r="U148" s="418">
        <v>7.7039999999999997</v>
      </c>
      <c r="V148" s="418">
        <v>7.8010000000000002</v>
      </c>
      <c r="W148" s="419">
        <v>7.8869999999999996</v>
      </c>
    </row>
    <row r="149" spans="1:23" x14ac:dyDescent="0.25">
      <c r="A149">
        <v>60</v>
      </c>
      <c r="B149" s="417">
        <v>4.8940000000000001</v>
      </c>
      <c r="C149" s="418">
        <v>5.3650000000000002</v>
      </c>
      <c r="D149" s="418">
        <v>5.6529999999999996</v>
      </c>
      <c r="E149" s="418">
        <v>5.86</v>
      </c>
      <c r="F149" s="418">
        <v>6.0220000000000002</v>
      </c>
      <c r="G149" s="418">
        <v>6.1550000000000002</v>
      </c>
      <c r="H149" s="418">
        <v>6.2679999999999998</v>
      </c>
      <c r="I149" s="418">
        <v>6.3659999999999997</v>
      </c>
      <c r="J149" s="418">
        <v>6.4509999999999996</v>
      </c>
      <c r="K149" s="418">
        <v>6.5279999999999996</v>
      </c>
      <c r="L149" s="418">
        <v>6.5979999999999999</v>
      </c>
      <c r="M149" s="418">
        <v>6.6609999999999996</v>
      </c>
      <c r="N149" s="418">
        <v>6.72</v>
      </c>
      <c r="O149" s="418">
        <v>6.774</v>
      </c>
      <c r="P149" s="418">
        <v>6.8239999999999998</v>
      </c>
      <c r="Q149" s="418">
        <v>6.9139999999999997</v>
      </c>
      <c r="R149" s="418">
        <v>6.9950000000000001</v>
      </c>
      <c r="S149" s="418">
        <v>7.133</v>
      </c>
      <c r="T149" s="418">
        <v>7.2480000000000002</v>
      </c>
      <c r="U149" s="418">
        <v>7.3470000000000004</v>
      </c>
      <c r="V149" s="418">
        <v>7.4329999999999998</v>
      </c>
      <c r="W149" s="419">
        <v>7.51</v>
      </c>
    </row>
    <row r="150" spans="1:23" x14ac:dyDescent="0.25">
      <c r="A150">
        <v>120</v>
      </c>
      <c r="B150" s="417">
        <v>4.7709999999999999</v>
      </c>
      <c r="C150" s="418">
        <v>5.2110000000000003</v>
      </c>
      <c r="D150" s="418">
        <v>5.476</v>
      </c>
      <c r="E150" s="418">
        <v>5.6669999999999998</v>
      </c>
      <c r="F150" s="418">
        <v>5.8150000000000004</v>
      </c>
      <c r="G150" s="418">
        <v>5.9370000000000003</v>
      </c>
      <c r="H150" s="418">
        <v>6.0389999999999997</v>
      </c>
      <c r="I150" s="418">
        <v>6.1280000000000001</v>
      </c>
      <c r="J150" s="418">
        <v>6.2060000000000004</v>
      </c>
      <c r="K150" s="418">
        <v>6.2759999999999998</v>
      </c>
      <c r="L150" s="418">
        <v>6.3390000000000004</v>
      </c>
      <c r="M150" s="418">
        <v>6.3959999999999999</v>
      </c>
      <c r="N150" s="418">
        <v>6.4480000000000004</v>
      </c>
      <c r="O150" s="418">
        <v>6.4960000000000004</v>
      </c>
      <c r="P150" s="418">
        <v>6.5419999999999998</v>
      </c>
      <c r="Q150" s="418">
        <v>6.6230000000000002</v>
      </c>
      <c r="R150" s="418">
        <v>6.6950000000000003</v>
      </c>
      <c r="S150" s="418">
        <v>6.8179999999999996</v>
      </c>
      <c r="T150" s="418">
        <v>6.9210000000000003</v>
      </c>
      <c r="U150" s="418">
        <v>7.008</v>
      </c>
      <c r="V150" s="418">
        <v>7.085</v>
      </c>
      <c r="W150" s="419">
        <v>7.1529999999999996</v>
      </c>
    </row>
    <row r="151" spans="1:23" x14ac:dyDescent="0.25">
      <c r="A151" s="12" t="s">
        <v>753</v>
      </c>
      <c r="B151" s="420">
        <v>4.6539999999999999</v>
      </c>
      <c r="C151" s="421">
        <v>5.0629999999999997</v>
      </c>
      <c r="D151" s="421">
        <v>5.3090000000000002</v>
      </c>
      <c r="E151" s="421">
        <v>5.484</v>
      </c>
      <c r="F151" s="421">
        <v>5.6189999999999998</v>
      </c>
      <c r="G151" s="421">
        <v>5.73</v>
      </c>
      <c r="H151" s="421">
        <v>5.8230000000000004</v>
      </c>
      <c r="I151" s="421">
        <v>5.9029999999999996</v>
      </c>
      <c r="J151" s="421">
        <v>5.9729999999999999</v>
      </c>
      <c r="K151" s="421">
        <v>6.0359999999999996</v>
      </c>
      <c r="L151" s="421">
        <v>6.0919999999999996</v>
      </c>
      <c r="M151" s="421">
        <v>6.1440000000000001</v>
      </c>
      <c r="N151" s="421">
        <v>6.1909999999999998</v>
      </c>
      <c r="O151" s="421">
        <v>6.234</v>
      </c>
      <c r="P151" s="421">
        <v>6.274</v>
      </c>
      <c r="Q151" s="421">
        <v>6.3470000000000004</v>
      </c>
      <c r="R151" s="421">
        <v>6.4109999999999996</v>
      </c>
      <c r="S151" s="421">
        <v>6.52</v>
      </c>
      <c r="T151" s="421">
        <v>6.6109999999999998</v>
      </c>
      <c r="U151" s="421">
        <v>6.6890000000000001</v>
      </c>
      <c r="V151" s="421">
        <v>6.7560000000000002</v>
      </c>
      <c r="W151" s="422">
        <v>6.8159999999999998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154"/>
  <sheetViews>
    <sheetView workbookViewId="0"/>
  </sheetViews>
  <sheetFormatPr defaultRowHeight="15" x14ac:dyDescent="0.25"/>
  <cols>
    <col min="1" max="1" width="5.7109375" customWidth="1"/>
    <col min="2" max="21" width="7.42578125" customWidth="1"/>
  </cols>
  <sheetData>
    <row r="1" spans="1:21" x14ac:dyDescent="0.25">
      <c r="A1" s="1" t="s">
        <v>791</v>
      </c>
    </row>
    <row r="3" spans="1:21" x14ac:dyDescent="0.25">
      <c r="A3" s="1" t="s">
        <v>70</v>
      </c>
      <c r="B3" s="1">
        <v>0.01</v>
      </c>
    </row>
    <row r="5" spans="1:21" x14ac:dyDescent="0.25">
      <c r="A5" s="12" t="s">
        <v>792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</row>
    <row r="6" spans="1:21" x14ac:dyDescent="0.25">
      <c r="A6">
        <v>1</v>
      </c>
      <c r="B6" s="414">
        <v>63.656999999999996</v>
      </c>
      <c r="C6" s="415">
        <v>86.959000000000003</v>
      </c>
      <c r="D6" s="415">
        <v>100.28</v>
      </c>
      <c r="E6" s="415">
        <v>109.36</v>
      </c>
      <c r="F6" s="415">
        <v>116.15300000000001</v>
      </c>
      <c r="G6" s="415">
        <v>121.535</v>
      </c>
      <c r="H6" s="415">
        <v>125.967</v>
      </c>
      <c r="I6" s="415">
        <v>129.72</v>
      </c>
      <c r="J6" s="415">
        <v>132.96600000000001</v>
      </c>
      <c r="K6" s="415">
        <v>135.81800000000001</v>
      </c>
      <c r="L6" s="415">
        <v>138.358</v>
      </c>
      <c r="M6" s="415">
        <v>140.64500000000001</v>
      </c>
      <c r="N6" s="415">
        <v>142.721</v>
      </c>
      <c r="O6" s="415">
        <v>144.62100000000001</v>
      </c>
      <c r="P6" s="415">
        <v>146.37100000000001</v>
      </c>
      <c r="Q6" s="415">
        <v>147.99100000000001</v>
      </c>
      <c r="R6" s="415">
        <v>149.499</v>
      </c>
      <c r="S6" s="415">
        <v>150.90799999999999</v>
      </c>
      <c r="T6" s="415">
        <v>152.23099999999999</v>
      </c>
      <c r="U6" s="452">
        <v>153.476</v>
      </c>
    </row>
    <row r="7" spans="1:21" x14ac:dyDescent="0.25">
      <c r="A7">
        <v>2</v>
      </c>
      <c r="B7" s="417">
        <v>9.9250000000000007</v>
      </c>
      <c r="C7" s="418">
        <v>12.388</v>
      </c>
      <c r="D7" s="418">
        <v>13.826000000000001</v>
      </c>
      <c r="E7" s="418">
        <v>14.824999999999999</v>
      </c>
      <c r="F7" s="418">
        <v>15.582000000000001</v>
      </c>
      <c r="G7" s="418">
        <v>16.189</v>
      </c>
      <c r="H7" s="418">
        <v>16.692</v>
      </c>
      <c r="I7" s="418">
        <v>17.120999999999999</v>
      </c>
      <c r="J7" s="418">
        <v>17.494</v>
      </c>
      <c r="K7" s="418">
        <v>17.823</v>
      </c>
      <c r="L7" s="418">
        <v>18.117000000000001</v>
      </c>
      <c r="M7" s="418">
        <v>18.382999999999999</v>
      </c>
      <c r="N7" s="418">
        <v>18.623999999999999</v>
      </c>
      <c r="O7" s="418">
        <v>18.846</v>
      </c>
      <c r="P7" s="418">
        <v>19.050999999999998</v>
      </c>
      <c r="Q7" s="418">
        <v>19.241</v>
      </c>
      <c r="R7" s="418">
        <v>19.417999999999999</v>
      </c>
      <c r="S7" s="418">
        <v>19.582999999999998</v>
      </c>
      <c r="T7" s="418">
        <v>19.739000000000001</v>
      </c>
      <c r="U7" s="419">
        <v>19.885999999999999</v>
      </c>
    </row>
    <row r="8" spans="1:21" x14ac:dyDescent="0.25">
      <c r="A8">
        <v>3</v>
      </c>
      <c r="B8" s="417">
        <v>5.8410000000000002</v>
      </c>
      <c r="C8" s="418">
        <v>6.9740000000000002</v>
      </c>
      <c r="D8" s="418">
        <v>7.6390000000000002</v>
      </c>
      <c r="E8" s="418">
        <v>8.1039999999999992</v>
      </c>
      <c r="F8" s="418">
        <v>8.4600000000000009</v>
      </c>
      <c r="G8" s="418">
        <v>8.7460000000000004</v>
      </c>
      <c r="H8" s="418">
        <v>8.9849999999999994</v>
      </c>
      <c r="I8" s="418">
        <v>9.1890000000000001</v>
      </c>
      <c r="J8" s="418">
        <v>9.3670000000000009</v>
      </c>
      <c r="K8" s="418">
        <v>9.5250000000000004</v>
      </c>
      <c r="L8" s="418">
        <v>9.6660000000000004</v>
      </c>
      <c r="M8" s="418">
        <v>9.7940000000000005</v>
      </c>
      <c r="N8" s="418">
        <v>9.91</v>
      </c>
      <c r="O8" s="418">
        <v>10.016999999999999</v>
      </c>
      <c r="P8" s="418">
        <v>10.116</v>
      </c>
      <c r="Q8" s="418">
        <v>10.208</v>
      </c>
      <c r="R8" s="418">
        <v>10.294</v>
      </c>
      <c r="S8" s="418">
        <v>10.375</v>
      </c>
      <c r="T8" s="418">
        <v>10.45</v>
      </c>
      <c r="U8" s="419">
        <v>10.522</v>
      </c>
    </row>
    <row r="9" spans="1:21" x14ac:dyDescent="0.25">
      <c r="A9">
        <v>4</v>
      </c>
      <c r="B9" s="417">
        <v>4.6040000000000001</v>
      </c>
      <c r="C9" s="418">
        <v>5.3639999999999999</v>
      </c>
      <c r="D9" s="418">
        <v>5.8090000000000002</v>
      </c>
      <c r="E9" s="418">
        <v>6.1210000000000004</v>
      </c>
      <c r="F9" s="418">
        <v>6.3609999999999998</v>
      </c>
      <c r="G9" s="418">
        <v>6.5540000000000003</v>
      </c>
      <c r="H9" s="418">
        <v>6.7160000000000002</v>
      </c>
      <c r="I9" s="418">
        <v>6.8540000000000001</v>
      </c>
      <c r="J9" s="418">
        <v>6.9749999999999996</v>
      </c>
      <c r="K9" s="418">
        <v>7.0819999999999999</v>
      </c>
      <c r="L9" s="418">
        <v>7.1790000000000003</v>
      </c>
      <c r="M9" s="418">
        <v>7.266</v>
      </c>
      <c r="N9" s="418">
        <v>7.3460000000000001</v>
      </c>
      <c r="O9" s="418">
        <v>7.4189999999999996</v>
      </c>
      <c r="P9" s="418">
        <v>7.4870000000000001</v>
      </c>
      <c r="Q9" s="418">
        <v>7.55</v>
      </c>
      <c r="R9" s="418">
        <v>7.609</v>
      </c>
      <c r="S9" s="418">
        <v>7.6639999999999997</v>
      </c>
      <c r="T9" s="418">
        <v>7.7160000000000002</v>
      </c>
      <c r="U9" s="419">
        <v>7.7649999999999997</v>
      </c>
    </row>
    <row r="10" spans="1:21" x14ac:dyDescent="0.25">
      <c r="A10">
        <v>5</v>
      </c>
      <c r="B10" s="417">
        <v>4.032</v>
      </c>
      <c r="C10" s="418">
        <v>4.6269999999999998</v>
      </c>
      <c r="D10" s="418">
        <v>4.9749999999999996</v>
      </c>
      <c r="E10" s="418">
        <v>5.2190000000000003</v>
      </c>
      <c r="F10" s="418">
        <v>5.4059999999999997</v>
      </c>
      <c r="G10" s="418">
        <v>5.5570000000000004</v>
      </c>
      <c r="H10" s="418">
        <v>5.6829999999999998</v>
      </c>
      <c r="I10" s="418">
        <v>5.7919999999999998</v>
      </c>
      <c r="J10" s="418">
        <v>5.8869999999999996</v>
      </c>
      <c r="K10" s="418">
        <v>5.9710000000000001</v>
      </c>
      <c r="L10" s="418">
        <v>6.0469999999999997</v>
      </c>
      <c r="M10" s="418">
        <v>6.1159999999999997</v>
      </c>
      <c r="N10" s="418">
        <v>6.1779999999999999</v>
      </c>
      <c r="O10" s="418">
        <v>6.2359999999999998</v>
      </c>
      <c r="P10" s="418">
        <v>6.2889999999999997</v>
      </c>
      <c r="Q10" s="418">
        <v>6.3390000000000004</v>
      </c>
      <c r="R10" s="418">
        <v>6.3860000000000001</v>
      </c>
      <c r="S10" s="418">
        <v>6.4290000000000003</v>
      </c>
      <c r="T10" s="418">
        <v>6.47</v>
      </c>
      <c r="U10" s="419">
        <v>6.5090000000000003</v>
      </c>
    </row>
    <row r="11" spans="1:21" x14ac:dyDescent="0.25">
      <c r="A11">
        <v>6</v>
      </c>
      <c r="B11" s="417">
        <v>3.7069999999999999</v>
      </c>
      <c r="C11" s="418">
        <v>4.2119999999999997</v>
      </c>
      <c r="D11" s="418">
        <v>4.5060000000000002</v>
      </c>
      <c r="E11" s="418">
        <v>4.7110000000000003</v>
      </c>
      <c r="F11" s="418">
        <v>4.8689999999999998</v>
      </c>
      <c r="G11" s="418">
        <v>4.9969999999999999</v>
      </c>
      <c r="H11" s="418">
        <v>5.1040000000000001</v>
      </c>
      <c r="I11" s="418">
        <v>5.1959999999999997</v>
      </c>
      <c r="J11" s="418">
        <v>5.2759999999999998</v>
      </c>
      <c r="K11" s="418">
        <v>5.3470000000000004</v>
      </c>
      <c r="L11" s="418">
        <v>5.4109999999999996</v>
      </c>
      <c r="M11" s="418">
        <v>5.4690000000000003</v>
      </c>
      <c r="N11" s="418">
        <v>5.5229999999999997</v>
      </c>
      <c r="O11" s="418">
        <v>5.5720000000000001</v>
      </c>
      <c r="P11" s="418">
        <v>5.617</v>
      </c>
      <c r="Q11" s="418">
        <v>5.6589999999999998</v>
      </c>
      <c r="R11" s="418">
        <v>5.6989999999999998</v>
      </c>
      <c r="S11" s="418">
        <v>5.7359999999999998</v>
      </c>
      <c r="T11" s="418">
        <v>5.77</v>
      </c>
      <c r="U11" s="419">
        <v>5.8029999999999999</v>
      </c>
    </row>
    <row r="12" spans="1:21" x14ac:dyDescent="0.25">
      <c r="A12">
        <v>7</v>
      </c>
      <c r="B12" s="417">
        <v>3.4990000000000001</v>
      </c>
      <c r="C12" s="418">
        <v>3.948</v>
      </c>
      <c r="D12" s="418">
        <v>4.2080000000000002</v>
      </c>
      <c r="E12" s="418">
        <v>4.3890000000000002</v>
      </c>
      <c r="F12" s="418">
        <v>4.5289999999999999</v>
      </c>
      <c r="G12" s="418">
        <v>4.6420000000000003</v>
      </c>
      <c r="H12" s="418">
        <v>4.7359999999999998</v>
      </c>
      <c r="I12" s="418">
        <v>4.8170000000000002</v>
      </c>
      <c r="J12" s="418">
        <v>4.8879999999999999</v>
      </c>
      <c r="K12" s="418">
        <v>4.9509999999999996</v>
      </c>
      <c r="L12" s="418">
        <v>5.008</v>
      </c>
      <c r="M12" s="418">
        <v>5.0590000000000002</v>
      </c>
      <c r="N12" s="418">
        <v>5.1059999999999999</v>
      </c>
      <c r="O12" s="418">
        <v>5.15</v>
      </c>
      <c r="P12" s="418">
        <v>5.19</v>
      </c>
      <c r="Q12" s="418">
        <v>5.2270000000000003</v>
      </c>
      <c r="R12" s="418">
        <v>5.2619999999999996</v>
      </c>
      <c r="S12" s="418">
        <v>5.2949999999999999</v>
      </c>
      <c r="T12" s="418">
        <v>5.3259999999999996</v>
      </c>
      <c r="U12" s="419">
        <v>5.3550000000000004</v>
      </c>
    </row>
    <row r="13" spans="1:21" x14ac:dyDescent="0.25">
      <c r="A13">
        <v>8</v>
      </c>
      <c r="B13" s="417">
        <v>3.355</v>
      </c>
      <c r="C13" s="418">
        <v>3.766</v>
      </c>
      <c r="D13" s="418">
        <v>4.0019999999999998</v>
      </c>
      <c r="E13" s="418">
        <v>4.1680000000000001</v>
      </c>
      <c r="F13" s="418">
        <v>4.2949999999999999</v>
      </c>
      <c r="G13" s="418">
        <v>4.3970000000000002</v>
      </c>
      <c r="H13" s="418">
        <v>4.4829999999999997</v>
      </c>
      <c r="I13" s="418">
        <v>4.5570000000000004</v>
      </c>
      <c r="J13" s="418">
        <v>4.6210000000000004</v>
      </c>
      <c r="K13" s="418">
        <v>4.6790000000000003</v>
      </c>
      <c r="L13" s="418">
        <v>4.7300000000000004</v>
      </c>
      <c r="M13" s="418">
        <v>4.7770000000000001</v>
      </c>
      <c r="N13" s="418">
        <v>4.82</v>
      </c>
      <c r="O13" s="418">
        <v>4.859</v>
      </c>
      <c r="P13" s="418">
        <v>4.8959999999999999</v>
      </c>
      <c r="Q13" s="418">
        <v>4.93</v>
      </c>
      <c r="R13" s="418">
        <v>4.9610000000000003</v>
      </c>
      <c r="S13" s="418">
        <v>4.9909999999999997</v>
      </c>
      <c r="T13" s="418">
        <v>5.0190000000000001</v>
      </c>
      <c r="U13" s="419">
        <v>5.0460000000000003</v>
      </c>
    </row>
    <row r="14" spans="1:21" x14ac:dyDescent="0.25">
      <c r="A14">
        <v>9</v>
      </c>
      <c r="B14" s="417">
        <v>3.25</v>
      </c>
      <c r="C14" s="418">
        <v>3.633</v>
      </c>
      <c r="D14" s="418">
        <v>3.8530000000000002</v>
      </c>
      <c r="E14" s="418">
        <v>4.0060000000000002</v>
      </c>
      <c r="F14" s="418">
        <v>4.1239999999999997</v>
      </c>
      <c r="G14" s="418">
        <v>4.2190000000000003</v>
      </c>
      <c r="H14" s="418">
        <v>4.2990000000000004</v>
      </c>
      <c r="I14" s="418">
        <v>4.367</v>
      </c>
      <c r="J14" s="418">
        <v>4.4269999999999996</v>
      </c>
      <c r="K14" s="418">
        <v>4.4800000000000004</v>
      </c>
      <c r="L14" s="418">
        <v>4.5279999999999996</v>
      </c>
      <c r="M14" s="418">
        <v>4.5709999999999997</v>
      </c>
      <c r="N14" s="418">
        <v>4.6109999999999998</v>
      </c>
      <c r="O14" s="418">
        <v>4.6470000000000002</v>
      </c>
      <c r="P14" s="418">
        <v>4.681</v>
      </c>
      <c r="Q14" s="418">
        <v>4.7130000000000001</v>
      </c>
      <c r="R14" s="418">
        <v>4.742</v>
      </c>
      <c r="S14" s="418">
        <v>4.7699999999999996</v>
      </c>
      <c r="T14" s="418">
        <v>4.7960000000000003</v>
      </c>
      <c r="U14" s="419">
        <v>4.8209999999999997</v>
      </c>
    </row>
    <row r="15" spans="1:21" x14ac:dyDescent="0.25">
      <c r="A15">
        <v>10</v>
      </c>
      <c r="B15" s="417">
        <v>3.169</v>
      </c>
      <c r="C15" s="418">
        <v>3.5310000000000001</v>
      </c>
      <c r="D15" s="418">
        <v>3.7389999999999999</v>
      </c>
      <c r="E15" s="418">
        <v>3.883</v>
      </c>
      <c r="F15" s="418">
        <v>3.9940000000000002</v>
      </c>
      <c r="G15" s="418">
        <v>4.0839999999999996</v>
      </c>
      <c r="H15" s="418">
        <v>4.1589999999999998</v>
      </c>
      <c r="I15" s="418">
        <v>4.2229999999999999</v>
      </c>
      <c r="J15" s="418">
        <v>4.2789999999999999</v>
      </c>
      <c r="K15" s="418">
        <v>4.3289999999999997</v>
      </c>
      <c r="L15" s="418">
        <v>4.3739999999999997</v>
      </c>
      <c r="M15" s="418">
        <v>4.415</v>
      </c>
      <c r="N15" s="418">
        <v>4.452</v>
      </c>
      <c r="O15" s="418">
        <v>4.4870000000000001</v>
      </c>
      <c r="P15" s="418">
        <v>4.5190000000000001</v>
      </c>
      <c r="Q15" s="418">
        <v>4.548</v>
      </c>
      <c r="R15" s="418">
        <v>4.5759999999999996</v>
      </c>
      <c r="S15" s="418">
        <v>4.6020000000000003</v>
      </c>
      <c r="T15" s="418">
        <v>4.6269999999999998</v>
      </c>
      <c r="U15" s="419">
        <v>4.6500000000000004</v>
      </c>
    </row>
    <row r="16" spans="1:21" x14ac:dyDescent="0.25">
      <c r="A16">
        <v>11</v>
      </c>
      <c r="B16" s="417">
        <v>3.1059999999999999</v>
      </c>
      <c r="C16" s="418">
        <v>3.452</v>
      </c>
      <c r="D16" s="418">
        <v>3.649</v>
      </c>
      <c r="E16" s="418">
        <v>3.7869999999999999</v>
      </c>
      <c r="F16" s="418">
        <v>3.8919999999999999</v>
      </c>
      <c r="G16" s="418">
        <v>3.9780000000000002</v>
      </c>
      <c r="H16" s="418">
        <v>4.0490000000000004</v>
      </c>
      <c r="I16" s="418">
        <v>4.1100000000000003</v>
      </c>
      <c r="J16" s="418">
        <v>4.1639999999999997</v>
      </c>
      <c r="K16" s="418">
        <v>4.2110000000000003</v>
      </c>
      <c r="L16" s="418">
        <v>4.2539999999999996</v>
      </c>
      <c r="M16" s="418">
        <v>4.2930000000000001</v>
      </c>
      <c r="N16" s="418">
        <v>4.3280000000000003</v>
      </c>
      <c r="O16" s="418">
        <v>4.3609999999999998</v>
      </c>
      <c r="P16" s="418">
        <v>4.391</v>
      </c>
      <c r="Q16" s="418">
        <v>4.4189999999999996</v>
      </c>
      <c r="R16" s="418">
        <v>4.4459999999999997</v>
      </c>
      <c r="S16" s="418">
        <v>4.47</v>
      </c>
      <c r="T16" s="418">
        <v>4.4939999999999998</v>
      </c>
      <c r="U16" s="419">
        <v>4.516</v>
      </c>
    </row>
    <row r="17" spans="1:21" x14ac:dyDescent="0.25">
      <c r="A17">
        <v>12</v>
      </c>
      <c r="B17" s="417">
        <v>3.0550000000000002</v>
      </c>
      <c r="C17" s="418">
        <v>3.387</v>
      </c>
      <c r="D17" s="418">
        <v>3.577</v>
      </c>
      <c r="E17" s="418">
        <v>3.7090000000000001</v>
      </c>
      <c r="F17" s="418">
        <v>3.8109999999999999</v>
      </c>
      <c r="G17" s="418">
        <v>3.8919999999999999</v>
      </c>
      <c r="H17" s="418">
        <v>3.96</v>
      </c>
      <c r="I17" s="418">
        <v>4.0190000000000001</v>
      </c>
      <c r="J17" s="418">
        <v>4.07</v>
      </c>
      <c r="K17" s="418">
        <v>4.1159999999999997</v>
      </c>
      <c r="L17" s="418">
        <v>4.157</v>
      </c>
      <c r="M17" s="418">
        <v>4.194</v>
      </c>
      <c r="N17" s="418">
        <v>4.2279999999999998</v>
      </c>
      <c r="O17" s="418">
        <v>4.2590000000000003</v>
      </c>
      <c r="P17" s="418">
        <v>4.2880000000000003</v>
      </c>
      <c r="Q17" s="418">
        <v>4.3150000000000004</v>
      </c>
      <c r="R17" s="418">
        <v>4.34</v>
      </c>
      <c r="S17" s="418">
        <v>4.3639999999999999</v>
      </c>
      <c r="T17" s="418">
        <v>4.3869999999999996</v>
      </c>
      <c r="U17" s="419">
        <v>4.4080000000000004</v>
      </c>
    </row>
    <row r="18" spans="1:21" x14ac:dyDescent="0.25">
      <c r="A18">
        <v>13</v>
      </c>
      <c r="B18" s="417">
        <v>3.012</v>
      </c>
      <c r="C18" s="418">
        <v>3.335</v>
      </c>
      <c r="D18" s="418">
        <v>3.5179999999999998</v>
      </c>
      <c r="E18" s="418">
        <v>3.6459999999999999</v>
      </c>
      <c r="F18" s="418">
        <v>3.7429999999999999</v>
      </c>
      <c r="G18" s="418">
        <v>3.8220000000000001</v>
      </c>
      <c r="H18" s="418">
        <v>3.8879999999999999</v>
      </c>
      <c r="I18" s="418">
        <v>3.944</v>
      </c>
      <c r="J18" s="418">
        <v>3.9940000000000002</v>
      </c>
      <c r="K18" s="418">
        <v>4.0380000000000003</v>
      </c>
      <c r="L18" s="418">
        <v>4.077</v>
      </c>
      <c r="M18" s="418">
        <v>4.1130000000000004</v>
      </c>
      <c r="N18" s="418">
        <v>4.1459999999999999</v>
      </c>
      <c r="O18" s="418">
        <v>4.1760000000000002</v>
      </c>
      <c r="P18" s="418">
        <v>4.2039999999999997</v>
      </c>
      <c r="Q18" s="418">
        <v>4.2300000000000004</v>
      </c>
      <c r="R18" s="418">
        <v>4.2539999999999996</v>
      </c>
      <c r="S18" s="418">
        <v>4.2770000000000001</v>
      </c>
      <c r="T18" s="418">
        <v>4.2990000000000004</v>
      </c>
      <c r="U18" s="419">
        <v>4.319</v>
      </c>
    </row>
    <row r="19" spans="1:21" x14ac:dyDescent="0.25">
      <c r="A19">
        <v>14</v>
      </c>
      <c r="B19" s="417">
        <v>2.9769999999999999</v>
      </c>
      <c r="C19" s="418">
        <v>3.29</v>
      </c>
      <c r="D19" s="418">
        <v>3.468</v>
      </c>
      <c r="E19" s="418">
        <v>3.5920000000000001</v>
      </c>
      <c r="F19" s="418">
        <v>3.6869999999999998</v>
      </c>
      <c r="G19" s="418">
        <v>3.7629999999999999</v>
      </c>
      <c r="H19" s="418">
        <v>3.827</v>
      </c>
      <c r="I19" s="418">
        <v>3.8820000000000001</v>
      </c>
      <c r="J19" s="418">
        <v>3.93</v>
      </c>
      <c r="K19" s="418">
        <v>3.972</v>
      </c>
      <c r="L19" s="418">
        <v>4.0110000000000001</v>
      </c>
      <c r="M19" s="418">
        <v>4.0449999999999999</v>
      </c>
      <c r="N19" s="418">
        <v>4.077</v>
      </c>
      <c r="O19" s="418">
        <v>4.1059999999999999</v>
      </c>
      <c r="P19" s="418">
        <v>4.133</v>
      </c>
      <c r="Q19" s="418">
        <v>4.1580000000000004</v>
      </c>
      <c r="R19" s="418">
        <v>4.1820000000000004</v>
      </c>
      <c r="S19" s="418">
        <v>4.2039999999999997</v>
      </c>
      <c r="T19" s="418">
        <v>4.2249999999999996</v>
      </c>
      <c r="U19" s="419">
        <v>4.2450000000000001</v>
      </c>
    </row>
    <row r="20" spans="1:21" x14ac:dyDescent="0.25">
      <c r="A20">
        <v>15</v>
      </c>
      <c r="B20" s="417">
        <v>2.9470000000000001</v>
      </c>
      <c r="C20" s="418">
        <v>3.2530000000000001</v>
      </c>
      <c r="D20" s="418">
        <v>3.4260000000000002</v>
      </c>
      <c r="E20" s="418">
        <v>3.5470000000000002</v>
      </c>
      <c r="F20" s="418">
        <v>3.6389999999999998</v>
      </c>
      <c r="G20" s="418">
        <v>3.7130000000000001</v>
      </c>
      <c r="H20" s="418">
        <v>3.7759999999999998</v>
      </c>
      <c r="I20" s="418">
        <v>3.8290000000000002</v>
      </c>
      <c r="J20" s="418">
        <v>3.875</v>
      </c>
      <c r="K20" s="418">
        <v>3.9169999999999998</v>
      </c>
      <c r="L20" s="418">
        <v>3.9540000000000002</v>
      </c>
      <c r="M20" s="418">
        <v>3.988</v>
      </c>
      <c r="N20" s="418">
        <v>4.0190000000000001</v>
      </c>
      <c r="O20" s="418">
        <v>4.0469999999999997</v>
      </c>
      <c r="P20" s="418">
        <v>4.0730000000000004</v>
      </c>
      <c r="Q20" s="418">
        <v>4.0979999999999999</v>
      </c>
      <c r="R20" s="418">
        <v>4.1210000000000004</v>
      </c>
      <c r="S20" s="418">
        <v>4.1420000000000003</v>
      </c>
      <c r="T20" s="418">
        <v>4.1630000000000003</v>
      </c>
      <c r="U20" s="419">
        <v>4.1820000000000004</v>
      </c>
    </row>
    <row r="21" spans="1:21" x14ac:dyDescent="0.25">
      <c r="A21">
        <v>16</v>
      </c>
      <c r="B21" s="417">
        <v>2.9209999999999998</v>
      </c>
      <c r="C21" s="418">
        <v>3.22</v>
      </c>
      <c r="D21" s="418">
        <v>3.39</v>
      </c>
      <c r="E21" s="418">
        <v>3.508</v>
      </c>
      <c r="F21" s="418">
        <v>3.5979999999999999</v>
      </c>
      <c r="G21" s="418">
        <v>3.6709999999999998</v>
      </c>
      <c r="H21" s="418">
        <v>3.7309999999999999</v>
      </c>
      <c r="I21" s="418">
        <v>3.7829999999999999</v>
      </c>
      <c r="J21" s="418">
        <v>3.8290000000000002</v>
      </c>
      <c r="K21" s="418">
        <v>3.8690000000000002</v>
      </c>
      <c r="L21" s="418">
        <v>3.9049999999999998</v>
      </c>
      <c r="M21" s="418">
        <v>3.9380000000000002</v>
      </c>
      <c r="N21" s="418">
        <v>3.968</v>
      </c>
      <c r="O21" s="418">
        <v>3.996</v>
      </c>
      <c r="P21" s="418">
        <v>4.0220000000000002</v>
      </c>
      <c r="Q21" s="418">
        <v>4.0460000000000003</v>
      </c>
      <c r="R21" s="418">
        <v>4.0679999999999996</v>
      </c>
      <c r="S21" s="418">
        <v>4.0890000000000004</v>
      </c>
      <c r="T21" s="418">
        <v>4.109</v>
      </c>
      <c r="U21" s="419">
        <v>4.1280000000000001</v>
      </c>
    </row>
    <row r="22" spans="1:21" x14ac:dyDescent="0.25">
      <c r="A22">
        <v>17</v>
      </c>
      <c r="B22" s="417">
        <v>2.8980000000000001</v>
      </c>
      <c r="C22" s="418">
        <v>3.1920000000000002</v>
      </c>
      <c r="D22" s="418">
        <v>3.359</v>
      </c>
      <c r="E22" s="418">
        <v>3.4740000000000002</v>
      </c>
      <c r="F22" s="418">
        <v>3.5630000000000002</v>
      </c>
      <c r="G22" s="418">
        <v>3.6339999999999999</v>
      </c>
      <c r="H22" s="418">
        <v>3.6930000000000001</v>
      </c>
      <c r="I22" s="418">
        <v>3.7440000000000002</v>
      </c>
      <c r="J22" s="418">
        <v>3.7879999999999998</v>
      </c>
      <c r="K22" s="418">
        <v>3.8279999999999998</v>
      </c>
      <c r="L22" s="418">
        <v>3.863</v>
      </c>
      <c r="M22" s="418">
        <v>3.8959999999999999</v>
      </c>
      <c r="N22" s="418">
        <v>3.9249999999999998</v>
      </c>
      <c r="O22" s="418">
        <v>3.952</v>
      </c>
      <c r="P22" s="418">
        <v>3.9769999999999999</v>
      </c>
      <c r="Q22" s="418">
        <v>4.0010000000000003</v>
      </c>
      <c r="R22" s="418">
        <v>4.0229999999999997</v>
      </c>
      <c r="S22" s="418">
        <v>4.0430000000000001</v>
      </c>
      <c r="T22" s="418">
        <v>4.0620000000000003</v>
      </c>
      <c r="U22" s="419">
        <v>4.0810000000000004</v>
      </c>
    </row>
    <row r="23" spans="1:21" x14ac:dyDescent="0.25">
      <c r="A23">
        <v>18</v>
      </c>
      <c r="B23" s="417">
        <v>2.8780000000000001</v>
      </c>
      <c r="C23" s="418">
        <v>3.1680000000000001</v>
      </c>
      <c r="D23" s="418">
        <v>3.331</v>
      </c>
      <c r="E23" s="418">
        <v>3.4449999999999998</v>
      </c>
      <c r="F23" s="418">
        <v>3.5310000000000001</v>
      </c>
      <c r="G23" s="418">
        <v>3.601</v>
      </c>
      <c r="H23" s="418">
        <v>3.6589999999999998</v>
      </c>
      <c r="I23" s="418">
        <v>3.7090000000000001</v>
      </c>
      <c r="J23" s="418">
        <v>3.7530000000000001</v>
      </c>
      <c r="K23" s="418">
        <v>3.7919999999999998</v>
      </c>
      <c r="L23" s="418">
        <v>3.8260000000000001</v>
      </c>
      <c r="M23" s="418">
        <v>3.8580000000000001</v>
      </c>
      <c r="N23" s="418">
        <v>3.887</v>
      </c>
      <c r="O23" s="418">
        <v>3.9140000000000001</v>
      </c>
      <c r="P23" s="418">
        <v>3.9380000000000002</v>
      </c>
      <c r="Q23" s="418">
        <v>3.9609999999999999</v>
      </c>
      <c r="R23" s="418">
        <v>3.9830000000000001</v>
      </c>
      <c r="S23" s="418">
        <v>4.0030000000000001</v>
      </c>
      <c r="T23" s="418">
        <v>4.0220000000000002</v>
      </c>
      <c r="U23" s="419">
        <v>4.04</v>
      </c>
    </row>
    <row r="24" spans="1:21" x14ac:dyDescent="0.25">
      <c r="A24">
        <v>19</v>
      </c>
      <c r="B24" s="417">
        <v>2.8610000000000002</v>
      </c>
      <c r="C24" s="418">
        <v>3.1459999999999999</v>
      </c>
      <c r="D24" s="418">
        <v>3.3069999999999999</v>
      </c>
      <c r="E24" s="418">
        <v>3.419</v>
      </c>
      <c r="F24" s="418">
        <v>3.504</v>
      </c>
      <c r="G24" s="418">
        <v>3.5720000000000001</v>
      </c>
      <c r="H24" s="418">
        <v>3.63</v>
      </c>
      <c r="I24" s="418">
        <v>3.6789999999999998</v>
      </c>
      <c r="J24" s="418">
        <v>3.722</v>
      </c>
      <c r="K24" s="418">
        <v>3.76</v>
      </c>
      <c r="L24" s="418">
        <v>3.794</v>
      </c>
      <c r="M24" s="418">
        <v>3.8250000000000002</v>
      </c>
      <c r="N24" s="418">
        <v>3.8530000000000002</v>
      </c>
      <c r="O24" s="418">
        <v>3.879</v>
      </c>
      <c r="P24" s="418">
        <v>3.9039999999999999</v>
      </c>
      <c r="Q24" s="418">
        <v>3.9260000000000002</v>
      </c>
      <c r="R24" s="418">
        <v>3.9470000000000001</v>
      </c>
      <c r="S24" s="418">
        <v>3.9670000000000001</v>
      </c>
      <c r="T24" s="418">
        <v>3.9860000000000002</v>
      </c>
      <c r="U24" s="419">
        <v>4.0030000000000001</v>
      </c>
    </row>
    <row r="25" spans="1:21" x14ac:dyDescent="0.25">
      <c r="A25">
        <v>20</v>
      </c>
      <c r="B25" s="417">
        <v>2.8450000000000002</v>
      </c>
      <c r="C25" s="418">
        <v>3.1269999999999998</v>
      </c>
      <c r="D25" s="418">
        <v>3.2850000000000001</v>
      </c>
      <c r="E25" s="418">
        <v>3.395</v>
      </c>
      <c r="F25" s="418">
        <v>3.4790000000000001</v>
      </c>
      <c r="G25" s="418">
        <v>3.5470000000000002</v>
      </c>
      <c r="H25" s="418">
        <v>3.6030000000000002</v>
      </c>
      <c r="I25" s="418">
        <v>3.6509999999999998</v>
      </c>
      <c r="J25" s="418">
        <v>3.694</v>
      </c>
      <c r="K25" s="418">
        <v>3.7309999999999999</v>
      </c>
      <c r="L25" s="418">
        <v>3.7650000000000001</v>
      </c>
      <c r="M25" s="418">
        <v>3.7949999999999999</v>
      </c>
      <c r="N25" s="418">
        <v>3.823</v>
      </c>
      <c r="O25" s="418">
        <v>3.8490000000000002</v>
      </c>
      <c r="P25" s="418">
        <v>3.8730000000000002</v>
      </c>
      <c r="Q25" s="418">
        <v>3.895</v>
      </c>
      <c r="R25" s="418">
        <v>3.9159999999999999</v>
      </c>
      <c r="S25" s="418">
        <v>3.9350000000000001</v>
      </c>
      <c r="T25" s="418">
        <v>3.9540000000000002</v>
      </c>
      <c r="U25" s="419">
        <v>3.9710000000000001</v>
      </c>
    </row>
    <row r="26" spans="1:21" x14ac:dyDescent="0.25">
      <c r="A26">
        <v>21</v>
      </c>
      <c r="B26" s="417">
        <v>2.831</v>
      </c>
      <c r="C26" s="418">
        <v>3.109</v>
      </c>
      <c r="D26" s="418">
        <v>3.266</v>
      </c>
      <c r="E26" s="418">
        <v>3.375</v>
      </c>
      <c r="F26" s="418">
        <v>3.4569999999999999</v>
      </c>
      <c r="G26" s="418">
        <v>3.524</v>
      </c>
      <c r="H26" s="418">
        <v>3.5790000000000002</v>
      </c>
      <c r="I26" s="418">
        <v>3.6269999999999998</v>
      </c>
      <c r="J26" s="418">
        <v>3.669</v>
      </c>
      <c r="K26" s="418">
        <v>3.706</v>
      </c>
      <c r="L26" s="418">
        <v>3.7389999999999999</v>
      </c>
      <c r="M26" s="418">
        <v>3.7690000000000001</v>
      </c>
      <c r="N26" s="418">
        <v>3.7970000000000002</v>
      </c>
      <c r="O26" s="418">
        <v>3.8220000000000001</v>
      </c>
      <c r="P26" s="418">
        <v>3.8450000000000002</v>
      </c>
      <c r="Q26" s="418">
        <v>3.867</v>
      </c>
      <c r="R26" s="418">
        <v>3.8879999999999999</v>
      </c>
      <c r="S26" s="418">
        <v>3.907</v>
      </c>
      <c r="T26" s="418">
        <v>3.9249999999999998</v>
      </c>
      <c r="U26" s="419">
        <v>3.9420000000000002</v>
      </c>
    </row>
    <row r="27" spans="1:21" x14ac:dyDescent="0.25">
      <c r="A27">
        <v>22</v>
      </c>
      <c r="B27" s="417">
        <v>2.819</v>
      </c>
      <c r="C27" s="418">
        <v>3.0939999999999999</v>
      </c>
      <c r="D27" s="418">
        <v>3.2490000000000001</v>
      </c>
      <c r="E27" s="418">
        <v>3.3559999999999999</v>
      </c>
      <c r="F27" s="418">
        <v>3.4369999999999998</v>
      </c>
      <c r="G27" s="418">
        <v>3.5030000000000001</v>
      </c>
      <c r="H27" s="418">
        <v>3.5579999999999998</v>
      </c>
      <c r="I27" s="418">
        <v>3.605</v>
      </c>
      <c r="J27" s="418">
        <v>3.6459999999999999</v>
      </c>
      <c r="K27" s="418">
        <v>3.6829999999999998</v>
      </c>
      <c r="L27" s="418">
        <v>3.7160000000000002</v>
      </c>
      <c r="M27" s="418">
        <v>3.7450000000000001</v>
      </c>
      <c r="N27" s="418">
        <v>3.7730000000000001</v>
      </c>
      <c r="O27" s="418">
        <v>3.798</v>
      </c>
      <c r="P27" s="418">
        <v>3.8210000000000002</v>
      </c>
      <c r="Q27" s="418">
        <v>3.8420000000000001</v>
      </c>
      <c r="R27" s="418">
        <v>3.8620000000000001</v>
      </c>
      <c r="S27" s="418">
        <v>3.8809999999999998</v>
      </c>
      <c r="T27" s="418">
        <v>3.899</v>
      </c>
      <c r="U27" s="419">
        <v>3.9159999999999999</v>
      </c>
    </row>
    <row r="28" spans="1:21" x14ac:dyDescent="0.25">
      <c r="A28">
        <v>23</v>
      </c>
      <c r="B28" s="417">
        <v>2.8069999999999999</v>
      </c>
      <c r="C28" s="418">
        <v>3.08</v>
      </c>
      <c r="D28" s="418">
        <v>3.2330000000000001</v>
      </c>
      <c r="E28" s="418">
        <v>3.339</v>
      </c>
      <c r="F28" s="418">
        <v>3.42</v>
      </c>
      <c r="G28" s="418">
        <v>3.4849999999999999</v>
      </c>
      <c r="H28" s="418">
        <v>3.5390000000000001</v>
      </c>
      <c r="I28" s="418">
        <v>3.585</v>
      </c>
      <c r="J28" s="418">
        <v>3.6259999999999999</v>
      </c>
      <c r="K28" s="418">
        <v>3.6619999999999999</v>
      </c>
      <c r="L28" s="418">
        <v>3.694</v>
      </c>
      <c r="M28" s="418">
        <v>3.7240000000000002</v>
      </c>
      <c r="N28" s="418">
        <v>3.7509999999999999</v>
      </c>
      <c r="O28" s="418">
        <v>3.7749999999999999</v>
      </c>
      <c r="P28" s="418">
        <v>3.798</v>
      </c>
      <c r="Q28" s="418">
        <v>3.82</v>
      </c>
      <c r="R28" s="418">
        <v>3.84</v>
      </c>
      <c r="S28" s="418">
        <v>3.8580000000000001</v>
      </c>
      <c r="T28" s="418">
        <v>3.8759999999999999</v>
      </c>
      <c r="U28" s="419">
        <v>3.8929999999999998</v>
      </c>
    </row>
    <row r="29" spans="1:21" x14ac:dyDescent="0.25">
      <c r="A29">
        <v>24</v>
      </c>
      <c r="B29" s="417">
        <v>2.7970000000000002</v>
      </c>
      <c r="C29" s="418">
        <v>3.0670000000000002</v>
      </c>
      <c r="D29" s="418">
        <v>3.218</v>
      </c>
      <c r="E29" s="418">
        <v>3.323</v>
      </c>
      <c r="F29" s="418">
        <v>3.403</v>
      </c>
      <c r="G29" s="418">
        <v>3.468</v>
      </c>
      <c r="H29" s="418">
        <v>3.5209999999999999</v>
      </c>
      <c r="I29" s="418">
        <v>3.5670000000000002</v>
      </c>
      <c r="J29" s="418">
        <v>3.6080000000000001</v>
      </c>
      <c r="K29" s="418">
        <v>3.6429999999999998</v>
      </c>
      <c r="L29" s="418">
        <v>3.6749999999999998</v>
      </c>
      <c r="M29" s="418">
        <v>3.7040000000000002</v>
      </c>
      <c r="N29" s="418">
        <v>3.7309999999999999</v>
      </c>
      <c r="O29" s="418">
        <v>3.7549999999999999</v>
      </c>
      <c r="P29" s="418">
        <v>3.778</v>
      </c>
      <c r="Q29" s="418">
        <v>3.7989999999999999</v>
      </c>
      <c r="R29" s="418">
        <v>3.819</v>
      </c>
      <c r="S29" s="418">
        <v>3.8370000000000002</v>
      </c>
      <c r="T29" s="418">
        <v>3.855</v>
      </c>
      <c r="U29" s="419">
        <v>3.871</v>
      </c>
    </row>
    <row r="30" spans="1:21" x14ac:dyDescent="0.25">
      <c r="A30">
        <v>25</v>
      </c>
      <c r="B30" s="417">
        <v>2.7869999999999999</v>
      </c>
      <c r="C30" s="418">
        <v>3.0550000000000002</v>
      </c>
      <c r="D30" s="418">
        <v>3.2050000000000001</v>
      </c>
      <c r="E30" s="418">
        <v>3.3090000000000002</v>
      </c>
      <c r="F30" s="418">
        <v>3.3879999999999999</v>
      </c>
      <c r="G30" s="418">
        <v>3.452</v>
      </c>
      <c r="H30" s="418">
        <v>3.5049999999999999</v>
      </c>
      <c r="I30" s="418">
        <v>3.5510000000000002</v>
      </c>
      <c r="J30" s="418">
        <v>3.5910000000000002</v>
      </c>
      <c r="K30" s="418">
        <v>3.6259999999999999</v>
      </c>
      <c r="L30" s="418">
        <v>3.6579999999999999</v>
      </c>
      <c r="M30" s="418">
        <v>3.6859999999999999</v>
      </c>
      <c r="N30" s="418">
        <v>3.7130000000000001</v>
      </c>
      <c r="O30" s="418">
        <v>3.7370000000000001</v>
      </c>
      <c r="P30" s="418">
        <v>3.7589999999999999</v>
      </c>
      <c r="Q30" s="418">
        <v>3.78</v>
      </c>
      <c r="R30" s="418">
        <v>3.8</v>
      </c>
      <c r="S30" s="418">
        <v>3.8180000000000001</v>
      </c>
      <c r="T30" s="418">
        <v>3.835</v>
      </c>
      <c r="U30" s="419">
        <v>3.8519999999999999</v>
      </c>
    </row>
    <row r="31" spans="1:21" x14ac:dyDescent="0.25">
      <c r="A31">
        <v>26</v>
      </c>
      <c r="B31" s="417">
        <v>2.7789999999999999</v>
      </c>
      <c r="C31" s="418">
        <v>3.044</v>
      </c>
      <c r="D31" s="418">
        <v>3.1930000000000001</v>
      </c>
      <c r="E31" s="418">
        <v>3.2959999999999998</v>
      </c>
      <c r="F31" s="418">
        <v>3.375</v>
      </c>
      <c r="G31" s="418">
        <v>3.4380000000000002</v>
      </c>
      <c r="H31" s="418">
        <v>3.4910000000000001</v>
      </c>
      <c r="I31" s="418">
        <v>3.536</v>
      </c>
      <c r="J31" s="418">
        <v>3.5750000000000002</v>
      </c>
      <c r="K31" s="418">
        <v>3.61</v>
      </c>
      <c r="L31" s="418">
        <v>3.6419999999999999</v>
      </c>
      <c r="M31" s="418">
        <v>3.67</v>
      </c>
      <c r="N31" s="418">
        <v>3.6960000000000002</v>
      </c>
      <c r="O31" s="418">
        <v>3.72</v>
      </c>
      <c r="P31" s="418">
        <v>3.742</v>
      </c>
      <c r="Q31" s="418">
        <v>3.7629999999999999</v>
      </c>
      <c r="R31" s="418">
        <v>3.782</v>
      </c>
      <c r="S31" s="418">
        <v>3.8</v>
      </c>
      <c r="T31" s="418">
        <v>3.8170000000000002</v>
      </c>
      <c r="U31" s="419">
        <v>3.8340000000000001</v>
      </c>
    </row>
    <row r="32" spans="1:21" x14ac:dyDescent="0.25">
      <c r="A32">
        <v>27</v>
      </c>
      <c r="B32" s="417">
        <v>2.7709999999999999</v>
      </c>
      <c r="C32" s="418">
        <v>3.0339999999999998</v>
      </c>
      <c r="D32" s="418">
        <v>3.1819999999999999</v>
      </c>
      <c r="E32" s="418">
        <v>3.2839999999999998</v>
      </c>
      <c r="F32" s="418">
        <v>3.3620000000000001</v>
      </c>
      <c r="G32" s="418">
        <v>3.4249999999999998</v>
      </c>
      <c r="H32" s="418">
        <v>3.4769999999999999</v>
      </c>
      <c r="I32" s="418">
        <v>3.5219999999999998</v>
      </c>
      <c r="J32" s="418">
        <v>3.5609999999999999</v>
      </c>
      <c r="K32" s="418">
        <v>3.5960000000000001</v>
      </c>
      <c r="L32" s="418">
        <v>3.6269999999999998</v>
      </c>
      <c r="M32" s="418">
        <v>3.6549999999999998</v>
      </c>
      <c r="N32" s="418">
        <v>3.681</v>
      </c>
      <c r="O32" s="418">
        <v>3.7050000000000001</v>
      </c>
      <c r="P32" s="418">
        <v>3.7269999999999999</v>
      </c>
      <c r="Q32" s="418">
        <v>3.7469999999999999</v>
      </c>
      <c r="R32" s="418">
        <v>3.766</v>
      </c>
      <c r="S32" s="418">
        <v>3.7839999999999998</v>
      </c>
      <c r="T32" s="418">
        <v>3.8010000000000002</v>
      </c>
      <c r="U32" s="419">
        <v>3.8170000000000002</v>
      </c>
    </row>
    <row r="33" spans="1:21" x14ac:dyDescent="0.25">
      <c r="A33">
        <v>28</v>
      </c>
      <c r="B33" s="417">
        <v>2.7629999999999999</v>
      </c>
      <c r="C33" s="418">
        <v>3.0249999999999999</v>
      </c>
      <c r="D33" s="418">
        <v>3.1720000000000002</v>
      </c>
      <c r="E33" s="418">
        <v>3.2730000000000001</v>
      </c>
      <c r="F33" s="418">
        <v>3.351</v>
      </c>
      <c r="G33" s="418">
        <v>3.4129999999999998</v>
      </c>
      <c r="H33" s="418">
        <v>3.4649999999999999</v>
      </c>
      <c r="I33" s="418">
        <v>3.5089999999999999</v>
      </c>
      <c r="J33" s="418">
        <v>3.548</v>
      </c>
      <c r="K33" s="418">
        <v>3.5819999999999999</v>
      </c>
      <c r="L33" s="418">
        <v>3.613</v>
      </c>
      <c r="M33" s="418">
        <v>3.641</v>
      </c>
      <c r="N33" s="418">
        <v>3.6669999999999998</v>
      </c>
      <c r="O33" s="418">
        <v>3.69</v>
      </c>
      <c r="P33" s="418">
        <v>3.7120000000000002</v>
      </c>
      <c r="Q33" s="418">
        <v>3.7320000000000002</v>
      </c>
      <c r="R33" s="418">
        <v>3.7509999999999999</v>
      </c>
      <c r="S33" s="418">
        <v>3.7690000000000001</v>
      </c>
      <c r="T33" s="418">
        <v>3.786</v>
      </c>
      <c r="U33" s="419">
        <v>3.802</v>
      </c>
    </row>
    <row r="34" spans="1:21" x14ac:dyDescent="0.25">
      <c r="A34">
        <v>29</v>
      </c>
      <c r="B34" s="417">
        <v>2.7559999999999998</v>
      </c>
      <c r="C34" s="418">
        <v>3.0169999999999999</v>
      </c>
      <c r="D34" s="418">
        <v>3.1619999999999999</v>
      </c>
      <c r="E34" s="418">
        <v>3.2629999999999999</v>
      </c>
      <c r="F34" s="418">
        <v>3.34</v>
      </c>
      <c r="G34" s="418">
        <v>3.4020000000000001</v>
      </c>
      <c r="H34" s="418">
        <v>3.4529999999999998</v>
      </c>
      <c r="I34" s="418">
        <v>3.4969999999999999</v>
      </c>
      <c r="J34" s="418">
        <v>3.536</v>
      </c>
      <c r="K34" s="418">
        <v>3.57</v>
      </c>
      <c r="L34" s="418">
        <v>3.6</v>
      </c>
      <c r="M34" s="418">
        <v>3.6280000000000001</v>
      </c>
      <c r="N34" s="418">
        <v>3.6539999999999999</v>
      </c>
      <c r="O34" s="418">
        <v>3.677</v>
      </c>
      <c r="P34" s="418">
        <v>3.6989999999999998</v>
      </c>
      <c r="Q34" s="418">
        <v>3.7189999999999999</v>
      </c>
      <c r="R34" s="418">
        <v>3.738</v>
      </c>
      <c r="S34" s="418">
        <v>3.7549999999999999</v>
      </c>
      <c r="T34" s="418">
        <v>3.7719999999999998</v>
      </c>
      <c r="U34" s="419">
        <v>3.7879999999999998</v>
      </c>
    </row>
    <row r="35" spans="1:21" x14ac:dyDescent="0.25">
      <c r="A35">
        <v>30</v>
      </c>
      <c r="B35" s="417">
        <v>2.75</v>
      </c>
      <c r="C35" s="418">
        <v>3.0089999999999999</v>
      </c>
      <c r="D35" s="418">
        <v>3.1539999999999999</v>
      </c>
      <c r="E35" s="418">
        <v>3.254</v>
      </c>
      <c r="F35" s="418">
        <v>3.33</v>
      </c>
      <c r="G35" s="418">
        <v>3.391</v>
      </c>
      <c r="H35" s="418">
        <v>3.4420000000000002</v>
      </c>
      <c r="I35" s="418">
        <v>3.4860000000000002</v>
      </c>
      <c r="J35" s="418">
        <v>3.524</v>
      </c>
      <c r="K35" s="418">
        <v>3.5579999999999998</v>
      </c>
      <c r="L35" s="418">
        <v>3.589</v>
      </c>
      <c r="M35" s="418">
        <v>3.6160000000000001</v>
      </c>
      <c r="N35" s="418">
        <v>3.641</v>
      </c>
      <c r="O35" s="418">
        <v>3.665</v>
      </c>
      <c r="P35" s="418">
        <v>3.6859999999999999</v>
      </c>
      <c r="Q35" s="418">
        <v>3.706</v>
      </c>
      <c r="R35" s="418">
        <v>3.7250000000000001</v>
      </c>
      <c r="S35" s="418">
        <v>3.7429999999999999</v>
      </c>
      <c r="T35" s="418">
        <v>3.7589999999999999</v>
      </c>
      <c r="U35" s="419">
        <v>3.7749999999999999</v>
      </c>
    </row>
    <row r="36" spans="1:21" x14ac:dyDescent="0.25">
      <c r="A36">
        <v>31</v>
      </c>
      <c r="B36" s="417">
        <v>2.7440000000000002</v>
      </c>
      <c r="C36" s="418">
        <v>3.0009999999999999</v>
      </c>
      <c r="D36" s="418">
        <v>3.145</v>
      </c>
      <c r="E36" s="418">
        <v>3.2450000000000001</v>
      </c>
      <c r="F36" s="418">
        <v>3.3210000000000002</v>
      </c>
      <c r="G36" s="418">
        <v>3.3809999999999998</v>
      </c>
      <c r="H36" s="418">
        <v>3.4319999999999999</v>
      </c>
      <c r="I36" s="418">
        <v>3.476</v>
      </c>
      <c r="J36" s="418">
        <v>3.5139999999999998</v>
      </c>
      <c r="K36" s="418">
        <v>3.5470000000000002</v>
      </c>
      <c r="L36" s="418">
        <v>3.5779999999999998</v>
      </c>
      <c r="M36" s="418">
        <v>3.605</v>
      </c>
      <c r="N36" s="418">
        <v>3.63</v>
      </c>
      <c r="O36" s="418">
        <v>3.653</v>
      </c>
      <c r="P36" s="418">
        <v>3.6749999999999998</v>
      </c>
      <c r="Q36" s="418">
        <v>3.6949999999999998</v>
      </c>
      <c r="R36" s="418">
        <v>3.7130000000000001</v>
      </c>
      <c r="S36" s="418">
        <v>3.7309999999999999</v>
      </c>
      <c r="T36" s="418">
        <v>3.7469999999999999</v>
      </c>
      <c r="U36" s="419">
        <v>3.7629999999999999</v>
      </c>
    </row>
    <row r="37" spans="1:21" x14ac:dyDescent="0.25">
      <c r="A37">
        <v>32</v>
      </c>
      <c r="B37" s="417">
        <v>2.738</v>
      </c>
      <c r="C37" s="418">
        <v>2.9940000000000002</v>
      </c>
      <c r="D37" s="418">
        <v>3.1379999999999999</v>
      </c>
      <c r="E37" s="418">
        <v>3.2370000000000001</v>
      </c>
      <c r="F37" s="418">
        <v>3.3119999999999998</v>
      </c>
      <c r="G37" s="418">
        <v>3.3719999999999999</v>
      </c>
      <c r="H37" s="418">
        <v>3.423</v>
      </c>
      <c r="I37" s="418">
        <v>3.4660000000000002</v>
      </c>
      <c r="J37" s="418">
        <v>3.504</v>
      </c>
      <c r="K37" s="418">
        <v>3.5369999999999999</v>
      </c>
      <c r="L37" s="418">
        <v>3.5670000000000002</v>
      </c>
      <c r="M37" s="418">
        <v>3.5950000000000002</v>
      </c>
      <c r="N37" s="418">
        <v>3.62</v>
      </c>
      <c r="O37" s="418">
        <v>3.6429999999999998</v>
      </c>
      <c r="P37" s="418">
        <v>3.6640000000000001</v>
      </c>
      <c r="Q37" s="418">
        <v>3.6840000000000002</v>
      </c>
      <c r="R37" s="418">
        <v>3.702</v>
      </c>
      <c r="S37" s="418">
        <v>3.7189999999999999</v>
      </c>
      <c r="T37" s="418">
        <v>3.7360000000000002</v>
      </c>
      <c r="U37" s="419">
        <v>3.7509999999999999</v>
      </c>
    </row>
    <row r="38" spans="1:21" x14ac:dyDescent="0.25">
      <c r="A38">
        <v>33</v>
      </c>
      <c r="B38" s="417">
        <v>2.7330000000000001</v>
      </c>
      <c r="C38" s="418">
        <v>2.988</v>
      </c>
      <c r="D38" s="418">
        <v>3.1309999999999998</v>
      </c>
      <c r="E38" s="418">
        <v>3.2290000000000001</v>
      </c>
      <c r="F38" s="418">
        <v>3.3039999999999998</v>
      </c>
      <c r="G38" s="418">
        <v>3.3639999999999999</v>
      </c>
      <c r="H38" s="418">
        <v>3.4140000000000001</v>
      </c>
      <c r="I38" s="418">
        <v>3.4569999999999999</v>
      </c>
      <c r="J38" s="418">
        <v>3.4950000000000001</v>
      </c>
      <c r="K38" s="418">
        <v>3.528</v>
      </c>
      <c r="L38" s="418">
        <v>3.5579999999999998</v>
      </c>
      <c r="M38" s="418">
        <v>3.585</v>
      </c>
      <c r="N38" s="418">
        <v>3.61</v>
      </c>
      <c r="O38" s="418">
        <v>3.633</v>
      </c>
      <c r="P38" s="418">
        <v>3.6539999999999999</v>
      </c>
      <c r="Q38" s="418">
        <v>3.673</v>
      </c>
      <c r="R38" s="418">
        <v>3.6920000000000002</v>
      </c>
      <c r="S38" s="418">
        <v>3.7090000000000001</v>
      </c>
      <c r="T38" s="418">
        <v>3.7250000000000001</v>
      </c>
      <c r="U38" s="419">
        <v>3.74</v>
      </c>
    </row>
    <row r="39" spans="1:21" x14ac:dyDescent="0.25">
      <c r="A39">
        <v>34</v>
      </c>
      <c r="B39" s="417">
        <v>2.7280000000000002</v>
      </c>
      <c r="C39" s="418">
        <v>2.9820000000000002</v>
      </c>
      <c r="D39" s="418">
        <v>3.1240000000000001</v>
      </c>
      <c r="E39" s="418">
        <v>3.222</v>
      </c>
      <c r="F39" s="418">
        <v>3.2959999999999998</v>
      </c>
      <c r="G39" s="418">
        <v>3.3559999999999999</v>
      </c>
      <c r="H39" s="418">
        <v>3.4060000000000001</v>
      </c>
      <c r="I39" s="418">
        <v>3.4489999999999998</v>
      </c>
      <c r="J39" s="418">
        <v>3.4860000000000002</v>
      </c>
      <c r="K39" s="418">
        <v>3.5190000000000001</v>
      </c>
      <c r="L39" s="418">
        <v>3.5489999999999999</v>
      </c>
      <c r="M39" s="418">
        <v>3.5760000000000001</v>
      </c>
      <c r="N39" s="418">
        <v>3.601</v>
      </c>
      <c r="O39" s="418">
        <v>3.6230000000000002</v>
      </c>
      <c r="P39" s="418">
        <v>3.6440000000000001</v>
      </c>
      <c r="Q39" s="418">
        <v>3.6640000000000001</v>
      </c>
      <c r="R39" s="418">
        <v>3.6819999999999999</v>
      </c>
      <c r="S39" s="418">
        <v>3.6989999999999998</v>
      </c>
      <c r="T39" s="418">
        <v>3.7149999999999999</v>
      </c>
      <c r="U39" s="419">
        <v>3.73</v>
      </c>
    </row>
    <row r="40" spans="1:21" x14ac:dyDescent="0.25">
      <c r="A40">
        <v>35</v>
      </c>
      <c r="B40" s="417">
        <v>2.7240000000000002</v>
      </c>
      <c r="C40" s="418">
        <v>2.976</v>
      </c>
      <c r="D40" s="418">
        <v>3.1179999999999999</v>
      </c>
      <c r="E40" s="418">
        <v>3.2149999999999999</v>
      </c>
      <c r="F40" s="418">
        <v>3.2890000000000001</v>
      </c>
      <c r="G40" s="418">
        <v>3.3490000000000002</v>
      </c>
      <c r="H40" s="418">
        <v>3.3980000000000001</v>
      </c>
      <c r="I40" s="418">
        <v>3.4409999999999998</v>
      </c>
      <c r="J40" s="418">
        <v>3.4780000000000002</v>
      </c>
      <c r="K40" s="418">
        <v>3.5110000000000001</v>
      </c>
      <c r="L40" s="418">
        <v>3.5409999999999999</v>
      </c>
      <c r="M40" s="418">
        <v>3.5670000000000002</v>
      </c>
      <c r="N40" s="418">
        <v>3.5920000000000001</v>
      </c>
      <c r="O40" s="418">
        <v>3.6139999999999999</v>
      </c>
      <c r="P40" s="418">
        <v>3.6349999999999998</v>
      </c>
      <c r="Q40" s="418">
        <v>3.6549999999999998</v>
      </c>
      <c r="R40" s="418">
        <v>3.673</v>
      </c>
      <c r="S40" s="418">
        <v>3.69</v>
      </c>
      <c r="T40" s="418">
        <v>3.706</v>
      </c>
      <c r="U40" s="419">
        <v>3.7210000000000001</v>
      </c>
    </row>
    <row r="41" spans="1:21" x14ac:dyDescent="0.25">
      <c r="A41">
        <v>36</v>
      </c>
      <c r="B41" s="417">
        <v>2.7189999999999999</v>
      </c>
      <c r="C41" s="418">
        <v>2.9710000000000001</v>
      </c>
      <c r="D41" s="418">
        <v>3.1120000000000001</v>
      </c>
      <c r="E41" s="418">
        <v>3.2090000000000001</v>
      </c>
      <c r="F41" s="418">
        <v>3.282</v>
      </c>
      <c r="G41" s="418">
        <v>3.3420000000000001</v>
      </c>
      <c r="H41" s="418">
        <v>3.391</v>
      </c>
      <c r="I41" s="418">
        <v>3.4329999999999998</v>
      </c>
      <c r="J41" s="418">
        <v>3.47</v>
      </c>
      <c r="K41" s="418">
        <v>3.5030000000000001</v>
      </c>
      <c r="L41" s="418">
        <v>3.5329999999999999</v>
      </c>
      <c r="M41" s="418">
        <v>3.5590000000000002</v>
      </c>
      <c r="N41" s="418">
        <v>3.5840000000000001</v>
      </c>
      <c r="O41" s="418">
        <v>3.6059999999999999</v>
      </c>
      <c r="P41" s="418">
        <v>3.6269999999999998</v>
      </c>
      <c r="Q41" s="418">
        <v>3.6459999999999999</v>
      </c>
      <c r="R41" s="418">
        <v>3.6640000000000001</v>
      </c>
      <c r="S41" s="418">
        <v>3.681</v>
      </c>
      <c r="T41" s="418">
        <v>3.6970000000000001</v>
      </c>
      <c r="U41" s="419">
        <v>3.7120000000000002</v>
      </c>
    </row>
    <row r="42" spans="1:21" x14ac:dyDescent="0.25">
      <c r="A42">
        <v>37</v>
      </c>
      <c r="B42" s="417">
        <v>2.7149999999999999</v>
      </c>
      <c r="C42" s="418">
        <v>2.9660000000000002</v>
      </c>
      <c r="D42" s="418">
        <v>3.1059999999999999</v>
      </c>
      <c r="E42" s="418">
        <v>3.2029999999999998</v>
      </c>
      <c r="F42" s="418">
        <v>3.2759999999999998</v>
      </c>
      <c r="G42" s="418">
        <v>3.335</v>
      </c>
      <c r="H42" s="418">
        <v>3.3839999999999999</v>
      </c>
      <c r="I42" s="418">
        <v>3.4260000000000002</v>
      </c>
      <c r="J42" s="418">
        <v>3.4630000000000001</v>
      </c>
      <c r="K42" s="418">
        <v>3.496</v>
      </c>
      <c r="L42" s="418">
        <v>3.5249999999999999</v>
      </c>
      <c r="M42" s="418">
        <v>3.552</v>
      </c>
      <c r="N42" s="418">
        <v>3.5760000000000001</v>
      </c>
      <c r="O42" s="418">
        <v>3.5979999999999999</v>
      </c>
      <c r="P42" s="418">
        <v>3.6190000000000002</v>
      </c>
      <c r="Q42" s="418">
        <v>3.6379999999999999</v>
      </c>
      <c r="R42" s="418">
        <v>3.6560000000000001</v>
      </c>
      <c r="S42" s="418">
        <v>3.673</v>
      </c>
      <c r="T42" s="418">
        <v>3.6890000000000001</v>
      </c>
      <c r="U42" s="419">
        <v>3.7040000000000002</v>
      </c>
    </row>
    <row r="43" spans="1:21" x14ac:dyDescent="0.25">
      <c r="A43">
        <v>38</v>
      </c>
      <c r="B43" s="417">
        <v>2.7120000000000002</v>
      </c>
      <c r="C43" s="418">
        <v>2.9609999999999999</v>
      </c>
      <c r="D43" s="418">
        <v>3.101</v>
      </c>
      <c r="E43" s="418">
        <v>3.1970000000000001</v>
      </c>
      <c r="F43" s="418">
        <v>3.27</v>
      </c>
      <c r="G43" s="418">
        <v>3.3290000000000002</v>
      </c>
      <c r="H43" s="418">
        <v>3.3780000000000001</v>
      </c>
      <c r="I43" s="418">
        <v>3.42</v>
      </c>
      <c r="J43" s="418">
        <v>3.456</v>
      </c>
      <c r="K43" s="418">
        <v>3.4889999999999999</v>
      </c>
      <c r="L43" s="418">
        <v>3.5179999999999998</v>
      </c>
      <c r="M43" s="418">
        <v>3.544</v>
      </c>
      <c r="N43" s="418">
        <v>3.569</v>
      </c>
      <c r="O43" s="418">
        <v>3.5910000000000002</v>
      </c>
      <c r="P43" s="418">
        <v>3.6110000000000002</v>
      </c>
      <c r="Q43" s="418">
        <v>3.6309999999999998</v>
      </c>
      <c r="R43" s="418">
        <v>3.649</v>
      </c>
      <c r="S43" s="418">
        <v>3.665</v>
      </c>
      <c r="T43" s="418">
        <v>3.681</v>
      </c>
      <c r="U43" s="419">
        <v>3.6960000000000002</v>
      </c>
    </row>
    <row r="44" spans="1:21" x14ac:dyDescent="0.25">
      <c r="A44">
        <v>39</v>
      </c>
      <c r="B44" s="417">
        <v>2.7080000000000002</v>
      </c>
      <c r="C44" s="418">
        <v>2.9569999999999999</v>
      </c>
      <c r="D44" s="418">
        <v>3.0960000000000001</v>
      </c>
      <c r="E44" s="418">
        <v>3.1920000000000002</v>
      </c>
      <c r="F44" s="418">
        <v>3.2639999999999998</v>
      </c>
      <c r="G44" s="418">
        <v>3.323</v>
      </c>
      <c r="H44" s="418">
        <v>3.3719999999999999</v>
      </c>
      <c r="I44" s="418">
        <v>3.4129999999999998</v>
      </c>
      <c r="J44" s="418">
        <v>3.45</v>
      </c>
      <c r="K44" s="418">
        <v>3.4820000000000002</v>
      </c>
      <c r="L44" s="418">
        <v>3.5110000000000001</v>
      </c>
      <c r="M44" s="418">
        <v>3.5379999999999998</v>
      </c>
      <c r="N44" s="418">
        <v>3.5619999999999998</v>
      </c>
      <c r="O44" s="418">
        <v>3.5840000000000001</v>
      </c>
      <c r="P44" s="418">
        <v>3.6040000000000001</v>
      </c>
      <c r="Q44" s="418">
        <v>3.6230000000000002</v>
      </c>
      <c r="R44" s="418">
        <v>3.641</v>
      </c>
      <c r="S44" s="418">
        <v>3.6579999999999999</v>
      </c>
      <c r="T44" s="418">
        <v>3.6739999999999999</v>
      </c>
      <c r="U44" s="419">
        <v>3.6890000000000001</v>
      </c>
    </row>
    <row r="45" spans="1:21" x14ac:dyDescent="0.25">
      <c r="A45">
        <v>40</v>
      </c>
      <c r="B45" s="417">
        <v>2.7040000000000002</v>
      </c>
      <c r="C45" s="418">
        <v>2.952</v>
      </c>
      <c r="D45" s="418">
        <v>3.0910000000000002</v>
      </c>
      <c r="E45" s="418">
        <v>3.1859999999999999</v>
      </c>
      <c r="F45" s="418">
        <v>3.2589999999999999</v>
      </c>
      <c r="G45" s="418">
        <v>3.3170000000000002</v>
      </c>
      <c r="H45" s="418">
        <v>3.3660000000000001</v>
      </c>
      <c r="I45" s="418">
        <v>3.4079999999999999</v>
      </c>
      <c r="J45" s="418">
        <v>3.444</v>
      </c>
      <c r="K45" s="418">
        <v>3.476</v>
      </c>
      <c r="L45" s="418">
        <v>3.5049999999999999</v>
      </c>
      <c r="M45" s="418">
        <v>3.5310000000000001</v>
      </c>
      <c r="N45" s="418">
        <v>3.5550000000000002</v>
      </c>
      <c r="O45" s="418">
        <v>3.577</v>
      </c>
      <c r="P45" s="418">
        <v>3.5979999999999999</v>
      </c>
      <c r="Q45" s="418">
        <v>3.617</v>
      </c>
      <c r="R45" s="418">
        <v>3.6339999999999999</v>
      </c>
      <c r="S45" s="418">
        <v>3.6509999999999998</v>
      </c>
      <c r="T45" s="418">
        <v>3.6669999999999998</v>
      </c>
      <c r="U45" s="419">
        <v>3.6819999999999999</v>
      </c>
    </row>
    <row r="46" spans="1:21" x14ac:dyDescent="0.25">
      <c r="A46">
        <v>48</v>
      </c>
      <c r="B46" s="417">
        <v>2.6819999999999999</v>
      </c>
      <c r="C46" s="418">
        <v>2.9249999999999998</v>
      </c>
      <c r="D46" s="418">
        <v>3.06</v>
      </c>
      <c r="E46" s="418">
        <v>3.1539999999999999</v>
      </c>
      <c r="F46" s="418">
        <v>3.2240000000000002</v>
      </c>
      <c r="G46" s="418">
        <v>3.2810000000000001</v>
      </c>
      <c r="H46" s="418">
        <v>3.3290000000000002</v>
      </c>
      <c r="I46" s="418">
        <v>3.3690000000000002</v>
      </c>
      <c r="J46" s="418">
        <v>3.4049999999999998</v>
      </c>
      <c r="K46" s="418">
        <v>3.4359999999999999</v>
      </c>
      <c r="L46" s="418">
        <v>3.464</v>
      </c>
      <c r="M46" s="418">
        <v>3.49</v>
      </c>
      <c r="N46" s="418">
        <v>3.5129999999999999</v>
      </c>
      <c r="O46" s="418">
        <v>3.5350000000000001</v>
      </c>
      <c r="P46" s="418">
        <v>3.5550000000000002</v>
      </c>
      <c r="Q46" s="418">
        <v>3.573</v>
      </c>
      <c r="R46" s="418">
        <v>3.59</v>
      </c>
      <c r="S46" s="418">
        <v>3.6070000000000002</v>
      </c>
      <c r="T46" s="418">
        <v>3.6219999999999999</v>
      </c>
      <c r="U46" s="419">
        <v>3.6360000000000001</v>
      </c>
    </row>
    <row r="47" spans="1:21" x14ac:dyDescent="0.25">
      <c r="A47">
        <v>60</v>
      </c>
      <c r="B47" s="417">
        <v>2.66</v>
      </c>
      <c r="C47" s="418">
        <v>2.8980000000000001</v>
      </c>
      <c r="D47" s="418">
        <v>3.03</v>
      </c>
      <c r="E47" s="418">
        <v>3.121</v>
      </c>
      <c r="F47" s="418">
        <v>3.19</v>
      </c>
      <c r="G47" s="418">
        <v>3.246</v>
      </c>
      <c r="H47" s="418">
        <v>3.2919999999999998</v>
      </c>
      <c r="I47" s="418">
        <v>3.3319999999999999</v>
      </c>
      <c r="J47" s="418">
        <v>3.3660000000000001</v>
      </c>
      <c r="K47" s="418">
        <v>3.3969999999999998</v>
      </c>
      <c r="L47" s="418">
        <v>3.4239999999999999</v>
      </c>
      <c r="M47" s="418">
        <v>3.4489999999999998</v>
      </c>
      <c r="N47" s="418">
        <v>3.472</v>
      </c>
      <c r="O47" s="418">
        <v>3.4929999999999999</v>
      </c>
      <c r="P47" s="418">
        <v>3.512</v>
      </c>
      <c r="Q47" s="418">
        <v>3.53</v>
      </c>
      <c r="R47" s="418">
        <v>3.5470000000000002</v>
      </c>
      <c r="S47" s="418">
        <v>3.5630000000000002</v>
      </c>
      <c r="T47" s="418">
        <v>3.5779999999999998</v>
      </c>
      <c r="U47" s="419">
        <v>3.5920000000000001</v>
      </c>
    </row>
    <row r="48" spans="1:21" x14ac:dyDescent="0.25">
      <c r="A48">
        <v>80</v>
      </c>
      <c r="B48" s="417">
        <v>2.6389999999999998</v>
      </c>
      <c r="C48" s="418">
        <v>2.871</v>
      </c>
      <c r="D48" s="418">
        <v>3.0009999999999999</v>
      </c>
      <c r="E48" s="418">
        <v>3.09</v>
      </c>
      <c r="F48" s="418">
        <v>3.157</v>
      </c>
      <c r="G48" s="418">
        <v>3.2109999999999999</v>
      </c>
      <c r="H48" s="418">
        <v>3.2559999999999998</v>
      </c>
      <c r="I48" s="418">
        <v>3.2949999999999999</v>
      </c>
      <c r="J48" s="418">
        <v>3.3279999999999998</v>
      </c>
      <c r="K48" s="418">
        <v>3.3580000000000001</v>
      </c>
      <c r="L48" s="418">
        <v>3.3849999999999998</v>
      </c>
      <c r="M48" s="418">
        <v>3.4089999999999998</v>
      </c>
      <c r="N48" s="418">
        <v>3.431</v>
      </c>
      <c r="O48" s="418">
        <v>3.452</v>
      </c>
      <c r="P48" s="418">
        <v>3.4710000000000001</v>
      </c>
      <c r="Q48" s="418">
        <v>3.488</v>
      </c>
      <c r="R48" s="418">
        <v>3.504</v>
      </c>
      <c r="S48" s="418">
        <v>3.52</v>
      </c>
      <c r="T48" s="418">
        <v>3.5339999999999998</v>
      </c>
      <c r="U48" s="419">
        <v>3.548</v>
      </c>
    </row>
    <row r="49" spans="1:21" x14ac:dyDescent="0.25">
      <c r="A49" s="453">
        <v>120</v>
      </c>
      <c r="B49" s="417">
        <v>2.617</v>
      </c>
      <c r="C49" s="418">
        <v>2.8450000000000002</v>
      </c>
      <c r="D49" s="418">
        <v>2.972</v>
      </c>
      <c r="E49" s="418">
        <v>3.0590000000000002</v>
      </c>
      <c r="F49" s="418">
        <v>3.1240000000000001</v>
      </c>
      <c r="G49" s="418">
        <v>3.177</v>
      </c>
      <c r="H49" s="418">
        <v>3.2210000000000001</v>
      </c>
      <c r="I49" s="418">
        <v>3.2589999999999999</v>
      </c>
      <c r="J49" s="418">
        <v>3.2909999999999999</v>
      </c>
      <c r="K49" s="418">
        <v>3.32</v>
      </c>
      <c r="L49" s="418">
        <v>3.3460000000000001</v>
      </c>
      <c r="M49" s="418">
        <v>3.37</v>
      </c>
      <c r="N49" s="418">
        <v>3.3919999999999999</v>
      </c>
      <c r="O49" s="418">
        <v>3.411</v>
      </c>
      <c r="P49" s="418">
        <v>3.43</v>
      </c>
      <c r="Q49" s="418">
        <v>3.4470000000000001</v>
      </c>
      <c r="R49" s="418">
        <v>3.4630000000000001</v>
      </c>
      <c r="S49" s="418">
        <v>3.4780000000000002</v>
      </c>
      <c r="T49" s="418">
        <v>3.492</v>
      </c>
      <c r="U49" s="419">
        <v>3.5049999999999999</v>
      </c>
    </row>
    <row r="50" spans="1:21" x14ac:dyDescent="0.25">
      <c r="A50" s="453">
        <v>240</v>
      </c>
      <c r="B50" s="417">
        <v>2.5960000000000001</v>
      </c>
      <c r="C50" s="418">
        <v>2.82</v>
      </c>
      <c r="D50" s="418">
        <v>2.9430000000000001</v>
      </c>
      <c r="E50" s="418">
        <v>3.028</v>
      </c>
      <c r="F50" s="418">
        <v>3.0920000000000001</v>
      </c>
      <c r="G50" s="418">
        <v>3.1429999999999998</v>
      </c>
      <c r="H50" s="418">
        <v>3.1859999999999999</v>
      </c>
      <c r="I50" s="418">
        <v>3.2229999999999999</v>
      </c>
      <c r="J50" s="418">
        <v>3.2549999999999999</v>
      </c>
      <c r="K50" s="418">
        <v>3.2829999999999999</v>
      </c>
      <c r="L50" s="418">
        <v>3.3079999999999998</v>
      </c>
      <c r="M50" s="418">
        <v>3.331</v>
      </c>
      <c r="N50" s="418">
        <v>3.3519999999999999</v>
      </c>
      <c r="O50" s="418">
        <v>3.3719999999999999</v>
      </c>
      <c r="P50" s="418">
        <v>3.3889999999999998</v>
      </c>
      <c r="Q50" s="418">
        <v>3.4060000000000001</v>
      </c>
      <c r="R50" s="418">
        <v>3.4220000000000002</v>
      </c>
      <c r="S50" s="418">
        <v>3.4359999999999999</v>
      </c>
      <c r="T50" s="418">
        <v>3.45</v>
      </c>
      <c r="U50" s="419">
        <v>3.4630000000000001</v>
      </c>
    </row>
    <row r="51" spans="1:21" x14ac:dyDescent="0.25">
      <c r="A51" s="454" t="s">
        <v>752</v>
      </c>
      <c r="B51" s="455">
        <v>2.5760000000000001</v>
      </c>
      <c r="C51" s="456">
        <v>2.794</v>
      </c>
      <c r="D51" s="456">
        <v>2.915</v>
      </c>
      <c r="E51" s="456">
        <v>2.9980000000000002</v>
      </c>
      <c r="F51" s="456">
        <v>3.06</v>
      </c>
      <c r="G51" s="456">
        <v>3.11</v>
      </c>
      <c r="H51" s="456">
        <v>3.1520000000000001</v>
      </c>
      <c r="I51" s="456">
        <v>3.1880000000000002</v>
      </c>
      <c r="J51" s="456">
        <v>3.2189999999999999</v>
      </c>
      <c r="K51" s="456">
        <v>3.246</v>
      </c>
      <c r="L51" s="456">
        <v>3.2709999999999999</v>
      </c>
      <c r="M51" s="456">
        <v>3.2930000000000001</v>
      </c>
      <c r="N51" s="456">
        <v>3.3140000000000001</v>
      </c>
      <c r="O51" s="456">
        <v>3.3330000000000002</v>
      </c>
      <c r="P51" s="456">
        <v>3.35</v>
      </c>
      <c r="Q51" s="456">
        <v>3.3660000000000001</v>
      </c>
      <c r="R51" s="456">
        <v>3.3809999999999998</v>
      </c>
      <c r="S51" s="456">
        <v>3.395</v>
      </c>
      <c r="T51" s="456">
        <v>3.4089999999999998</v>
      </c>
      <c r="U51" s="457">
        <v>3.4209999999999998</v>
      </c>
    </row>
    <row r="53" spans="1:21" x14ac:dyDescent="0.25">
      <c r="A53" s="1" t="s">
        <v>70</v>
      </c>
      <c r="B53" s="1">
        <v>0.05</v>
      </c>
    </row>
    <row r="55" spans="1:21" x14ac:dyDescent="0.25">
      <c r="A55" s="454" t="s">
        <v>792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</row>
    <row r="56" spans="1:21" x14ac:dyDescent="0.25">
      <c r="A56" s="453">
        <v>1</v>
      </c>
      <c r="B56" s="414">
        <v>12.706</v>
      </c>
      <c r="C56" s="415">
        <v>17.369</v>
      </c>
      <c r="D56" s="415">
        <v>20.033999999999999</v>
      </c>
      <c r="E56" s="415">
        <v>21.85</v>
      </c>
      <c r="F56" s="415">
        <v>23.209</v>
      </c>
      <c r="G56" s="415">
        <v>24.285</v>
      </c>
      <c r="H56" s="415">
        <v>25.170999999999999</v>
      </c>
      <c r="I56" s="415">
        <v>25.922000000000001</v>
      </c>
      <c r="J56" s="415">
        <v>26.57</v>
      </c>
      <c r="K56" s="415">
        <v>27.140999999999998</v>
      </c>
      <c r="L56" s="415">
        <v>27.649000000000001</v>
      </c>
      <c r="M56" s="415">
        <v>28.106000000000002</v>
      </c>
      <c r="N56" s="415">
        <v>28.521000000000001</v>
      </c>
      <c r="O56" s="415">
        <v>28.901</v>
      </c>
      <c r="P56" s="415">
        <v>29.251000000000001</v>
      </c>
      <c r="Q56" s="415">
        <v>29.574999999999999</v>
      </c>
      <c r="R56" s="415">
        <v>29.876000000000001</v>
      </c>
      <c r="S56" s="415">
        <v>30.158000000000001</v>
      </c>
      <c r="T56" s="415">
        <v>30.422000000000001</v>
      </c>
      <c r="U56" s="452">
        <v>30.670999999999999</v>
      </c>
    </row>
    <row r="57" spans="1:21" x14ac:dyDescent="0.25">
      <c r="A57" s="453">
        <v>2</v>
      </c>
      <c r="B57" s="417">
        <v>4.3029999999999999</v>
      </c>
      <c r="C57" s="418">
        <v>5.4180000000000001</v>
      </c>
      <c r="D57" s="418">
        <v>6.0650000000000004</v>
      </c>
      <c r="E57" s="418">
        <v>6.5129999999999999</v>
      </c>
      <c r="F57" s="418">
        <v>6.8520000000000003</v>
      </c>
      <c r="G57" s="418">
        <v>7.1239999999999997</v>
      </c>
      <c r="H57" s="418">
        <v>7.3490000000000002</v>
      </c>
      <c r="I57" s="418">
        <v>7.54</v>
      </c>
      <c r="J57" s="418">
        <v>7.7069999999999999</v>
      </c>
      <c r="K57" s="418">
        <v>7.8529999999999998</v>
      </c>
      <c r="L57" s="418">
        <v>7.9850000000000003</v>
      </c>
      <c r="M57" s="418">
        <v>8.1029999999999998</v>
      </c>
      <c r="N57" s="418">
        <v>8.2110000000000003</v>
      </c>
      <c r="O57" s="418">
        <v>8.31</v>
      </c>
      <c r="P57" s="418">
        <v>8.4009999999999998</v>
      </c>
      <c r="Q57" s="418">
        <v>8.4849999999999994</v>
      </c>
      <c r="R57" s="418">
        <v>8.5640000000000001</v>
      </c>
      <c r="S57" s="418">
        <v>8.6379999999999999</v>
      </c>
      <c r="T57" s="418">
        <v>8.7070000000000007</v>
      </c>
      <c r="U57" s="419">
        <v>8.7729999999999997</v>
      </c>
    </row>
    <row r="58" spans="1:21" x14ac:dyDescent="0.25">
      <c r="A58" s="453">
        <v>3</v>
      </c>
      <c r="B58" s="417">
        <v>3.1819999999999999</v>
      </c>
      <c r="C58" s="418">
        <v>3.867</v>
      </c>
      <c r="D58" s="418">
        <v>4.2629999999999999</v>
      </c>
      <c r="E58" s="418">
        <v>4.5380000000000003</v>
      </c>
      <c r="F58" s="418">
        <v>4.7480000000000002</v>
      </c>
      <c r="G58" s="418">
        <v>4.9160000000000004</v>
      </c>
      <c r="H58" s="418">
        <v>5.056</v>
      </c>
      <c r="I58" s="418">
        <v>5.1760000000000002</v>
      </c>
      <c r="J58" s="418">
        <v>5.28</v>
      </c>
      <c r="K58" s="418">
        <v>5.3719999999999999</v>
      </c>
      <c r="L58" s="418">
        <v>5.4550000000000001</v>
      </c>
      <c r="M58" s="418">
        <v>5.5289999999999999</v>
      </c>
      <c r="N58" s="418">
        <v>5.5970000000000004</v>
      </c>
      <c r="O58" s="418">
        <v>5.66</v>
      </c>
      <c r="P58" s="418">
        <v>5.7169999999999996</v>
      </c>
      <c r="Q58" s="418">
        <v>5.7709999999999999</v>
      </c>
      <c r="R58" s="418">
        <v>5.8209999999999997</v>
      </c>
      <c r="S58" s="418">
        <v>5.8680000000000003</v>
      </c>
      <c r="T58" s="418">
        <v>5.9119999999999999</v>
      </c>
      <c r="U58" s="419">
        <v>5.9530000000000003</v>
      </c>
    </row>
    <row r="59" spans="1:21" x14ac:dyDescent="0.25">
      <c r="A59" s="453">
        <v>4</v>
      </c>
      <c r="B59" s="417">
        <v>2.7759999999999998</v>
      </c>
      <c r="C59" s="418">
        <v>3.31</v>
      </c>
      <c r="D59" s="418">
        <v>3.6179999999999999</v>
      </c>
      <c r="E59" s="418">
        <v>3.8319999999999999</v>
      </c>
      <c r="F59" s="418">
        <v>3.9940000000000002</v>
      </c>
      <c r="G59" s="418">
        <v>4.125</v>
      </c>
      <c r="H59" s="418">
        <v>4.2350000000000003</v>
      </c>
      <c r="I59" s="418">
        <v>4.3280000000000003</v>
      </c>
      <c r="J59" s="418">
        <v>4.41</v>
      </c>
      <c r="K59" s="418">
        <v>4.4820000000000002</v>
      </c>
      <c r="L59" s="418">
        <v>4.5460000000000003</v>
      </c>
      <c r="M59" s="418">
        <v>4.6050000000000004</v>
      </c>
      <c r="N59" s="418">
        <v>4.6580000000000004</v>
      </c>
      <c r="O59" s="418">
        <v>4.7069999999999999</v>
      </c>
      <c r="P59" s="418">
        <v>4.7519999999999998</v>
      </c>
      <c r="Q59" s="418">
        <v>4.7939999999999996</v>
      </c>
      <c r="R59" s="418">
        <v>4.8339999999999996</v>
      </c>
      <c r="S59" s="418">
        <v>4.87</v>
      </c>
      <c r="T59" s="418">
        <v>4.9050000000000002</v>
      </c>
      <c r="U59" s="419">
        <v>4.9379999999999997</v>
      </c>
    </row>
    <row r="60" spans="1:21" x14ac:dyDescent="0.25">
      <c r="A60" s="453">
        <v>5</v>
      </c>
      <c r="B60" s="417">
        <v>2.5710000000000002</v>
      </c>
      <c r="C60" s="418">
        <v>3.03</v>
      </c>
      <c r="D60" s="418">
        <v>3.2930000000000001</v>
      </c>
      <c r="E60" s="418">
        <v>3.476</v>
      </c>
      <c r="F60" s="418">
        <v>3.6150000000000002</v>
      </c>
      <c r="G60" s="418">
        <v>3.7269999999999999</v>
      </c>
      <c r="H60" s="418">
        <v>3.8210000000000002</v>
      </c>
      <c r="I60" s="418">
        <v>3.9</v>
      </c>
      <c r="J60" s="418">
        <v>3.97</v>
      </c>
      <c r="K60" s="418">
        <v>4.032</v>
      </c>
      <c r="L60" s="418">
        <v>4.0869999999999997</v>
      </c>
      <c r="M60" s="418">
        <v>4.1369999999999996</v>
      </c>
      <c r="N60" s="418">
        <v>4.1829999999999998</v>
      </c>
      <c r="O60" s="418">
        <v>4.2249999999999996</v>
      </c>
      <c r="P60" s="418">
        <v>4.2640000000000002</v>
      </c>
      <c r="Q60" s="418">
        <v>4.3</v>
      </c>
      <c r="R60" s="418">
        <v>4.3339999999999996</v>
      </c>
      <c r="S60" s="418">
        <v>4.3659999999999997</v>
      </c>
      <c r="T60" s="418">
        <v>4.3949999999999996</v>
      </c>
      <c r="U60" s="419">
        <v>4.4240000000000004</v>
      </c>
    </row>
    <row r="61" spans="1:21" x14ac:dyDescent="0.25">
      <c r="A61" s="453">
        <v>6</v>
      </c>
      <c r="B61" s="417">
        <v>2.4470000000000001</v>
      </c>
      <c r="C61" s="418">
        <v>2.863</v>
      </c>
      <c r="D61" s="418">
        <v>3.0990000000000002</v>
      </c>
      <c r="E61" s="418">
        <v>3.2629999999999999</v>
      </c>
      <c r="F61" s="418">
        <v>3.3879999999999999</v>
      </c>
      <c r="G61" s="418">
        <v>3.4889999999999999</v>
      </c>
      <c r="H61" s="418">
        <v>3.573</v>
      </c>
      <c r="I61" s="418">
        <v>3.6440000000000001</v>
      </c>
      <c r="J61" s="418">
        <v>3.7069999999999999</v>
      </c>
      <c r="K61" s="418">
        <v>3.7629999999999999</v>
      </c>
      <c r="L61" s="418">
        <v>3.8119999999999998</v>
      </c>
      <c r="M61" s="418">
        <v>3.8570000000000002</v>
      </c>
      <c r="N61" s="418">
        <v>3.8980000000000001</v>
      </c>
      <c r="O61" s="418">
        <v>3.9359999999999999</v>
      </c>
      <c r="P61" s="418">
        <v>3.9710000000000001</v>
      </c>
      <c r="Q61" s="418">
        <v>4.0039999999999996</v>
      </c>
      <c r="R61" s="418">
        <v>4.0339999999999998</v>
      </c>
      <c r="S61" s="418">
        <v>4.0629999999999997</v>
      </c>
      <c r="T61" s="418">
        <v>4.0890000000000004</v>
      </c>
      <c r="U61" s="419">
        <v>4.1150000000000002</v>
      </c>
    </row>
    <row r="62" spans="1:21" x14ac:dyDescent="0.25">
      <c r="A62" s="453">
        <v>7</v>
      </c>
      <c r="B62" s="417">
        <v>2.3650000000000002</v>
      </c>
      <c r="C62" s="418">
        <v>2.7519999999999998</v>
      </c>
      <c r="D62" s="418">
        <v>2.9710000000000001</v>
      </c>
      <c r="E62" s="418">
        <v>3.1230000000000002</v>
      </c>
      <c r="F62" s="418">
        <v>3.238</v>
      </c>
      <c r="G62" s="418">
        <v>3.331</v>
      </c>
      <c r="H62" s="418">
        <v>3.4079999999999999</v>
      </c>
      <c r="I62" s="418">
        <v>3.4750000000000001</v>
      </c>
      <c r="J62" s="418">
        <v>3.5329999999999999</v>
      </c>
      <c r="K62" s="418">
        <v>3.5840000000000001</v>
      </c>
      <c r="L62" s="418">
        <v>3.63</v>
      </c>
      <c r="M62" s="418">
        <v>3.6709999999999998</v>
      </c>
      <c r="N62" s="418">
        <v>3.7090000000000001</v>
      </c>
      <c r="O62" s="418">
        <v>3.7440000000000002</v>
      </c>
      <c r="P62" s="418">
        <v>3.7770000000000001</v>
      </c>
      <c r="Q62" s="418">
        <v>3.8069999999999999</v>
      </c>
      <c r="R62" s="418">
        <v>3.835</v>
      </c>
      <c r="S62" s="418">
        <v>3.8610000000000002</v>
      </c>
      <c r="T62" s="418">
        <v>3.8860000000000001</v>
      </c>
      <c r="U62" s="419">
        <v>3.9089999999999998</v>
      </c>
    </row>
    <row r="63" spans="1:21" x14ac:dyDescent="0.25">
      <c r="A63" s="453">
        <v>8</v>
      </c>
      <c r="B63" s="417">
        <v>2.306</v>
      </c>
      <c r="C63" s="418">
        <v>2.673</v>
      </c>
      <c r="D63" s="418">
        <v>2.88</v>
      </c>
      <c r="E63" s="418">
        <v>3.0230000000000001</v>
      </c>
      <c r="F63" s="418">
        <v>3.1309999999999998</v>
      </c>
      <c r="G63" s="418">
        <v>3.2189999999999999</v>
      </c>
      <c r="H63" s="418">
        <v>3.2919999999999998</v>
      </c>
      <c r="I63" s="418">
        <v>3.3540000000000001</v>
      </c>
      <c r="J63" s="418">
        <v>3.4079999999999999</v>
      </c>
      <c r="K63" s="418">
        <v>3.4569999999999999</v>
      </c>
      <c r="L63" s="418">
        <v>3.5</v>
      </c>
      <c r="M63" s="418">
        <v>3.5390000000000001</v>
      </c>
      <c r="N63" s="418">
        <v>3.5750000000000002</v>
      </c>
      <c r="O63" s="418">
        <v>3.6080000000000001</v>
      </c>
      <c r="P63" s="418">
        <v>3.6379999999999999</v>
      </c>
      <c r="Q63" s="418">
        <v>3.6659999999999999</v>
      </c>
      <c r="R63" s="418">
        <v>3.6930000000000001</v>
      </c>
      <c r="S63" s="418">
        <v>3.718</v>
      </c>
      <c r="T63" s="418">
        <v>3.7410000000000001</v>
      </c>
      <c r="U63" s="419">
        <v>3.7629999999999999</v>
      </c>
    </row>
    <row r="64" spans="1:21" x14ac:dyDescent="0.25">
      <c r="A64" s="453">
        <v>9</v>
      </c>
      <c r="B64" s="417">
        <v>2.262</v>
      </c>
      <c r="C64" s="418">
        <v>2.6139999999999999</v>
      </c>
      <c r="D64" s="418">
        <v>2.8119999999999998</v>
      </c>
      <c r="E64" s="418">
        <v>2.948</v>
      </c>
      <c r="F64" s="418">
        <v>3.052</v>
      </c>
      <c r="G64" s="418">
        <v>3.1349999999999998</v>
      </c>
      <c r="H64" s="418">
        <v>3.2050000000000001</v>
      </c>
      <c r="I64" s="418">
        <v>3.2639999999999998</v>
      </c>
      <c r="J64" s="418">
        <v>3.3159999999999998</v>
      </c>
      <c r="K64" s="418">
        <v>3.3620000000000001</v>
      </c>
      <c r="L64" s="418">
        <v>3.403</v>
      </c>
      <c r="M64" s="418">
        <v>3.44</v>
      </c>
      <c r="N64" s="418">
        <v>3.4740000000000002</v>
      </c>
      <c r="O64" s="418">
        <v>3.5059999999999998</v>
      </c>
      <c r="P64" s="418">
        <v>3.5350000000000001</v>
      </c>
      <c r="Q64" s="418">
        <v>3.5619999999999998</v>
      </c>
      <c r="R64" s="418">
        <v>3.5870000000000002</v>
      </c>
      <c r="S64" s="418">
        <v>3.61</v>
      </c>
      <c r="T64" s="418">
        <v>3.633</v>
      </c>
      <c r="U64" s="419">
        <v>3.6539999999999999</v>
      </c>
    </row>
    <row r="65" spans="1:21" x14ac:dyDescent="0.25">
      <c r="A65" s="453">
        <v>10</v>
      </c>
      <c r="B65" s="417">
        <v>2.2280000000000002</v>
      </c>
      <c r="C65" s="418">
        <v>2.5680000000000001</v>
      </c>
      <c r="D65" s="418">
        <v>2.7589999999999999</v>
      </c>
      <c r="E65" s="418">
        <v>2.89</v>
      </c>
      <c r="F65" s="418">
        <v>2.99</v>
      </c>
      <c r="G65" s="418">
        <v>3.07</v>
      </c>
      <c r="H65" s="418">
        <v>3.137</v>
      </c>
      <c r="I65" s="418">
        <v>3.194</v>
      </c>
      <c r="J65" s="418">
        <v>3.2440000000000002</v>
      </c>
      <c r="K65" s="418">
        <v>3.2879999999999998</v>
      </c>
      <c r="L65" s="418">
        <v>3.3279999999999998</v>
      </c>
      <c r="M65" s="418">
        <v>3.3639999999999999</v>
      </c>
      <c r="N65" s="418">
        <v>3.3959999999999999</v>
      </c>
      <c r="O65" s="418">
        <v>3.427</v>
      </c>
      <c r="P65" s="418">
        <v>3.4540000000000002</v>
      </c>
      <c r="Q65" s="418">
        <v>3.48</v>
      </c>
      <c r="R65" s="418">
        <v>3.504</v>
      </c>
      <c r="S65" s="418">
        <v>3.5270000000000001</v>
      </c>
      <c r="T65" s="418">
        <v>3.5489999999999999</v>
      </c>
      <c r="U65" s="419">
        <v>3.569</v>
      </c>
    </row>
    <row r="66" spans="1:21" x14ac:dyDescent="0.25">
      <c r="A66" s="453">
        <v>11</v>
      </c>
      <c r="B66" s="417">
        <v>2.2010000000000001</v>
      </c>
      <c r="C66" s="418">
        <v>2.532</v>
      </c>
      <c r="D66" s="418">
        <v>2.7170000000000001</v>
      </c>
      <c r="E66" s="418">
        <v>2.8450000000000002</v>
      </c>
      <c r="F66" s="418">
        <v>2.9409999999999998</v>
      </c>
      <c r="G66" s="418">
        <v>3.0190000000000001</v>
      </c>
      <c r="H66" s="418">
        <v>3.0840000000000001</v>
      </c>
      <c r="I66" s="418">
        <v>3.1389999999999998</v>
      </c>
      <c r="J66" s="418">
        <v>3.1869999999999998</v>
      </c>
      <c r="K66" s="418">
        <v>3.23</v>
      </c>
      <c r="L66" s="418">
        <v>3.2679999999999998</v>
      </c>
      <c r="M66" s="418">
        <v>3.3029999999999999</v>
      </c>
      <c r="N66" s="418">
        <v>3.3340000000000001</v>
      </c>
      <c r="O66" s="418">
        <v>3.363</v>
      </c>
      <c r="P66" s="418">
        <v>3.39</v>
      </c>
      <c r="Q66" s="418">
        <v>3.415</v>
      </c>
      <c r="R66" s="418">
        <v>3.4390000000000001</v>
      </c>
      <c r="S66" s="418">
        <v>3.4609999999999999</v>
      </c>
      <c r="T66" s="418">
        <v>3.4809999999999999</v>
      </c>
      <c r="U66" s="419">
        <v>3.5009999999999999</v>
      </c>
    </row>
    <row r="67" spans="1:21" x14ac:dyDescent="0.25">
      <c r="A67" s="453">
        <v>12</v>
      </c>
      <c r="B67" s="417">
        <v>2.1789999999999998</v>
      </c>
      <c r="C67" s="418">
        <v>2.5019999999999998</v>
      </c>
      <c r="D67" s="418">
        <v>2.6829999999999998</v>
      </c>
      <c r="E67" s="418">
        <v>2.8069999999999999</v>
      </c>
      <c r="F67" s="418">
        <v>2.9009999999999998</v>
      </c>
      <c r="G67" s="418">
        <v>2.9769999999999999</v>
      </c>
      <c r="H67" s="418">
        <v>3.04</v>
      </c>
      <c r="I67" s="418">
        <v>3.0939999999999999</v>
      </c>
      <c r="J67" s="418">
        <v>3.14</v>
      </c>
      <c r="K67" s="418">
        <v>3.1819999999999999</v>
      </c>
      <c r="L67" s="418">
        <v>3.2189999999999999</v>
      </c>
      <c r="M67" s="418">
        <v>3.2530000000000001</v>
      </c>
      <c r="N67" s="418">
        <v>3.2839999999999998</v>
      </c>
      <c r="O67" s="418">
        <v>3.3119999999999998</v>
      </c>
      <c r="P67" s="418">
        <v>3.3380000000000001</v>
      </c>
      <c r="Q67" s="418">
        <v>3.363</v>
      </c>
      <c r="R67" s="418">
        <v>3.3849999999999998</v>
      </c>
      <c r="S67" s="418">
        <v>3.407</v>
      </c>
      <c r="T67" s="418">
        <v>3.427</v>
      </c>
      <c r="U67" s="419">
        <v>3.4460000000000002</v>
      </c>
    </row>
    <row r="68" spans="1:21" x14ac:dyDescent="0.25">
      <c r="A68" s="453">
        <v>13</v>
      </c>
      <c r="B68" s="417">
        <v>2.16</v>
      </c>
      <c r="C68" s="418">
        <v>2.4780000000000002</v>
      </c>
      <c r="D68" s="418">
        <v>2.6539999999999999</v>
      </c>
      <c r="E68" s="418">
        <v>2.7759999999999998</v>
      </c>
      <c r="F68" s="418">
        <v>2.8679999999999999</v>
      </c>
      <c r="G68" s="418">
        <v>2.9420000000000002</v>
      </c>
      <c r="H68" s="418">
        <v>3.0030000000000001</v>
      </c>
      <c r="I68" s="418">
        <v>3.056</v>
      </c>
      <c r="J68" s="418">
        <v>3.1019999999999999</v>
      </c>
      <c r="K68" s="418">
        <v>3.1419999999999999</v>
      </c>
      <c r="L68" s="418">
        <v>3.1789999999999998</v>
      </c>
      <c r="M68" s="418">
        <v>3.2120000000000002</v>
      </c>
      <c r="N68" s="418">
        <v>3.242</v>
      </c>
      <c r="O68" s="418">
        <v>3.2690000000000001</v>
      </c>
      <c r="P68" s="418">
        <v>3.2949999999999999</v>
      </c>
      <c r="Q68" s="418">
        <v>3.319</v>
      </c>
      <c r="R68" s="418">
        <v>3.3410000000000002</v>
      </c>
      <c r="S68" s="418">
        <v>3.3620000000000001</v>
      </c>
      <c r="T68" s="418">
        <v>3.3809999999999998</v>
      </c>
      <c r="U68" s="419">
        <v>3.4</v>
      </c>
    </row>
    <row r="69" spans="1:21" x14ac:dyDescent="0.25">
      <c r="A69" s="453">
        <v>14</v>
      </c>
      <c r="B69" s="417">
        <v>2.145</v>
      </c>
      <c r="C69" s="418">
        <v>2.4569999999999999</v>
      </c>
      <c r="D69" s="418">
        <v>2.6309999999999998</v>
      </c>
      <c r="E69" s="418">
        <v>2.75</v>
      </c>
      <c r="F69" s="418">
        <v>2.84</v>
      </c>
      <c r="G69" s="418">
        <v>2.9119999999999999</v>
      </c>
      <c r="H69" s="418">
        <v>2.9729999999999999</v>
      </c>
      <c r="I69" s="418">
        <v>3.024</v>
      </c>
      <c r="J69" s="418">
        <v>3.069</v>
      </c>
      <c r="K69" s="418">
        <v>3.109</v>
      </c>
      <c r="L69" s="418">
        <v>3.1440000000000001</v>
      </c>
      <c r="M69" s="418">
        <v>3.177</v>
      </c>
      <c r="N69" s="418">
        <v>3.206</v>
      </c>
      <c r="O69" s="418">
        <v>3.2330000000000001</v>
      </c>
      <c r="P69" s="418">
        <v>3.258</v>
      </c>
      <c r="Q69" s="418">
        <v>3.282</v>
      </c>
      <c r="R69" s="418">
        <v>3.3029999999999999</v>
      </c>
      <c r="S69" s="418">
        <v>3.3239999999999998</v>
      </c>
      <c r="T69" s="418">
        <v>3.343</v>
      </c>
      <c r="U69" s="419">
        <v>3.3610000000000002</v>
      </c>
    </row>
    <row r="70" spans="1:21" x14ac:dyDescent="0.25">
      <c r="A70" s="453">
        <v>15</v>
      </c>
      <c r="B70" s="417">
        <v>2.1309999999999998</v>
      </c>
      <c r="C70" s="418">
        <v>2.4390000000000001</v>
      </c>
      <c r="D70" s="418">
        <v>2.61</v>
      </c>
      <c r="E70" s="418">
        <v>2.7269999999999999</v>
      </c>
      <c r="F70" s="418">
        <v>2.8159999999999998</v>
      </c>
      <c r="G70" s="418">
        <v>2.887</v>
      </c>
      <c r="H70" s="418">
        <v>2.9460000000000002</v>
      </c>
      <c r="I70" s="418">
        <v>2.9969999999999999</v>
      </c>
      <c r="J70" s="418">
        <v>3.0409999999999999</v>
      </c>
      <c r="K70" s="418">
        <v>3.08</v>
      </c>
      <c r="L70" s="418">
        <v>3.1150000000000002</v>
      </c>
      <c r="M70" s="418">
        <v>3.1469999999999998</v>
      </c>
      <c r="N70" s="418">
        <v>3.1760000000000002</v>
      </c>
      <c r="O70" s="418">
        <v>3.202</v>
      </c>
      <c r="P70" s="418">
        <v>3.2269999999999999</v>
      </c>
      <c r="Q70" s="418">
        <v>3.25</v>
      </c>
      <c r="R70" s="418">
        <v>3.2709999999999999</v>
      </c>
      <c r="S70" s="418">
        <v>3.2909999999999999</v>
      </c>
      <c r="T70" s="418">
        <v>3.31</v>
      </c>
      <c r="U70" s="419">
        <v>3.3279999999999998</v>
      </c>
    </row>
    <row r="71" spans="1:21" x14ac:dyDescent="0.25">
      <c r="A71" s="453">
        <v>16</v>
      </c>
      <c r="B71" s="417">
        <v>2.12</v>
      </c>
      <c r="C71" s="418">
        <v>2.4239999999999999</v>
      </c>
      <c r="D71" s="418">
        <v>2.5920000000000001</v>
      </c>
      <c r="E71" s="418">
        <v>2.7080000000000002</v>
      </c>
      <c r="F71" s="418">
        <v>2.7949999999999999</v>
      </c>
      <c r="G71" s="418">
        <v>2.8650000000000002</v>
      </c>
      <c r="H71" s="418">
        <v>2.9239999999999999</v>
      </c>
      <c r="I71" s="418">
        <v>2.9740000000000002</v>
      </c>
      <c r="J71" s="418">
        <v>3.0169999999999999</v>
      </c>
      <c r="K71" s="418">
        <v>3.056</v>
      </c>
      <c r="L71" s="418">
        <v>3.09</v>
      </c>
      <c r="M71" s="418">
        <v>3.121</v>
      </c>
      <c r="N71" s="418">
        <v>3.15</v>
      </c>
      <c r="O71" s="418">
        <v>3.1760000000000002</v>
      </c>
      <c r="P71" s="418">
        <v>3.2</v>
      </c>
      <c r="Q71" s="418">
        <v>3.222</v>
      </c>
      <c r="R71" s="418">
        <v>3.2429999999999999</v>
      </c>
      <c r="S71" s="418">
        <v>3.2629999999999999</v>
      </c>
      <c r="T71" s="418">
        <v>3.282</v>
      </c>
      <c r="U71" s="419">
        <v>3.2989999999999999</v>
      </c>
    </row>
    <row r="72" spans="1:21" x14ac:dyDescent="0.25">
      <c r="A72" s="453">
        <v>17</v>
      </c>
      <c r="B72" s="417">
        <v>2.11</v>
      </c>
      <c r="C72" s="418">
        <v>2.41</v>
      </c>
      <c r="D72" s="418">
        <v>2.577</v>
      </c>
      <c r="E72" s="418">
        <v>2.6909999999999998</v>
      </c>
      <c r="F72" s="418">
        <v>2.7770000000000001</v>
      </c>
      <c r="G72" s="418">
        <v>2.8460000000000001</v>
      </c>
      <c r="H72" s="418">
        <v>2.9039999999999999</v>
      </c>
      <c r="I72" s="418">
        <v>2.9529999999999998</v>
      </c>
      <c r="J72" s="418">
        <v>2.996</v>
      </c>
      <c r="K72" s="418">
        <v>3.0339999999999998</v>
      </c>
      <c r="L72" s="418">
        <v>3.0680000000000001</v>
      </c>
      <c r="M72" s="418">
        <v>3.0990000000000002</v>
      </c>
      <c r="N72" s="418">
        <v>3.1269999999999998</v>
      </c>
      <c r="O72" s="418">
        <v>3.1520000000000001</v>
      </c>
      <c r="P72" s="418">
        <v>3.1760000000000002</v>
      </c>
      <c r="Q72" s="418">
        <v>3.1989999999999998</v>
      </c>
      <c r="R72" s="418">
        <v>3.2189999999999999</v>
      </c>
      <c r="S72" s="418">
        <v>3.2389999999999999</v>
      </c>
      <c r="T72" s="418">
        <v>3.2570000000000001</v>
      </c>
      <c r="U72" s="419">
        <v>3.274</v>
      </c>
    </row>
    <row r="73" spans="1:21" x14ac:dyDescent="0.25">
      <c r="A73" s="453">
        <v>18</v>
      </c>
      <c r="B73" s="417">
        <v>2.101</v>
      </c>
      <c r="C73" s="418">
        <v>2.399</v>
      </c>
      <c r="D73" s="418">
        <v>2.5630000000000002</v>
      </c>
      <c r="E73" s="418">
        <v>2.6760000000000002</v>
      </c>
      <c r="F73" s="418">
        <v>2.7610000000000001</v>
      </c>
      <c r="G73" s="418">
        <v>2.83</v>
      </c>
      <c r="H73" s="418">
        <v>2.887</v>
      </c>
      <c r="I73" s="418">
        <v>2.9350000000000001</v>
      </c>
      <c r="J73" s="418">
        <v>2.9769999999999999</v>
      </c>
      <c r="K73" s="418">
        <v>3.0150000000000001</v>
      </c>
      <c r="L73" s="418">
        <v>3.048</v>
      </c>
      <c r="M73" s="418">
        <v>3.0790000000000002</v>
      </c>
      <c r="N73" s="418">
        <v>3.1070000000000002</v>
      </c>
      <c r="O73" s="418">
        <v>3.1320000000000001</v>
      </c>
      <c r="P73" s="418">
        <v>3.1560000000000001</v>
      </c>
      <c r="Q73" s="418">
        <v>3.177</v>
      </c>
      <c r="R73" s="418">
        <v>3.198</v>
      </c>
      <c r="S73" s="418">
        <v>3.2170000000000001</v>
      </c>
      <c r="T73" s="418">
        <v>3.2349999999999999</v>
      </c>
      <c r="U73" s="419">
        <v>3.2519999999999998</v>
      </c>
    </row>
    <row r="74" spans="1:21" x14ac:dyDescent="0.25">
      <c r="A74" s="453">
        <v>19</v>
      </c>
      <c r="B74" s="417">
        <v>2.093</v>
      </c>
      <c r="C74" s="418">
        <v>2.3879999999999999</v>
      </c>
      <c r="D74" s="418">
        <v>2.5510000000000002</v>
      </c>
      <c r="E74" s="418">
        <v>2.6629999999999998</v>
      </c>
      <c r="F74" s="418">
        <v>2.7469999999999999</v>
      </c>
      <c r="G74" s="418">
        <v>2.8149999999999999</v>
      </c>
      <c r="H74" s="418">
        <v>2.871</v>
      </c>
      <c r="I74" s="418">
        <v>2.919</v>
      </c>
      <c r="J74" s="418">
        <v>2.9609999999999999</v>
      </c>
      <c r="K74" s="418">
        <v>2.9980000000000002</v>
      </c>
      <c r="L74" s="418">
        <v>3.0310000000000001</v>
      </c>
      <c r="M74" s="418">
        <v>3.0609999999999999</v>
      </c>
      <c r="N74" s="418">
        <v>3.089</v>
      </c>
      <c r="O74" s="418">
        <v>3.1139999999999999</v>
      </c>
      <c r="P74" s="418">
        <v>3.137</v>
      </c>
      <c r="Q74" s="418">
        <v>3.1589999999999998</v>
      </c>
      <c r="R74" s="418">
        <v>3.1789999999999998</v>
      </c>
      <c r="S74" s="418">
        <v>3.198</v>
      </c>
      <c r="T74" s="418">
        <v>3.2160000000000002</v>
      </c>
      <c r="U74" s="419">
        <v>3.2330000000000001</v>
      </c>
    </row>
    <row r="75" spans="1:21" x14ac:dyDescent="0.25">
      <c r="A75" s="453">
        <v>20</v>
      </c>
      <c r="B75" s="417">
        <v>2.0859999999999999</v>
      </c>
      <c r="C75" s="418">
        <v>2.379</v>
      </c>
      <c r="D75" s="418">
        <v>2.54</v>
      </c>
      <c r="E75" s="418">
        <v>2.6509999999999998</v>
      </c>
      <c r="F75" s="418">
        <v>2.7349999999999999</v>
      </c>
      <c r="G75" s="418">
        <v>2.802</v>
      </c>
      <c r="H75" s="418">
        <v>2.8570000000000002</v>
      </c>
      <c r="I75" s="418">
        <v>2.9049999999999998</v>
      </c>
      <c r="J75" s="418">
        <v>2.9460000000000002</v>
      </c>
      <c r="K75" s="418">
        <v>2.9830000000000001</v>
      </c>
      <c r="L75" s="418">
        <v>3.016</v>
      </c>
      <c r="M75" s="418">
        <v>3.0449999999999999</v>
      </c>
      <c r="N75" s="418">
        <v>3.073</v>
      </c>
      <c r="O75" s="418">
        <v>3.0979999999999999</v>
      </c>
      <c r="P75" s="418">
        <v>3.121</v>
      </c>
      <c r="Q75" s="418">
        <v>3.1419999999999999</v>
      </c>
      <c r="R75" s="418">
        <v>3.1619999999999999</v>
      </c>
      <c r="S75" s="418">
        <v>3.181</v>
      </c>
      <c r="T75" s="418">
        <v>3.198</v>
      </c>
      <c r="U75" s="419">
        <v>3.2149999999999999</v>
      </c>
    </row>
    <row r="76" spans="1:21" x14ac:dyDescent="0.25">
      <c r="A76" s="453">
        <v>21</v>
      </c>
      <c r="B76" s="417">
        <v>2.08</v>
      </c>
      <c r="C76" s="418">
        <v>2.37</v>
      </c>
      <c r="D76" s="418">
        <v>2.5310000000000001</v>
      </c>
      <c r="E76" s="418">
        <v>2.64</v>
      </c>
      <c r="F76" s="418">
        <v>2.7229999999999999</v>
      </c>
      <c r="G76" s="418">
        <v>2.79</v>
      </c>
      <c r="H76" s="418">
        <v>2.8450000000000002</v>
      </c>
      <c r="I76" s="418">
        <v>2.8919999999999999</v>
      </c>
      <c r="J76" s="418">
        <v>2.9329999999999998</v>
      </c>
      <c r="K76" s="418">
        <v>2.9689999999999999</v>
      </c>
      <c r="L76" s="418">
        <v>3.0019999999999998</v>
      </c>
      <c r="M76" s="418">
        <v>3.0310000000000001</v>
      </c>
      <c r="N76" s="418">
        <v>3.0579999999999998</v>
      </c>
      <c r="O76" s="418">
        <v>3.0830000000000002</v>
      </c>
      <c r="P76" s="418">
        <v>3.1059999999999999</v>
      </c>
      <c r="Q76" s="418">
        <v>3.1269999999999998</v>
      </c>
      <c r="R76" s="418">
        <v>3.1469999999999998</v>
      </c>
      <c r="S76" s="418">
        <v>3.165</v>
      </c>
      <c r="T76" s="418">
        <v>3.1829999999999998</v>
      </c>
      <c r="U76" s="419">
        <v>3.1989999999999998</v>
      </c>
    </row>
    <row r="77" spans="1:21" x14ac:dyDescent="0.25">
      <c r="A77" s="453">
        <v>22</v>
      </c>
      <c r="B77" s="417">
        <v>2.0739999999999998</v>
      </c>
      <c r="C77" s="418">
        <v>2.363</v>
      </c>
      <c r="D77" s="418">
        <v>2.5219999999999998</v>
      </c>
      <c r="E77" s="418">
        <v>2.6309999999999998</v>
      </c>
      <c r="F77" s="418">
        <v>2.7130000000000001</v>
      </c>
      <c r="G77" s="418">
        <v>2.7789999999999999</v>
      </c>
      <c r="H77" s="418">
        <v>2.8340000000000001</v>
      </c>
      <c r="I77" s="418">
        <v>2.88</v>
      </c>
      <c r="J77" s="418">
        <v>2.9209999999999998</v>
      </c>
      <c r="K77" s="418">
        <v>2.9569999999999999</v>
      </c>
      <c r="L77" s="418">
        <v>2.9889999999999999</v>
      </c>
      <c r="M77" s="418">
        <v>3.0190000000000001</v>
      </c>
      <c r="N77" s="418">
        <v>3.0449999999999999</v>
      </c>
      <c r="O77" s="418">
        <v>3.07</v>
      </c>
      <c r="P77" s="418">
        <v>3.0920000000000001</v>
      </c>
      <c r="Q77" s="418">
        <v>3.113</v>
      </c>
      <c r="R77" s="418">
        <v>3.133</v>
      </c>
      <c r="S77" s="418">
        <v>3.1509999999999998</v>
      </c>
      <c r="T77" s="418">
        <v>3.169</v>
      </c>
      <c r="U77" s="419">
        <v>3.1850000000000001</v>
      </c>
    </row>
    <row r="78" spans="1:21" x14ac:dyDescent="0.25">
      <c r="A78" s="453">
        <v>23</v>
      </c>
      <c r="B78" s="417">
        <v>2.069</v>
      </c>
      <c r="C78" s="418">
        <v>2.3559999999999999</v>
      </c>
      <c r="D78" s="418">
        <v>2.5139999999999998</v>
      </c>
      <c r="E78" s="418">
        <v>2.6219999999999999</v>
      </c>
      <c r="F78" s="418">
        <v>2.7040000000000002</v>
      </c>
      <c r="G78" s="418">
        <v>2.7690000000000001</v>
      </c>
      <c r="H78" s="418">
        <v>2.8239999999999998</v>
      </c>
      <c r="I78" s="418">
        <v>2.87</v>
      </c>
      <c r="J78" s="418">
        <v>2.91</v>
      </c>
      <c r="K78" s="418">
        <v>2.9460000000000002</v>
      </c>
      <c r="L78" s="418">
        <v>2.9780000000000002</v>
      </c>
      <c r="M78" s="418">
        <v>3.0070000000000001</v>
      </c>
      <c r="N78" s="418">
        <v>3.0329999999999999</v>
      </c>
      <c r="O78" s="418">
        <v>3.0579999999999998</v>
      </c>
      <c r="P78" s="418">
        <v>3.08</v>
      </c>
      <c r="Q78" s="418">
        <v>3.101</v>
      </c>
      <c r="R78" s="418">
        <v>3.121</v>
      </c>
      <c r="S78" s="418">
        <v>3.1389999999999998</v>
      </c>
      <c r="T78" s="418">
        <v>3.1560000000000001</v>
      </c>
      <c r="U78" s="419">
        <v>3.1720000000000002</v>
      </c>
    </row>
    <row r="79" spans="1:21" x14ac:dyDescent="0.25">
      <c r="A79" s="453">
        <v>24</v>
      </c>
      <c r="B79" s="417">
        <v>2.0640000000000001</v>
      </c>
      <c r="C79" s="418">
        <v>2.3490000000000002</v>
      </c>
      <c r="D79" s="418">
        <v>2.5070000000000001</v>
      </c>
      <c r="E79" s="418">
        <v>2.6139999999999999</v>
      </c>
      <c r="F79" s="418">
        <v>2.6949999999999998</v>
      </c>
      <c r="G79" s="418">
        <v>2.76</v>
      </c>
      <c r="H79" s="418">
        <v>2.8140000000000001</v>
      </c>
      <c r="I79" s="418">
        <v>2.86</v>
      </c>
      <c r="J79" s="418">
        <v>2.9</v>
      </c>
      <c r="K79" s="418">
        <v>2.9359999999999999</v>
      </c>
      <c r="L79" s="418">
        <v>2.968</v>
      </c>
      <c r="M79" s="418">
        <v>2.996</v>
      </c>
      <c r="N79" s="418">
        <v>3.0230000000000001</v>
      </c>
      <c r="O79" s="418">
        <v>3.0470000000000002</v>
      </c>
      <c r="P79" s="418">
        <v>3.069</v>
      </c>
      <c r="Q79" s="418">
        <v>3.09</v>
      </c>
      <c r="R79" s="418">
        <v>3.109</v>
      </c>
      <c r="S79" s="418">
        <v>3.1269999999999998</v>
      </c>
      <c r="T79" s="418">
        <v>3.1440000000000001</v>
      </c>
      <c r="U79" s="419">
        <v>3.161</v>
      </c>
    </row>
    <row r="80" spans="1:21" x14ac:dyDescent="0.25">
      <c r="A80" s="453">
        <v>25</v>
      </c>
      <c r="B80" s="417">
        <v>2.06</v>
      </c>
      <c r="C80" s="418">
        <v>2.3439999999999999</v>
      </c>
      <c r="D80" s="418">
        <v>2.5</v>
      </c>
      <c r="E80" s="418">
        <v>2.6070000000000002</v>
      </c>
      <c r="F80" s="418">
        <v>2.6880000000000002</v>
      </c>
      <c r="G80" s="418">
        <v>2.7519999999999998</v>
      </c>
      <c r="H80" s="418">
        <v>2.806</v>
      </c>
      <c r="I80" s="418">
        <v>2.851</v>
      </c>
      <c r="J80" s="418">
        <v>2.891</v>
      </c>
      <c r="K80" s="418">
        <v>2.927</v>
      </c>
      <c r="L80" s="418">
        <v>2.9580000000000002</v>
      </c>
      <c r="M80" s="418">
        <v>2.9870000000000001</v>
      </c>
      <c r="N80" s="418">
        <v>3.0129999999999999</v>
      </c>
      <c r="O80" s="418">
        <v>3.0369999999999999</v>
      </c>
      <c r="P80" s="418">
        <v>3.0590000000000002</v>
      </c>
      <c r="Q80" s="418">
        <v>3.08</v>
      </c>
      <c r="R80" s="418">
        <v>3.0990000000000002</v>
      </c>
      <c r="S80" s="418">
        <v>3.117</v>
      </c>
      <c r="T80" s="418">
        <v>3.1339999999999999</v>
      </c>
      <c r="U80" s="419">
        <v>3.15</v>
      </c>
    </row>
    <row r="81" spans="1:21" x14ac:dyDescent="0.25">
      <c r="A81" s="453">
        <v>26</v>
      </c>
      <c r="B81" s="417">
        <v>2.056</v>
      </c>
      <c r="C81" s="418">
        <v>2.3380000000000001</v>
      </c>
      <c r="D81" s="418">
        <v>2.4940000000000002</v>
      </c>
      <c r="E81" s="418">
        <v>2.6</v>
      </c>
      <c r="F81" s="418">
        <v>2.68</v>
      </c>
      <c r="G81" s="418">
        <v>2.7450000000000001</v>
      </c>
      <c r="H81" s="418">
        <v>2.798</v>
      </c>
      <c r="I81" s="418">
        <v>2.843</v>
      </c>
      <c r="J81" s="418">
        <v>2.883</v>
      </c>
      <c r="K81" s="418">
        <v>2.9180000000000001</v>
      </c>
      <c r="L81" s="418">
        <v>2.9489999999999998</v>
      </c>
      <c r="M81" s="418">
        <v>2.9780000000000002</v>
      </c>
      <c r="N81" s="418">
        <v>3.004</v>
      </c>
      <c r="O81" s="418">
        <v>3.028</v>
      </c>
      <c r="P81" s="418">
        <v>3.05</v>
      </c>
      <c r="Q81" s="418">
        <v>3.07</v>
      </c>
      <c r="R81" s="418">
        <v>3.089</v>
      </c>
      <c r="S81" s="418">
        <v>3.1070000000000002</v>
      </c>
      <c r="T81" s="418">
        <v>3.1240000000000001</v>
      </c>
      <c r="U81" s="419">
        <v>3.14</v>
      </c>
    </row>
    <row r="82" spans="1:21" x14ac:dyDescent="0.25">
      <c r="A82" s="453">
        <v>27</v>
      </c>
      <c r="B82" s="417">
        <v>2.052</v>
      </c>
      <c r="C82" s="418">
        <v>2.3330000000000002</v>
      </c>
      <c r="D82" s="418">
        <v>2.488</v>
      </c>
      <c r="E82" s="418">
        <v>2.5939999999999999</v>
      </c>
      <c r="F82" s="418">
        <v>2.6739999999999999</v>
      </c>
      <c r="G82" s="418">
        <v>2.738</v>
      </c>
      <c r="H82" s="418">
        <v>2.7909999999999999</v>
      </c>
      <c r="I82" s="418">
        <v>2.8359999999999999</v>
      </c>
      <c r="J82" s="418">
        <v>2.875</v>
      </c>
      <c r="K82" s="418">
        <v>2.91</v>
      </c>
      <c r="L82" s="418">
        <v>2.9409999999999998</v>
      </c>
      <c r="M82" s="418">
        <v>2.97</v>
      </c>
      <c r="N82" s="418">
        <v>2.9950000000000001</v>
      </c>
      <c r="O82" s="418">
        <v>3.0190000000000001</v>
      </c>
      <c r="P82" s="418">
        <v>3.0409999999999999</v>
      </c>
      <c r="Q82" s="418">
        <v>3.0609999999999999</v>
      </c>
      <c r="R82" s="418">
        <v>3.08</v>
      </c>
      <c r="S82" s="418">
        <v>3.0979999999999999</v>
      </c>
      <c r="T82" s="418">
        <v>3.1150000000000002</v>
      </c>
      <c r="U82" s="419">
        <v>3.1309999999999998</v>
      </c>
    </row>
    <row r="83" spans="1:21" x14ac:dyDescent="0.25">
      <c r="A83" s="453">
        <v>28</v>
      </c>
      <c r="B83" s="417">
        <v>2.048</v>
      </c>
      <c r="C83" s="418">
        <v>2.3290000000000002</v>
      </c>
      <c r="D83" s="418">
        <v>2.4830000000000001</v>
      </c>
      <c r="E83" s="418">
        <v>2.5880000000000001</v>
      </c>
      <c r="F83" s="418">
        <v>2.6680000000000001</v>
      </c>
      <c r="G83" s="418">
        <v>2.7309999999999999</v>
      </c>
      <c r="H83" s="418">
        <v>2.7839999999999998</v>
      </c>
      <c r="I83" s="418">
        <v>2.8290000000000002</v>
      </c>
      <c r="J83" s="418">
        <v>2.8679999999999999</v>
      </c>
      <c r="K83" s="418">
        <v>2.903</v>
      </c>
      <c r="L83" s="418">
        <v>2.9340000000000002</v>
      </c>
      <c r="M83" s="418">
        <v>2.9620000000000002</v>
      </c>
      <c r="N83" s="418">
        <v>2.988</v>
      </c>
      <c r="O83" s="418">
        <v>3.0110000000000001</v>
      </c>
      <c r="P83" s="418">
        <v>3.0329999999999999</v>
      </c>
      <c r="Q83" s="418">
        <v>3.0529999999999999</v>
      </c>
      <c r="R83" s="418">
        <v>3.0720000000000001</v>
      </c>
      <c r="S83" s="418">
        <v>3.09</v>
      </c>
      <c r="T83" s="418">
        <v>3.1070000000000002</v>
      </c>
      <c r="U83" s="419">
        <v>3.1219999999999999</v>
      </c>
    </row>
    <row r="84" spans="1:21" x14ac:dyDescent="0.25">
      <c r="A84" s="453">
        <v>29</v>
      </c>
      <c r="B84" s="417">
        <v>2.0449999999999999</v>
      </c>
      <c r="C84" s="418">
        <v>2.3250000000000002</v>
      </c>
      <c r="D84" s="418">
        <v>2.4780000000000002</v>
      </c>
      <c r="E84" s="418">
        <v>2.5830000000000002</v>
      </c>
      <c r="F84" s="418">
        <v>2.6619999999999999</v>
      </c>
      <c r="G84" s="418">
        <v>2.7250000000000001</v>
      </c>
      <c r="H84" s="418">
        <v>2.778</v>
      </c>
      <c r="I84" s="418">
        <v>2.823</v>
      </c>
      <c r="J84" s="418">
        <v>2.8620000000000001</v>
      </c>
      <c r="K84" s="418">
        <v>2.8959999999999999</v>
      </c>
      <c r="L84" s="418">
        <v>2.927</v>
      </c>
      <c r="M84" s="418">
        <v>2.9550000000000001</v>
      </c>
      <c r="N84" s="418">
        <v>2.9809999999999999</v>
      </c>
      <c r="O84" s="418">
        <v>3.004</v>
      </c>
      <c r="P84" s="418">
        <v>3.0259999999999998</v>
      </c>
      <c r="Q84" s="418">
        <v>3.0459999999999998</v>
      </c>
      <c r="R84" s="418">
        <v>3.0649999999999999</v>
      </c>
      <c r="S84" s="418">
        <v>3.0819999999999999</v>
      </c>
      <c r="T84" s="418">
        <v>3.0990000000000002</v>
      </c>
      <c r="U84" s="419">
        <v>3.1139999999999999</v>
      </c>
    </row>
    <row r="85" spans="1:21" x14ac:dyDescent="0.25">
      <c r="A85" s="453">
        <v>30</v>
      </c>
      <c r="B85" s="417">
        <v>2.0419999999999998</v>
      </c>
      <c r="C85" s="418">
        <v>2.3210000000000002</v>
      </c>
      <c r="D85" s="418">
        <v>2.4740000000000002</v>
      </c>
      <c r="E85" s="418">
        <v>2.5779999999999998</v>
      </c>
      <c r="F85" s="418">
        <v>2.657</v>
      </c>
      <c r="G85" s="418">
        <v>2.72</v>
      </c>
      <c r="H85" s="418">
        <v>2.7719999999999998</v>
      </c>
      <c r="I85" s="418">
        <v>2.8170000000000002</v>
      </c>
      <c r="J85" s="418">
        <v>2.8559999999999999</v>
      </c>
      <c r="K85" s="418">
        <v>2.89</v>
      </c>
      <c r="L85" s="418">
        <v>2.9209999999999998</v>
      </c>
      <c r="M85" s="418">
        <v>2.9489999999999998</v>
      </c>
      <c r="N85" s="418">
        <v>2.9740000000000002</v>
      </c>
      <c r="O85" s="418">
        <v>2.9969999999999999</v>
      </c>
      <c r="P85" s="418">
        <v>3.0190000000000001</v>
      </c>
      <c r="Q85" s="418">
        <v>3.0390000000000001</v>
      </c>
      <c r="R85" s="418">
        <v>3.0579999999999998</v>
      </c>
      <c r="S85" s="418">
        <v>3.0750000000000002</v>
      </c>
      <c r="T85" s="418">
        <v>3.0920000000000001</v>
      </c>
      <c r="U85" s="419">
        <v>3.1070000000000002</v>
      </c>
    </row>
    <row r="86" spans="1:21" x14ac:dyDescent="0.25">
      <c r="A86" s="453">
        <v>31</v>
      </c>
      <c r="B86" s="417">
        <v>2.04</v>
      </c>
      <c r="C86" s="418">
        <v>2.3170000000000002</v>
      </c>
      <c r="D86" s="418">
        <v>2.4689999999999999</v>
      </c>
      <c r="E86" s="418">
        <v>2.5739999999999998</v>
      </c>
      <c r="F86" s="418">
        <v>2.6520000000000001</v>
      </c>
      <c r="G86" s="418">
        <v>2.7149999999999999</v>
      </c>
      <c r="H86" s="418">
        <v>2.7669999999999999</v>
      </c>
      <c r="I86" s="418">
        <v>2.8109999999999999</v>
      </c>
      <c r="J86" s="418">
        <v>2.85</v>
      </c>
      <c r="K86" s="418">
        <v>2.8839999999999999</v>
      </c>
      <c r="L86" s="418">
        <v>2.915</v>
      </c>
      <c r="M86" s="418">
        <v>2.9420000000000002</v>
      </c>
      <c r="N86" s="418">
        <v>2.968</v>
      </c>
      <c r="O86" s="418">
        <v>2.9910000000000001</v>
      </c>
      <c r="P86" s="418">
        <v>3.012</v>
      </c>
      <c r="Q86" s="418">
        <v>3.032</v>
      </c>
      <c r="R86" s="418">
        <v>3.0510000000000002</v>
      </c>
      <c r="S86" s="418">
        <v>3.0680000000000001</v>
      </c>
      <c r="T86" s="418">
        <v>3.085</v>
      </c>
      <c r="U86" s="419">
        <v>3.1</v>
      </c>
    </row>
    <row r="87" spans="1:21" x14ac:dyDescent="0.25">
      <c r="A87" s="453">
        <v>32</v>
      </c>
      <c r="B87" s="417">
        <v>2.0369999999999999</v>
      </c>
      <c r="C87" s="418">
        <v>2.3140000000000001</v>
      </c>
      <c r="D87" s="418">
        <v>2.4660000000000002</v>
      </c>
      <c r="E87" s="418">
        <v>2.569</v>
      </c>
      <c r="F87" s="418">
        <v>2.6469999999999998</v>
      </c>
      <c r="G87" s="418">
        <v>2.71</v>
      </c>
      <c r="H87" s="418">
        <v>2.762</v>
      </c>
      <c r="I87" s="418">
        <v>2.806</v>
      </c>
      <c r="J87" s="418">
        <v>2.8450000000000002</v>
      </c>
      <c r="K87" s="418">
        <v>2.879</v>
      </c>
      <c r="L87" s="418">
        <v>2.9089999999999998</v>
      </c>
      <c r="M87" s="418">
        <v>2.9369999999999998</v>
      </c>
      <c r="N87" s="418">
        <v>2.9620000000000002</v>
      </c>
      <c r="O87" s="418">
        <v>2.9849999999999999</v>
      </c>
      <c r="P87" s="418">
        <v>3.0059999999999998</v>
      </c>
      <c r="Q87" s="418">
        <v>3.0259999999999998</v>
      </c>
      <c r="R87" s="418">
        <v>3.0449999999999999</v>
      </c>
      <c r="S87" s="418">
        <v>3.0619999999999998</v>
      </c>
      <c r="T87" s="418">
        <v>3.0790000000000002</v>
      </c>
      <c r="U87" s="419">
        <v>3.0939999999999999</v>
      </c>
    </row>
    <row r="88" spans="1:21" x14ac:dyDescent="0.25">
      <c r="A88" s="453">
        <v>33</v>
      </c>
      <c r="B88" s="417">
        <v>2.0350000000000001</v>
      </c>
      <c r="C88" s="418">
        <v>2.31</v>
      </c>
      <c r="D88" s="418">
        <v>2.4620000000000002</v>
      </c>
      <c r="E88" s="418">
        <v>2.5649999999999999</v>
      </c>
      <c r="F88" s="418">
        <v>2.6429999999999998</v>
      </c>
      <c r="G88" s="418">
        <v>2.7050000000000001</v>
      </c>
      <c r="H88" s="418">
        <v>2.7570000000000001</v>
      </c>
      <c r="I88" s="418">
        <v>2.8010000000000002</v>
      </c>
      <c r="J88" s="418">
        <v>2.84</v>
      </c>
      <c r="K88" s="418">
        <v>2.8730000000000002</v>
      </c>
      <c r="L88" s="418">
        <v>2.9039999999999999</v>
      </c>
      <c r="M88" s="418">
        <v>2.931</v>
      </c>
      <c r="N88" s="418">
        <v>2.956</v>
      </c>
      <c r="O88" s="418">
        <v>2.9790000000000001</v>
      </c>
      <c r="P88" s="418">
        <v>3.0009999999999999</v>
      </c>
      <c r="Q88" s="418">
        <v>3.0209999999999999</v>
      </c>
      <c r="R88" s="418">
        <v>3.0390000000000001</v>
      </c>
      <c r="S88" s="418">
        <v>3.056</v>
      </c>
      <c r="T88" s="418">
        <v>3.073</v>
      </c>
      <c r="U88" s="419">
        <v>3.0880000000000001</v>
      </c>
    </row>
    <row r="89" spans="1:21" x14ac:dyDescent="0.25">
      <c r="A89" s="453">
        <v>34</v>
      </c>
      <c r="B89" s="417">
        <v>2.032</v>
      </c>
      <c r="C89" s="418">
        <v>2.3069999999999999</v>
      </c>
      <c r="D89" s="418">
        <v>2.4580000000000002</v>
      </c>
      <c r="E89" s="418">
        <v>2.5609999999999999</v>
      </c>
      <c r="F89" s="418">
        <v>2.6389999999999998</v>
      </c>
      <c r="G89" s="418">
        <v>2.7010000000000001</v>
      </c>
      <c r="H89" s="418">
        <v>2.7530000000000001</v>
      </c>
      <c r="I89" s="418">
        <v>2.7970000000000002</v>
      </c>
      <c r="J89" s="418">
        <v>2.835</v>
      </c>
      <c r="K89" s="418">
        <v>2.8690000000000002</v>
      </c>
      <c r="L89" s="418">
        <v>2.899</v>
      </c>
      <c r="M89" s="418">
        <v>2.9260000000000002</v>
      </c>
      <c r="N89" s="418">
        <v>2.9510000000000001</v>
      </c>
      <c r="O89" s="418">
        <v>2.9740000000000002</v>
      </c>
      <c r="P89" s="418">
        <v>2.996</v>
      </c>
      <c r="Q89" s="418">
        <v>3.0150000000000001</v>
      </c>
      <c r="R89" s="418">
        <v>3.0339999999999998</v>
      </c>
      <c r="S89" s="418">
        <v>3.0510000000000002</v>
      </c>
      <c r="T89" s="418">
        <v>3.0670000000000002</v>
      </c>
      <c r="U89" s="419">
        <v>3.0819999999999999</v>
      </c>
    </row>
    <row r="90" spans="1:21" x14ac:dyDescent="0.25">
      <c r="A90" s="453">
        <v>35</v>
      </c>
      <c r="B90" s="417">
        <v>2.0299999999999998</v>
      </c>
      <c r="C90" s="418">
        <v>2.3050000000000002</v>
      </c>
      <c r="D90" s="418">
        <v>2.4550000000000001</v>
      </c>
      <c r="E90" s="418">
        <v>2.5579999999999998</v>
      </c>
      <c r="F90" s="418">
        <v>2.6349999999999998</v>
      </c>
      <c r="G90" s="418">
        <v>2.6970000000000001</v>
      </c>
      <c r="H90" s="418">
        <v>2.7480000000000002</v>
      </c>
      <c r="I90" s="418">
        <v>2.7919999999999998</v>
      </c>
      <c r="J90" s="418">
        <v>2.83</v>
      </c>
      <c r="K90" s="418">
        <v>2.8639999999999999</v>
      </c>
      <c r="L90" s="418">
        <v>2.8940000000000001</v>
      </c>
      <c r="M90" s="418">
        <v>2.9220000000000002</v>
      </c>
      <c r="N90" s="418">
        <v>2.9470000000000001</v>
      </c>
      <c r="O90" s="418">
        <v>2.9689999999999999</v>
      </c>
      <c r="P90" s="418">
        <v>2.9910000000000001</v>
      </c>
      <c r="Q90" s="418">
        <v>3.01</v>
      </c>
      <c r="R90" s="418">
        <v>3.0289999999999999</v>
      </c>
      <c r="S90" s="418">
        <v>3.0459999999999998</v>
      </c>
      <c r="T90" s="418">
        <v>3.0619999999999998</v>
      </c>
      <c r="U90" s="419">
        <v>3.077</v>
      </c>
    </row>
    <row r="91" spans="1:21" x14ac:dyDescent="0.25">
      <c r="A91" s="453">
        <v>36</v>
      </c>
      <c r="B91" s="417">
        <v>2.028</v>
      </c>
      <c r="C91" s="418">
        <v>2.302</v>
      </c>
      <c r="D91" s="418">
        <v>2.452</v>
      </c>
      <c r="E91" s="418">
        <v>2.5550000000000002</v>
      </c>
      <c r="F91" s="418">
        <v>2.6320000000000001</v>
      </c>
      <c r="G91" s="418">
        <v>2.6930000000000001</v>
      </c>
      <c r="H91" s="418">
        <v>2.7450000000000001</v>
      </c>
      <c r="I91" s="418">
        <v>2.7879999999999998</v>
      </c>
      <c r="J91" s="418">
        <v>2.8260000000000001</v>
      </c>
      <c r="K91" s="418">
        <v>2.86</v>
      </c>
      <c r="L91" s="418">
        <v>2.89</v>
      </c>
      <c r="M91" s="418">
        <v>2.9169999999999998</v>
      </c>
      <c r="N91" s="418">
        <v>2.9420000000000002</v>
      </c>
      <c r="O91" s="418">
        <v>2.9649999999999999</v>
      </c>
      <c r="P91" s="418">
        <v>2.9860000000000002</v>
      </c>
      <c r="Q91" s="418">
        <v>3.0049999999999999</v>
      </c>
      <c r="R91" s="418">
        <v>3.024</v>
      </c>
      <c r="S91" s="418">
        <v>3.0409999999999999</v>
      </c>
      <c r="T91" s="418">
        <v>3.0569999999999999</v>
      </c>
      <c r="U91" s="419">
        <v>3.0720000000000001</v>
      </c>
    </row>
    <row r="92" spans="1:21" x14ac:dyDescent="0.25">
      <c r="A92" s="453">
        <v>37</v>
      </c>
      <c r="B92" s="417">
        <v>2.0259999999999998</v>
      </c>
      <c r="C92" s="418">
        <v>2.2989999999999999</v>
      </c>
      <c r="D92" s="418">
        <v>2.4489999999999998</v>
      </c>
      <c r="E92" s="418">
        <v>2.5510000000000002</v>
      </c>
      <c r="F92" s="418">
        <v>2.6280000000000001</v>
      </c>
      <c r="G92" s="418">
        <v>2.69</v>
      </c>
      <c r="H92" s="418">
        <v>2.7410000000000001</v>
      </c>
      <c r="I92" s="418">
        <v>2.7839999999999998</v>
      </c>
      <c r="J92" s="418">
        <v>2.8220000000000001</v>
      </c>
      <c r="K92" s="418">
        <v>2.8559999999999999</v>
      </c>
      <c r="L92" s="418">
        <v>2.8860000000000001</v>
      </c>
      <c r="M92" s="418">
        <v>2.9129999999999998</v>
      </c>
      <c r="N92" s="418">
        <v>2.9380000000000002</v>
      </c>
      <c r="O92" s="418">
        <v>2.96</v>
      </c>
      <c r="P92" s="418">
        <v>2.9809999999999999</v>
      </c>
      <c r="Q92" s="418">
        <v>3.0009999999999999</v>
      </c>
      <c r="R92" s="418">
        <v>3.0190000000000001</v>
      </c>
      <c r="S92" s="418">
        <v>3.036</v>
      </c>
      <c r="T92" s="418">
        <v>3.052</v>
      </c>
      <c r="U92" s="419">
        <v>3.0680000000000001</v>
      </c>
    </row>
    <row r="93" spans="1:21" x14ac:dyDescent="0.25">
      <c r="A93" s="453">
        <v>38</v>
      </c>
      <c r="B93" s="417">
        <v>2.024</v>
      </c>
      <c r="C93" s="418">
        <v>2.2970000000000002</v>
      </c>
      <c r="D93" s="418">
        <v>2.4470000000000001</v>
      </c>
      <c r="E93" s="418">
        <v>2.548</v>
      </c>
      <c r="F93" s="418">
        <v>2.625</v>
      </c>
      <c r="G93" s="418">
        <v>2.6859999999999999</v>
      </c>
      <c r="H93" s="418">
        <v>2.7370000000000001</v>
      </c>
      <c r="I93" s="418">
        <v>2.7810000000000001</v>
      </c>
      <c r="J93" s="418">
        <v>2.819</v>
      </c>
      <c r="K93" s="418">
        <v>2.8519999999999999</v>
      </c>
      <c r="L93" s="418">
        <v>2.8820000000000001</v>
      </c>
      <c r="M93" s="418">
        <v>2.9089999999999998</v>
      </c>
      <c r="N93" s="418">
        <v>2.9340000000000002</v>
      </c>
      <c r="O93" s="418">
        <v>2.956</v>
      </c>
      <c r="P93" s="418">
        <v>2.9769999999999999</v>
      </c>
      <c r="Q93" s="418">
        <v>2.9969999999999999</v>
      </c>
      <c r="R93" s="418">
        <v>3.0150000000000001</v>
      </c>
      <c r="S93" s="418">
        <v>3.032</v>
      </c>
      <c r="T93" s="418">
        <v>3.048</v>
      </c>
      <c r="U93" s="419">
        <v>3.0630000000000002</v>
      </c>
    </row>
    <row r="94" spans="1:21" x14ac:dyDescent="0.25">
      <c r="A94" s="453">
        <v>39</v>
      </c>
      <c r="B94" s="417">
        <v>2.0230000000000001</v>
      </c>
      <c r="C94" s="418">
        <v>2.2949999999999999</v>
      </c>
      <c r="D94" s="418">
        <v>2.444</v>
      </c>
      <c r="E94" s="418">
        <v>2.5459999999999998</v>
      </c>
      <c r="F94" s="418">
        <v>2.6219999999999999</v>
      </c>
      <c r="G94" s="418">
        <v>2.6829999999999998</v>
      </c>
      <c r="H94" s="418">
        <v>2.734</v>
      </c>
      <c r="I94" s="418">
        <v>2.7770000000000001</v>
      </c>
      <c r="J94" s="418">
        <v>2.8149999999999999</v>
      </c>
      <c r="K94" s="418">
        <v>2.8479999999999999</v>
      </c>
      <c r="L94" s="418">
        <v>2.8780000000000001</v>
      </c>
      <c r="M94" s="418">
        <v>2.9049999999999998</v>
      </c>
      <c r="N94" s="418">
        <v>2.93</v>
      </c>
      <c r="O94" s="418">
        <v>2.952</v>
      </c>
      <c r="P94" s="418">
        <v>2.9729999999999999</v>
      </c>
      <c r="Q94" s="418">
        <v>2.9929999999999999</v>
      </c>
      <c r="R94" s="418">
        <v>3.0110000000000001</v>
      </c>
      <c r="S94" s="418">
        <v>3.028</v>
      </c>
      <c r="T94" s="418">
        <v>3.044</v>
      </c>
      <c r="U94" s="419">
        <v>3.0590000000000002</v>
      </c>
    </row>
    <row r="95" spans="1:21" x14ac:dyDescent="0.25">
      <c r="A95" s="453">
        <v>40</v>
      </c>
      <c r="B95" s="417">
        <v>2.0209999999999999</v>
      </c>
      <c r="C95" s="418">
        <v>2.2930000000000001</v>
      </c>
      <c r="D95" s="418">
        <v>2.4409999999999998</v>
      </c>
      <c r="E95" s="418">
        <v>2.5430000000000001</v>
      </c>
      <c r="F95" s="418">
        <v>2.6190000000000002</v>
      </c>
      <c r="G95" s="418">
        <v>2.68</v>
      </c>
      <c r="H95" s="418">
        <v>2.7309999999999999</v>
      </c>
      <c r="I95" s="418">
        <v>2.774</v>
      </c>
      <c r="J95" s="418">
        <v>2.8119999999999998</v>
      </c>
      <c r="K95" s="418">
        <v>2.8450000000000002</v>
      </c>
      <c r="L95" s="418">
        <v>2.875</v>
      </c>
      <c r="M95" s="418">
        <v>2.9020000000000001</v>
      </c>
      <c r="N95" s="418">
        <v>2.9260000000000002</v>
      </c>
      <c r="O95" s="418">
        <v>2.9489999999999998</v>
      </c>
      <c r="P95" s="418">
        <v>2.97</v>
      </c>
      <c r="Q95" s="418">
        <v>2.9889999999999999</v>
      </c>
      <c r="R95" s="418">
        <v>3.0070000000000001</v>
      </c>
      <c r="S95" s="418">
        <v>3.024</v>
      </c>
      <c r="T95" s="418">
        <v>3.04</v>
      </c>
      <c r="U95" s="419">
        <v>3.0550000000000002</v>
      </c>
    </row>
    <row r="96" spans="1:21" x14ac:dyDescent="0.25">
      <c r="A96" s="453">
        <v>48</v>
      </c>
      <c r="B96" s="417">
        <v>2.0110000000000001</v>
      </c>
      <c r="C96" s="418">
        <v>2.2789999999999999</v>
      </c>
      <c r="D96" s="418">
        <v>2.4260000000000002</v>
      </c>
      <c r="E96" s="418">
        <v>2.5259999999999998</v>
      </c>
      <c r="F96" s="418">
        <v>2.601</v>
      </c>
      <c r="G96" s="418">
        <v>2.661</v>
      </c>
      <c r="H96" s="418">
        <v>2.7109999999999999</v>
      </c>
      <c r="I96" s="418">
        <v>2.7530000000000001</v>
      </c>
      <c r="J96" s="418">
        <v>2.79</v>
      </c>
      <c r="K96" s="418">
        <v>2.823</v>
      </c>
      <c r="L96" s="418">
        <v>2.8519999999999999</v>
      </c>
      <c r="M96" s="418">
        <v>2.879</v>
      </c>
      <c r="N96" s="418">
        <v>2.903</v>
      </c>
      <c r="O96" s="418">
        <v>2.9249999999999998</v>
      </c>
      <c r="P96" s="418">
        <v>2.9449999999999998</v>
      </c>
      <c r="Q96" s="418">
        <v>2.964</v>
      </c>
      <c r="R96" s="418">
        <v>2.9820000000000002</v>
      </c>
      <c r="S96" s="418">
        <v>2.9990000000000001</v>
      </c>
      <c r="T96" s="418">
        <v>3.0150000000000001</v>
      </c>
      <c r="U96" s="419">
        <v>3.0289999999999999</v>
      </c>
    </row>
    <row r="97" spans="1:21" x14ac:dyDescent="0.25">
      <c r="A97" s="453">
        <v>60</v>
      </c>
      <c r="B97" s="417">
        <v>2</v>
      </c>
      <c r="C97" s="418">
        <v>2.2650000000000001</v>
      </c>
      <c r="D97" s="418">
        <v>2.41</v>
      </c>
      <c r="E97" s="418">
        <v>2.508</v>
      </c>
      <c r="F97" s="418">
        <v>2.5819999999999999</v>
      </c>
      <c r="G97" s="418">
        <v>2.6419999999999999</v>
      </c>
      <c r="H97" s="418">
        <v>2.6909999999999998</v>
      </c>
      <c r="I97" s="418">
        <v>2.7330000000000001</v>
      </c>
      <c r="J97" s="418">
        <v>2.7690000000000001</v>
      </c>
      <c r="K97" s="418">
        <v>2.8010000000000002</v>
      </c>
      <c r="L97" s="418">
        <v>2.83</v>
      </c>
      <c r="M97" s="418">
        <v>2.8559999999999999</v>
      </c>
      <c r="N97" s="418">
        <v>2.88</v>
      </c>
      <c r="O97" s="418">
        <v>2.9009999999999998</v>
      </c>
      <c r="P97" s="418">
        <v>2.9220000000000002</v>
      </c>
      <c r="Q97" s="418">
        <v>2.94</v>
      </c>
      <c r="R97" s="418">
        <v>2.9580000000000002</v>
      </c>
      <c r="S97" s="418">
        <v>2.9740000000000002</v>
      </c>
      <c r="T97" s="418">
        <v>2.9889999999999999</v>
      </c>
      <c r="U97" s="419">
        <v>3.004</v>
      </c>
    </row>
    <row r="98" spans="1:21" x14ac:dyDescent="0.25">
      <c r="A98" s="453">
        <v>80</v>
      </c>
      <c r="B98" s="417">
        <v>1.99</v>
      </c>
      <c r="C98" s="418">
        <v>2.2519999999999998</v>
      </c>
      <c r="D98" s="418">
        <v>2.3940000000000001</v>
      </c>
      <c r="E98" s="418">
        <v>2.4910000000000001</v>
      </c>
      <c r="F98" s="418">
        <v>2.5640000000000001</v>
      </c>
      <c r="G98" s="418">
        <v>2.6230000000000002</v>
      </c>
      <c r="H98" s="418">
        <v>2.6709999999999998</v>
      </c>
      <c r="I98" s="418">
        <v>2.7120000000000002</v>
      </c>
      <c r="J98" s="418">
        <v>2.7480000000000002</v>
      </c>
      <c r="K98" s="418">
        <v>2.78</v>
      </c>
      <c r="L98" s="418">
        <v>2.8079999999999998</v>
      </c>
      <c r="M98" s="418">
        <v>2.8330000000000002</v>
      </c>
      <c r="N98" s="418">
        <v>2.8570000000000002</v>
      </c>
      <c r="O98" s="418">
        <v>2.8780000000000001</v>
      </c>
      <c r="P98" s="418">
        <v>2.8980000000000001</v>
      </c>
      <c r="Q98" s="418">
        <v>2.9159999999999999</v>
      </c>
      <c r="R98" s="418">
        <v>2.9329999999999998</v>
      </c>
      <c r="S98" s="418">
        <v>2.95</v>
      </c>
      <c r="T98" s="418">
        <v>2.9649999999999999</v>
      </c>
      <c r="U98" s="419">
        <v>2.9790000000000001</v>
      </c>
    </row>
    <row r="99" spans="1:21" x14ac:dyDescent="0.25">
      <c r="A99" s="453">
        <v>120</v>
      </c>
      <c r="B99" s="417">
        <v>1.98</v>
      </c>
      <c r="C99" s="418">
        <v>2.238</v>
      </c>
      <c r="D99" s="418">
        <v>2.379</v>
      </c>
      <c r="E99" s="418">
        <v>2.4750000000000001</v>
      </c>
      <c r="F99" s="418">
        <v>2.5470000000000002</v>
      </c>
      <c r="G99" s="418">
        <v>2.6040000000000001</v>
      </c>
      <c r="H99" s="418">
        <v>2.6509999999999998</v>
      </c>
      <c r="I99" s="418">
        <v>2.6920000000000002</v>
      </c>
      <c r="J99" s="418">
        <v>2.7269999999999999</v>
      </c>
      <c r="K99" s="418">
        <v>2.758</v>
      </c>
      <c r="L99" s="418">
        <v>2.786</v>
      </c>
      <c r="M99" s="418">
        <v>2.8109999999999999</v>
      </c>
      <c r="N99" s="418">
        <v>2.8340000000000001</v>
      </c>
      <c r="O99" s="418">
        <v>2.855</v>
      </c>
      <c r="P99" s="418">
        <v>2.875</v>
      </c>
      <c r="Q99" s="418">
        <v>2.8929999999999998</v>
      </c>
      <c r="R99" s="418">
        <v>2.91</v>
      </c>
      <c r="S99" s="418">
        <v>2.9249999999999998</v>
      </c>
      <c r="T99" s="418">
        <v>2.94</v>
      </c>
      <c r="U99" s="419">
        <v>2.9540000000000002</v>
      </c>
    </row>
    <row r="100" spans="1:21" x14ac:dyDescent="0.25">
      <c r="A100" s="453">
        <v>240</v>
      </c>
      <c r="B100" s="417">
        <v>1.97</v>
      </c>
      <c r="C100" s="418">
        <v>2.2250000000000001</v>
      </c>
      <c r="D100" s="418">
        <v>2.3639999999999999</v>
      </c>
      <c r="E100" s="418">
        <v>2.4580000000000002</v>
      </c>
      <c r="F100" s="418">
        <v>2.5289999999999999</v>
      </c>
      <c r="G100" s="418">
        <v>2.585</v>
      </c>
      <c r="H100" s="418">
        <v>2.6320000000000001</v>
      </c>
      <c r="I100" s="418">
        <v>2.6720000000000002</v>
      </c>
      <c r="J100" s="418">
        <v>2.7069999999999999</v>
      </c>
      <c r="K100" s="418">
        <v>2.7370000000000001</v>
      </c>
      <c r="L100" s="418">
        <v>2.7639999999999998</v>
      </c>
      <c r="M100" s="418">
        <v>2.7890000000000001</v>
      </c>
      <c r="N100" s="418">
        <v>2.8119999999999998</v>
      </c>
      <c r="O100" s="418">
        <v>2.8319999999999999</v>
      </c>
      <c r="P100" s="418">
        <v>2.8519999999999999</v>
      </c>
      <c r="Q100" s="418">
        <v>2.8690000000000002</v>
      </c>
      <c r="R100" s="418">
        <v>2.8860000000000001</v>
      </c>
      <c r="S100" s="418">
        <v>2.9009999999999998</v>
      </c>
      <c r="T100" s="418">
        <v>2.9159999999999999</v>
      </c>
      <c r="U100" s="419">
        <v>2.93</v>
      </c>
    </row>
    <row r="101" spans="1:21" x14ac:dyDescent="0.25">
      <c r="A101" s="454" t="s">
        <v>752</v>
      </c>
      <c r="B101" s="455">
        <v>1.96</v>
      </c>
      <c r="C101" s="456">
        <v>2.2120000000000002</v>
      </c>
      <c r="D101" s="456">
        <v>2.3490000000000002</v>
      </c>
      <c r="E101" s="456">
        <v>2.4420000000000002</v>
      </c>
      <c r="F101" s="456">
        <v>2.5110000000000001</v>
      </c>
      <c r="G101" s="456">
        <v>2.5670000000000002</v>
      </c>
      <c r="H101" s="456">
        <v>2.613</v>
      </c>
      <c r="I101" s="456">
        <v>2.6520000000000001</v>
      </c>
      <c r="J101" s="456">
        <v>2.6859999999999999</v>
      </c>
      <c r="K101" s="456">
        <v>2.7160000000000002</v>
      </c>
      <c r="L101" s="456">
        <v>2.7429999999999999</v>
      </c>
      <c r="M101" s="456">
        <v>2.7669999999999999</v>
      </c>
      <c r="N101" s="456">
        <v>2.79</v>
      </c>
      <c r="O101" s="456">
        <v>2.81</v>
      </c>
      <c r="P101" s="456">
        <v>2.8290000000000002</v>
      </c>
      <c r="Q101" s="456">
        <v>2.8460000000000001</v>
      </c>
      <c r="R101" s="456">
        <v>2.8620000000000001</v>
      </c>
      <c r="S101" s="456">
        <v>2.8780000000000001</v>
      </c>
      <c r="T101" s="456">
        <v>2.8919999999999999</v>
      </c>
      <c r="U101" s="457">
        <v>2.9049999999999998</v>
      </c>
    </row>
    <row r="103" spans="1:21" x14ac:dyDescent="0.25">
      <c r="A103" s="1" t="s">
        <v>70</v>
      </c>
      <c r="B103" s="458">
        <v>0.1</v>
      </c>
    </row>
    <row r="105" spans="1:21" x14ac:dyDescent="0.25">
      <c r="A105" s="12" t="s">
        <v>792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  <c r="U105">
        <v>21</v>
      </c>
    </row>
    <row r="106" spans="1:21" x14ac:dyDescent="0.25">
      <c r="A106" s="453">
        <v>1</v>
      </c>
      <c r="B106" s="414">
        <v>6.3140000000000001</v>
      </c>
      <c r="C106" s="415">
        <v>8.65</v>
      </c>
      <c r="D106" s="415">
        <v>9.9830000000000005</v>
      </c>
      <c r="E106" s="415">
        <v>10.891</v>
      </c>
      <c r="F106" s="415">
        <v>11.57</v>
      </c>
      <c r="G106" s="415">
        <v>12.108000000000001</v>
      </c>
      <c r="H106" s="415">
        <v>12.551</v>
      </c>
      <c r="I106" s="415">
        <v>12.926</v>
      </c>
      <c r="J106" s="415">
        <v>13.25</v>
      </c>
      <c r="K106" s="415">
        <v>13.535</v>
      </c>
      <c r="L106" s="415">
        <v>13.788</v>
      </c>
      <c r="M106" s="415">
        <v>14.016999999999999</v>
      </c>
      <c r="N106" s="415">
        <v>14.224</v>
      </c>
      <c r="O106" s="415">
        <v>14.414</v>
      </c>
      <c r="P106" s="415">
        <v>14.589</v>
      </c>
      <c r="Q106" s="415">
        <v>14.75</v>
      </c>
      <c r="R106" s="415">
        <v>14.901</v>
      </c>
      <c r="S106" s="415">
        <v>15.042</v>
      </c>
      <c r="T106" s="415">
        <v>15.173999999999999</v>
      </c>
      <c r="U106" s="452">
        <v>15.298</v>
      </c>
    </row>
    <row r="107" spans="1:21" x14ac:dyDescent="0.25">
      <c r="A107">
        <v>2</v>
      </c>
      <c r="B107" s="417">
        <v>2.92</v>
      </c>
      <c r="C107" s="418">
        <v>3.7210000000000001</v>
      </c>
      <c r="D107" s="418">
        <v>4.1820000000000004</v>
      </c>
      <c r="E107" s="418">
        <v>4.5</v>
      </c>
      <c r="F107" s="418">
        <v>4.74</v>
      </c>
      <c r="G107" s="418">
        <v>4.9320000000000004</v>
      </c>
      <c r="H107" s="418">
        <v>5.0910000000000002</v>
      </c>
      <c r="I107" s="418">
        <v>5.226</v>
      </c>
      <c r="J107" s="418">
        <v>5.3440000000000003</v>
      </c>
      <c r="K107" s="418">
        <v>5.4470000000000001</v>
      </c>
      <c r="L107" s="418">
        <v>5.54</v>
      </c>
      <c r="M107" s="418">
        <v>5.6230000000000002</v>
      </c>
      <c r="N107" s="418">
        <v>5.6989999999999998</v>
      </c>
      <c r="O107" s="418">
        <v>5.7679999999999998</v>
      </c>
      <c r="P107" s="418">
        <v>5.8330000000000002</v>
      </c>
      <c r="Q107" s="418">
        <v>5.8920000000000003</v>
      </c>
      <c r="R107" s="418">
        <v>5.9480000000000004</v>
      </c>
      <c r="S107" s="418">
        <v>6</v>
      </c>
      <c r="T107" s="418">
        <v>6.048</v>
      </c>
      <c r="U107" s="419">
        <v>6.0940000000000003</v>
      </c>
    </row>
    <row r="108" spans="1:21" x14ac:dyDescent="0.25">
      <c r="A108">
        <v>3</v>
      </c>
      <c r="B108" s="417">
        <v>2.3530000000000002</v>
      </c>
      <c r="C108" s="418">
        <v>2.9119999999999999</v>
      </c>
      <c r="D108" s="418">
        <v>3.2320000000000002</v>
      </c>
      <c r="E108" s="418">
        <v>3.4529999999999998</v>
      </c>
      <c r="F108" s="418">
        <v>3.621</v>
      </c>
      <c r="G108" s="418">
        <v>3.7549999999999999</v>
      </c>
      <c r="H108" s="418">
        <v>3.8660000000000001</v>
      </c>
      <c r="I108" s="418">
        <v>3.9609999999999999</v>
      </c>
      <c r="J108" s="418">
        <v>4.0439999999999996</v>
      </c>
      <c r="K108" s="418">
        <v>4.117</v>
      </c>
      <c r="L108" s="418">
        <v>4.1820000000000004</v>
      </c>
      <c r="M108" s="418">
        <v>4.242</v>
      </c>
      <c r="N108" s="418">
        <v>4.2949999999999999</v>
      </c>
      <c r="O108" s="418">
        <v>4.3449999999999998</v>
      </c>
      <c r="P108" s="418">
        <v>4.3899999999999997</v>
      </c>
      <c r="Q108" s="418">
        <v>4.4320000000000004</v>
      </c>
      <c r="R108" s="418">
        <v>4.4720000000000004</v>
      </c>
      <c r="S108" s="418">
        <v>4.5090000000000003</v>
      </c>
      <c r="T108" s="418">
        <v>4.5430000000000001</v>
      </c>
      <c r="U108" s="419">
        <v>4.5759999999999996</v>
      </c>
    </row>
    <row r="109" spans="1:21" x14ac:dyDescent="0.25">
      <c r="A109">
        <v>4</v>
      </c>
      <c r="B109" s="417">
        <v>2.1320000000000001</v>
      </c>
      <c r="C109" s="418">
        <v>2.5979999999999999</v>
      </c>
      <c r="D109" s="418">
        <v>2.863</v>
      </c>
      <c r="E109" s="418">
        <v>3.0459999999999998</v>
      </c>
      <c r="F109" s="418">
        <v>3.1850000000000001</v>
      </c>
      <c r="G109" s="418">
        <v>3.2959999999999998</v>
      </c>
      <c r="H109" s="418">
        <v>3.3889999999999998</v>
      </c>
      <c r="I109" s="418">
        <v>3.468</v>
      </c>
      <c r="J109" s="418">
        <v>3.536</v>
      </c>
      <c r="K109" s="418">
        <v>3.597</v>
      </c>
      <c r="L109" s="418">
        <v>3.6520000000000001</v>
      </c>
      <c r="M109" s="418">
        <v>3.7010000000000001</v>
      </c>
      <c r="N109" s="418">
        <v>3.746</v>
      </c>
      <c r="O109" s="418">
        <v>3.7869999999999999</v>
      </c>
      <c r="P109" s="418">
        <v>3.8250000000000002</v>
      </c>
      <c r="Q109" s="418">
        <v>3.86</v>
      </c>
      <c r="R109" s="418">
        <v>3.8929999999999998</v>
      </c>
      <c r="S109" s="418">
        <v>3.9239999999999999</v>
      </c>
      <c r="T109" s="418">
        <v>3.9529999999999998</v>
      </c>
      <c r="U109" s="419">
        <v>3.98</v>
      </c>
    </row>
    <row r="110" spans="1:21" x14ac:dyDescent="0.25">
      <c r="A110">
        <v>5</v>
      </c>
      <c r="B110" s="417">
        <v>2.0150000000000001</v>
      </c>
      <c r="C110" s="418">
        <v>2.4329999999999998</v>
      </c>
      <c r="D110" s="418">
        <v>2.669</v>
      </c>
      <c r="E110" s="418">
        <v>2.8319999999999999</v>
      </c>
      <c r="F110" s="418">
        <v>2.956</v>
      </c>
      <c r="G110" s="418">
        <v>3.0550000000000002</v>
      </c>
      <c r="H110" s="418">
        <v>3.137</v>
      </c>
      <c r="I110" s="418">
        <v>3.2069999999999999</v>
      </c>
      <c r="J110" s="418">
        <v>3.2679999999999998</v>
      </c>
      <c r="K110" s="418">
        <v>3.3220000000000001</v>
      </c>
      <c r="L110" s="418">
        <v>3.371</v>
      </c>
      <c r="M110" s="418">
        <v>3.415</v>
      </c>
      <c r="N110" s="418">
        <v>3.4550000000000001</v>
      </c>
      <c r="O110" s="418">
        <v>3.4910000000000001</v>
      </c>
      <c r="P110" s="418">
        <v>3.5249999999999999</v>
      </c>
      <c r="Q110" s="418">
        <v>3.5569999999999999</v>
      </c>
      <c r="R110" s="418">
        <v>3.5859999999999999</v>
      </c>
      <c r="S110" s="418">
        <v>3.6139999999999999</v>
      </c>
      <c r="T110" s="418">
        <v>3.64</v>
      </c>
      <c r="U110" s="419">
        <v>3.6640000000000001</v>
      </c>
    </row>
    <row r="111" spans="1:21" x14ac:dyDescent="0.25">
      <c r="A111">
        <v>6</v>
      </c>
      <c r="B111" s="417">
        <v>1.9430000000000001</v>
      </c>
      <c r="C111" s="418">
        <v>2.3319999999999999</v>
      </c>
      <c r="D111" s="418">
        <v>2.5510000000000002</v>
      </c>
      <c r="E111" s="418">
        <v>2.7010000000000001</v>
      </c>
      <c r="F111" s="418">
        <v>2.8149999999999999</v>
      </c>
      <c r="G111" s="418">
        <v>2.9060000000000001</v>
      </c>
      <c r="H111" s="418">
        <v>2.9820000000000002</v>
      </c>
      <c r="I111" s="418">
        <v>3.0470000000000002</v>
      </c>
      <c r="J111" s="418">
        <v>3.1030000000000002</v>
      </c>
      <c r="K111" s="418">
        <v>3.153</v>
      </c>
      <c r="L111" s="418">
        <v>3.198</v>
      </c>
      <c r="M111" s="418">
        <v>3.238</v>
      </c>
      <c r="N111" s="418">
        <v>3.2749999999999999</v>
      </c>
      <c r="O111" s="418">
        <v>3.3090000000000002</v>
      </c>
      <c r="P111" s="418">
        <v>3.34</v>
      </c>
      <c r="Q111" s="418">
        <v>3.3690000000000002</v>
      </c>
      <c r="R111" s="418">
        <v>3.3959999999999999</v>
      </c>
      <c r="S111" s="418">
        <v>3.4220000000000002</v>
      </c>
      <c r="T111" s="418">
        <v>3.4460000000000002</v>
      </c>
      <c r="U111" s="419">
        <v>3.468</v>
      </c>
    </row>
    <row r="112" spans="1:21" x14ac:dyDescent="0.25">
      <c r="A112">
        <v>7</v>
      </c>
      <c r="B112" s="417">
        <v>1.895</v>
      </c>
      <c r="C112" s="418">
        <v>2.2639999999999998</v>
      </c>
      <c r="D112" s="418">
        <v>2.4700000000000002</v>
      </c>
      <c r="E112" s="418">
        <v>2.6120000000000001</v>
      </c>
      <c r="F112" s="418">
        <v>2.72</v>
      </c>
      <c r="G112" s="418">
        <v>2.806</v>
      </c>
      <c r="H112" s="418">
        <v>2.8769999999999998</v>
      </c>
      <c r="I112" s="418">
        <v>2.9380000000000002</v>
      </c>
      <c r="J112" s="418">
        <v>2.9910000000000001</v>
      </c>
      <c r="K112" s="418">
        <v>3.0379999999999998</v>
      </c>
      <c r="L112" s="418">
        <v>3.08</v>
      </c>
      <c r="M112" s="418">
        <v>3.1190000000000002</v>
      </c>
      <c r="N112" s="418">
        <v>3.153</v>
      </c>
      <c r="O112" s="418">
        <v>3.1850000000000001</v>
      </c>
      <c r="P112" s="418">
        <v>3.2149999999999999</v>
      </c>
      <c r="Q112" s="418">
        <v>3.242</v>
      </c>
      <c r="R112" s="418">
        <v>3.2679999999999998</v>
      </c>
      <c r="S112" s="418">
        <v>3.2919999999999998</v>
      </c>
      <c r="T112" s="418">
        <v>3.3140000000000001</v>
      </c>
      <c r="U112" s="419">
        <v>3.3359999999999999</v>
      </c>
    </row>
    <row r="113" spans="1:21" x14ac:dyDescent="0.25">
      <c r="A113">
        <v>8</v>
      </c>
      <c r="B113" s="417">
        <v>1.86</v>
      </c>
      <c r="C113" s="418">
        <v>2.2149999999999999</v>
      </c>
      <c r="D113" s="418">
        <v>2.4129999999999998</v>
      </c>
      <c r="E113" s="418">
        <v>2.548</v>
      </c>
      <c r="F113" s="418">
        <v>2.6509999999999998</v>
      </c>
      <c r="G113" s="418">
        <v>2.7330000000000001</v>
      </c>
      <c r="H113" s="418">
        <v>2.802</v>
      </c>
      <c r="I113" s="418">
        <v>2.86</v>
      </c>
      <c r="J113" s="418">
        <v>2.911</v>
      </c>
      <c r="K113" s="418">
        <v>2.956</v>
      </c>
      <c r="L113" s="418">
        <v>2.996</v>
      </c>
      <c r="M113" s="418">
        <v>3.032</v>
      </c>
      <c r="N113" s="418">
        <v>3.0649999999999999</v>
      </c>
      <c r="O113" s="418">
        <v>3.0960000000000001</v>
      </c>
      <c r="P113" s="418">
        <v>3.1240000000000001</v>
      </c>
      <c r="Q113" s="418">
        <v>3.15</v>
      </c>
      <c r="R113" s="418">
        <v>3.1749999999999998</v>
      </c>
      <c r="S113" s="418">
        <v>3.198</v>
      </c>
      <c r="T113" s="418">
        <v>3.2189999999999999</v>
      </c>
      <c r="U113" s="419">
        <v>3.2389999999999999</v>
      </c>
    </row>
    <row r="114" spans="1:21" x14ac:dyDescent="0.25">
      <c r="A114">
        <v>9</v>
      </c>
      <c r="B114" s="417">
        <v>1.833</v>
      </c>
      <c r="C114" s="418">
        <v>2.1779999999999999</v>
      </c>
      <c r="D114" s="418">
        <v>2.3690000000000002</v>
      </c>
      <c r="E114" s="418">
        <v>2.5</v>
      </c>
      <c r="F114" s="418">
        <v>2.5990000000000002</v>
      </c>
      <c r="G114" s="418">
        <v>2.6789999999999998</v>
      </c>
      <c r="H114" s="418">
        <v>2.7450000000000001</v>
      </c>
      <c r="I114" s="418">
        <v>2.8010000000000002</v>
      </c>
      <c r="J114" s="418">
        <v>2.85</v>
      </c>
      <c r="K114" s="418">
        <v>2.8929999999999998</v>
      </c>
      <c r="L114" s="418">
        <v>2.9319999999999999</v>
      </c>
      <c r="M114" s="418">
        <v>2.9670000000000001</v>
      </c>
      <c r="N114" s="418">
        <v>2.9990000000000001</v>
      </c>
      <c r="O114" s="418">
        <v>3.028</v>
      </c>
      <c r="P114" s="418">
        <v>3.0550000000000002</v>
      </c>
      <c r="Q114" s="418">
        <v>3.081</v>
      </c>
      <c r="R114" s="418">
        <v>3.1040000000000001</v>
      </c>
      <c r="S114" s="418">
        <v>3.1259999999999999</v>
      </c>
      <c r="T114" s="418">
        <v>3.1469999999999998</v>
      </c>
      <c r="U114" s="419">
        <v>3.1669999999999998</v>
      </c>
    </row>
    <row r="115" spans="1:21" x14ac:dyDescent="0.25">
      <c r="A115">
        <v>10</v>
      </c>
      <c r="B115" s="417">
        <v>1.8120000000000001</v>
      </c>
      <c r="C115" s="418">
        <v>2.149</v>
      </c>
      <c r="D115" s="418">
        <v>2.335</v>
      </c>
      <c r="E115" s="418">
        <v>2.4630000000000001</v>
      </c>
      <c r="F115" s="418">
        <v>2.5590000000000002</v>
      </c>
      <c r="G115" s="418">
        <v>2.6360000000000001</v>
      </c>
      <c r="H115" s="418">
        <v>2.7</v>
      </c>
      <c r="I115" s="418">
        <v>2.7549999999999999</v>
      </c>
      <c r="J115" s="418">
        <v>2.802</v>
      </c>
      <c r="K115" s="418">
        <v>2.8439999999999999</v>
      </c>
      <c r="L115" s="418">
        <v>2.8820000000000001</v>
      </c>
      <c r="M115" s="418">
        <v>2.9159999999999999</v>
      </c>
      <c r="N115" s="418">
        <v>2.9470000000000001</v>
      </c>
      <c r="O115" s="418">
        <v>2.9750000000000001</v>
      </c>
      <c r="P115" s="418">
        <v>3.0019999999999998</v>
      </c>
      <c r="Q115" s="418">
        <v>3.0259999999999998</v>
      </c>
      <c r="R115" s="418">
        <v>3.0489999999999999</v>
      </c>
      <c r="S115" s="418">
        <v>3.07</v>
      </c>
      <c r="T115" s="418">
        <v>3.0910000000000002</v>
      </c>
      <c r="U115" s="419">
        <v>3.11</v>
      </c>
    </row>
    <row r="116" spans="1:21" x14ac:dyDescent="0.25">
      <c r="A116">
        <v>11</v>
      </c>
      <c r="B116" s="417">
        <v>1.796</v>
      </c>
      <c r="C116" s="418">
        <v>2.1259999999999999</v>
      </c>
      <c r="D116" s="418">
        <v>2.3079999999999998</v>
      </c>
      <c r="E116" s="418">
        <v>2.4329999999999998</v>
      </c>
      <c r="F116" s="418">
        <v>2.5270000000000001</v>
      </c>
      <c r="G116" s="418">
        <v>2.6019999999999999</v>
      </c>
      <c r="H116" s="418">
        <v>2.6640000000000001</v>
      </c>
      <c r="I116" s="418">
        <v>2.718</v>
      </c>
      <c r="J116" s="418">
        <v>2.7639999999999998</v>
      </c>
      <c r="K116" s="418">
        <v>2.8050000000000002</v>
      </c>
      <c r="L116" s="418">
        <v>2.8420000000000001</v>
      </c>
      <c r="M116" s="418">
        <v>2.875</v>
      </c>
      <c r="N116" s="418">
        <v>2.9049999999999998</v>
      </c>
      <c r="O116" s="418">
        <v>2.9329999999999998</v>
      </c>
      <c r="P116" s="418">
        <v>2.9590000000000001</v>
      </c>
      <c r="Q116" s="418">
        <v>2.9820000000000002</v>
      </c>
      <c r="R116" s="418">
        <v>3.0049999999999999</v>
      </c>
      <c r="S116" s="418">
        <v>3.0259999999999998</v>
      </c>
      <c r="T116" s="418">
        <v>3.0449999999999999</v>
      </c>
      <c r="U116" s="419">
        <v>3.0640000000000001</v>
      </c>
    </row>
    <row r="117" spans="1:21" x14ac:dyDescent="0.25">
      <c r="A117">
        <v>12</v>
      </c>
      <c r="B117" s="417">
        <v>1.782</v>
      </c>
      <c r="C117" s="418">
        <v>2.1070000000000002</v>
      </c>
      <c r="D117" s="418">
        <v>2.286</v>
      </c>
      <c r="E117" s="418">
        <v>2.4079999999999999</v>
      </c>
      <c r="F117" s="418">
        <v>2.5</v>
      </c>
      <c r="G117" s="418">
        <v>2.5739999999999998</v>
      </c>
      <c r="H117" s="418">
        <v>2.6349999999999998</v>
      </c>
      <c r="I117" s="418">
        <v>2.6869999999999998</v>
      </c>
      <c r="J117" s="418">
        <v>2.7330000000000001</v>
      </c>
      <c r="K117" s="418">
        <v>2.7730000000000001</v>
      </c>
      <c r="L117" s="418">
        <v>2.8090000000000002</v>
      </c>
      <c r="M117" s="418">
        <v>2.8410000000000002</v>
      </c>
      <c r="N117" s="418">
        <v>2.871</v>
      </c>
      <c r="O117" s="418">
        <v>2.8980000000000001</v>
      </c>
      <c r="P117" s="418">
        <v>2.923</v>
      </c>
      <c r="Q117" s="418">
        <v>2.9470000000000001</v>
      </c>
      <c r="R117" s="418">
        <v>2.968</v>
      </c>
      <c r="S117" s="418">
        <v>2.9889999999999999</v>
      </c>
      <c r="T117" s="418">
        <v>3.008</v>
      </c>
      <c r="U117" s="419">
        <v>3.0259999999999998</v>
      </c>
    </row>
    <row r="118" spans="1:21" x14ac:dyDescent="0.25">
      <c r="A118">
        <v>13</v>
      </c>
      <c r="B118" s="417">
        <v>1.7709999999999999</v>
      </c>
      <c r="C118" s="418">
        <v>2.0910000000000002</v>
      </c>
      <c r="D118" s="418">
        <v>2.2669999999999999</v>
      </c>
      <c r="E118" s="418">
        <v>2.387</v>
      </c>
      <c r="F118" s="418">
        <v>2.4780000000000002</v>
      </c>
      <c r="G118" s="418">
        <v>2.5499999999999998</v>
      </c>
      <c r="H118" s="418">
        <v>2.6110000000000002</v>
      </c>
      <c r="I118" s="418">
        <v>2.6619999999999999</v>
      </c>
      <c r="J118" s="418">
        <v>2.706</v>
      </c>
      <c r="K118" s="418">
        <v>2.746</v>
      </c>
      <c r="L118" s="418">
        <v>2.7810000000000001</v>
      </c>
      <c r="M118" s="418">
        <v>2.8130000000000002</v>
      </c>
      <c r="N118" s="418">
        <v>2.8420000000000001</v>
      </c>
      <c r="O118" s="418">
        <v>2.8690000000000002</v>
      </c>
      <c r="P118" s="418">
        <v>2.8940000000000001</v>
      </c>
      <c r="Q118" s="418">
        <v>2.9169999999999998</v>
      </c>
      <c r="R118" s="418">
        <v>2.9380000000000002</v>
      </c>
      <c r="S118" s="418">
        <v>2.9580000000000002</v>
      </c>
      <c r="T118" s="418">
        <v>2.9769999999999999</v>
      </c>
      <c r="U118" s="419">
        <v>2.9950000000000001</v>
      </c>
    </row>
    <row r="119" spans="1:21" x14ac:dyDescent="0.25">
      <c r="A119">
        <v>14</v>
      </c>
      <c r="B119" s="417">
        <v>1.7609999999999999</v>
      </c>
      <c r="C119" s="418">
        <v>2.0779999999999998</v>
      </c>
      <c r="D119" s="418">
        <v>2.2519999999999998</v>
      </c>
      <c r="E119" s="418">
        <v>2.37</v>
      </c>
      <c r="F119" s="418">
        <v>2.4590000000000001</v>
      </c>
      <c r="G119" s="418">
        <v>2.5310000000000001</v>
      </c>
      <c r="H119" s="418">
        <v>2.59</v>
      </c>
      <c r="I119" s="418">
        <v>2.64</v>
      </c>
      <c r="J119" s="418">
        <v>2.6840000000000002</v>
      </c>
      <c r="K119" s="418">
        <v>2.7229999999999999</v>
      </c>
      <c r="L119" s="418">
        <v>2.758</v>
      </c>
      <c r="M119" s="418">
        <v>2.7890000000000001</v>
      </c>
      <c r="N119" s="418">
        <v>2.8180000000000001</v>
      </c>
      <c r="O119" s="418">
        <v>2.8439999999999999</v>
      </c>
      <c r="P119" s="418">
        <v>2.8679999999999999</v>
      </c>
      <c r="Q119" s="418">
        <v>2.891</v>
      </c>
      <c r="R119" s="418">
        <v>2.9119999999999999</v>
      </c>
      <c r="S119" s="418">
        <v>2.9319999999999999</v>
      </c>
      <c r="T119" s="418">
        <v>2.9510000000000001</v>
      </c>
      <c r="U119" s="419">
        <v>2.968</v>
      </c>
    </row>
    <row r="120" spans="1:21" x14ac:dyDescent="0.25">
      <c r="A120">
        <v>15</v>
      </c>
      <c r="B120" s="417">
        <v>1.7529999999999999</v>
      </c>
      <c r="C120" s="418">
        <v>2.0659999999999998</v>
      </c>
      <c r="D120" s="418">
        <v>2.238</v>
      </c>
      <c r="E120" s="418">
        <v>2.355</v>
      </c>
      <c r="F120" s="418">
        <v>2.4430000000000001</v>
      </c>
      <c r="G120" s="418">
        <v>2.5139999999999998</v>
      </c>
      <c r="H120" s="418">
        <v>2.5720000000000001</v>
      </c>
      <c r="I120" s="418">
        <v>2.6219999999999999</v>
      </c>
      <c r="J120" s="418">
        <v>2.665</v>
      </c>
      <c r="K120" s="418">
        <v>2.7029999999999998</v>
      </c>
      <c r="L120" s="418">
        <v>2.738</v>
      </c>
      <c r="M120" s="418">
        <v>2.7690000000000001</v>
      </c>
      <c r="N120" s="418">
        <v>2.7970000000000002</v>
      </c>
      <c r="O120" s="418">
        <v>2.823</v>
      </c>
      <c r="P120" s="418">
        <v>2.847</v>
      </c>
      <c r="Q120" s="418">
        <v>2.8690000000000002</v>
      </c>
      <c r="R120" s="418">
        <v>2.89</v>
      </c>
      <c r="S120" s="418">
        <v>2.91</v>
      </c>
      <c r="T120" s="418">
        <v>2.9279999999999999</v>
      </c>
      <c r="U120" s="419">
        <v>2.9449999999999998</v>
      </c>
    </row>
    <row r="121" spans="1:21" x14ac:dyDescent="0.25">
      <c r="A121">
        <v>16</v>
      </c>
      <c r="B121" s="417">
        <v>1.746</v>
      </c>
      <c r="C121" s="418">
        <v>2.056</v>
      </c>
      <c r="D121" s="418">
        <v>2.226</v>
      </c>
      <c r="E121" s="418">
        <v>2.3420000000000001</v>
      </c>
      <c r="F121" s="418">
        <v>2.4289999999999998</v>
      </c>
      <c r="G121" s="418">
        <v>2.4990000000000001</v>
      </c>
      <c r="H121" s="418">
        <v>2.5569999999999999</v>
      </c>
      <c r="I121" s="418">
        <v>2.6059999999999999</v>
      </c>
      <c r="J121" s="418">
        <v>2.649</v>
      </c>
      <c r="K121" s="418">
        <v>2.6869999999999998</v>
      </c>
      <c r="L121" s="418">
        <v>2.72</v>
      </c>
      <c r="M121" s="418">
        <v>2.7509999999999999</v>
      </c>
      <c r="N121" s="418">
        <v>2.7789999999999999</v>
      </c>
      <c r="O121" s="418">
        <v>2.8050000000000002</v>
      </c>
      <c r="P121" s="418">
        <v>2.8279999999999998</v>
      </c>
      <c r="Q121" s="418">
        <v>2.85</v>
      </c>
      <c r="R121" s="418">
        <v>2.871</v>
      </c>
      <c r="S121" s="418">
        <v>2.89</v>
      </c>
      <c r="T121" s="418">
        <v>2.9079999999999999</v>
      </c>
      <c r="U121" s="419">
        <v>2.9249999999999998</v>
      </c>
    </row>
    <row r="122" spans="1:21" x14ac:dyDescent="0.25">
      <c r="A122">
        <v>17</v>
      </c>
      <c r="B122" s="417">
        <v>1.74</v>
      </c>
      <c r="C122" s="418">
        <v>2.048</v>
      </c>
      <c r="D122" s="418">
        <v>2.2160000000000002</v>
      </c>
      <c r="E122" s="418">
        <v>2.331</v>
      </c>
      <c r="F122" s="418">
        <v>2.4169999999999998</v>
      </c>
      <c r="G122" s="418">
        <v>2.4860000000000002</v>
      </c>
      <c r="H122" s="418">
        <v>2.5430000000000001</v>
      </c>
      <c r="I122" s="418">
        <v>2.5920000000000001</v>
      </c>
      <c r="J122" s="418">
        <v>2.6339999999999999</v>
      </c>
      <c r="K122" s="418">
        <v>2.6720000000000002</v>
      </c>
      <c r="L122" s="418">
        <v>2.7050000000000001</v>
      </c>
      <c r="M122" s="418">
        <v>2.7349999999999999</v>
      </c>
      <c r="N122" s="418">
        <v>2.7629999999999999</v>
      </c>
      <c r="O122" s="418">
        <v>2.7879999999999998</v>
      </c>
      <c r="P122" s="418">
        <v>2.8119999999999998</v>
      </c>
      <c r="Q122" s="418">
        <v>2.8340000000000001</v>
      </c>
      <c r="R122" s="418">
        <v>2.8540000000000001</v>
      </c>
      <c r="S122" s="418">
        <v>2.8730000000000002</v>
      </c>
      <c r="T122" s="418">
        <v>2.891</v>
      </c>
      <c r="U122" s="419">
        <v>2.9079999999999999</v>
      </c>
    </row>
    <row r="123" spans="1:21" x14ac:dyDescent="0.25">
      <c r="A123">
        <v>18</v>
      </c>
      <c r="B123" s="417">
        <v>1.734</v>
      </c>
      <c r="C123" s="418">
        <v>2.04</v>
      </c>
      <c r="D123" s="418">
        <v>2.2069999999999999</v>
      </c>
      <c r="E123" s="418">
        <v>2.3210000000000002</v>
      </c>
      <c r="F123" s="418">
        <v>2.4060000000000001</v>
      </c>
      <c r="G123" s="418">
        <v>2.4750000000000001</v>
      </c>
      <c r="H123" s="418">
        <v>2.5310000000000001</v>
      </c>
      <c r="I123" s="418">
        <v>2.5790000000000002</v>
      </c>
      <c r="J123" s="418">
        <v>2.621</v>
      </c>
      <c r="K123" s="418">
        <v>2.6589999999999998</v>
      </c>
      <c r="L123" s="418">
        <v>2.6920000000000002</v>
      </c>
      <c r="M123" s="418">
        <v>2.722</v>
      </c>
      <c r="N123" s="418">
        <v>2.7490000000000001</v>
      </c>
      <c r="O123" s="418">
        <v>2.774</v>
      </c>
      <c r="P123" s="418">
        <v>2.7970000000000002</v>
      </c>
      <c r="Q123" s="418">
        <v>2.819</v>
      </c>
      <c r="R123" s="418">
        <v>2.839</v>
      </c>
      <c r="S123" s="418">
        <v>2.8580000000000001</v>
      </c>
      <c r="T123" s="418">
        <v>2.8759999999999999</v>
      </c>
      <c r="U123" s="419">
        <v>2.8919999999999999</v>
      </c>
    </row>
    <row r="124" spans="1:21" x14ac:dyDescent="0.25">
      <c r="A124">
        <v>19</v>
      </c>
      <c r="B124" s="417">
        <v>1.7290000000000001</v>
      </c>
      <c r="C124" s="418">
        <v>2.0329999999999999</v>
      </c>
      <c r="D124" s="418">
        <v>2.1989999999999998</v>
      </c>
      <c r="E124" s="418">
        <v>2.3119999999999998</v>
      </c>
      <c r="F124" s="418">
        <v>2.3969999999999998</v>
      </c>
      <c r="G124" s="418">
        <v>2.464</v>
      </c>
      <c r="H124" s="418">
        <v>2.5209999999999999</v>
      </c>
      <c r="I124" s="418">
        <v>2.5680000000000001</v>
      </c>
      <c r="J124" s="418">
        <v>2.61</v>
      </c>
      <c r="K124" s="418">
        <v>2.6469999999999998</v>
      </c>
      <c r="L124" s="418">
        <v>2.68</v>
      </c>
      <c r="M124" s="418">
        <v>2.71</v>
      </c>
      <c r="N124" s="418">
        <v>2.7370000000000001</v>
      </c>
      <c r="O124" s="418">
        <v>2.762</v>
      </c>
      <c r="P124" s="418">
        <v>2.7850000000000001</v>
      </c>
      <c r="Q124" s="418">
        <v>2.806</v>
      </c>
      <c r="R124" s="418">
        <v>2.8260000000000001</v>
      </c>
      <c r="S124" s="418">
        <v>2.8450000000000002</v>
      </c>
      <c r="T124" s="418">
        <v>2.8620000000000001</v>
      </c>
      <c r="U124" s="419">
        <v>2.879</v>
      </c>
    </row>
    <row r="125" spans="1:21" x14ac:dyDescent="0.25">
      <c r="A125">
        <v>20</v>
      </c>
      <c r="B125" s="417">
        <v>1.7250000000000001</v>
      </c>
      <c r="C125" s="418">
        <v>2.0270000000000001</v>
      </c>
      <c r="D125" s="418">
        <v>2.1920000000000002</v>
      </c>
      <c r="E125" s="418">
        <v>2.3039999999999998</v>
      </c>
      <c r="F125" s="418">
        <v>2.3879999999999999</v>
      </c>
      <c r="G125" s="418">
        <v>2.4550000000000001</v>
      </c>
      <c r="H125" s="418">
        <v>2.5110000000000001</v>
      </c>
      <c r="I125" s="418">
        <v>2.5590000000000002</v>
      </c>
      <c r="J125" s="418">
        <v>2.6</v>
      </c>
      <c r="K125" s="418">
        <v>2.6360000000000001</v>
      </c>
      <c r="L125" s="418">
        <v>2.669</v>
      </c>
      <c r="M125" s="418">
        <v>2.6989999999999998</v>
      </c>
      <c r="N125" s="418">
        <v>2.726</v>
      </c>
      <c r="O125" s="418">
        <v>2.75</v>
      </c>
      <c r="P125" s="418">
        <v>2.7730000000000001</v>
      </c>
      <c r="Q125" s="418">
        <v>2.794</v>
      </c>
      <c r="R125" s="418">
        <v>2.8140000000000001</v>
      </c>
      <c r="S125" s="418">
        <v>2.8330000000000002</v>
      </c>
      <c r="T125" s="418">
        <v>2.85</v>
      </c>
      <c r="U125" s="419">
        <v>2.8660000000000001</v>
      </c>
    </row>
    <row r="126" spans="1:21" x14ac:dyDescent="0.25">
      <c r="A126">
        <v>21</v>
      </c>
      <c r="B126" s="417">
        <v>1.7210000000000001</v>
      </c>
      <c r="C126" s="418">
        <v>2.0209999999999999</v>
      </c>
      <c r="D126" s="418">
        <v>2.1850000000000001</v>
      </c>
      <c r="E126" s="418">
        <v>2.2970000000000002</v>
      </c>
      <c r="F126" s="418">
        <v>2.38</v>
      </c>
      <c r="G126" s="418">
        <v>2.4470000000000001</v>
      </c>
      <c r="H126" s="418">
        <v>2.5030000000000001</v>
      </c>
      <c r="I126" s="418">
        <v>2.5499999999999998</v>
      </c>
      <c r="J126" s="418">
        <v>2.5910000000000002</v>
      </c>
      <c r="K126" s="418">
        <v>2.6269999999999998</v>
      </c>
      <c r="L126" s="418">
        <v>2.6589999999999998</v>
      </c>
      <c r="M126" s="418">
        <v>2.6890000000000001</v>
      </c>
      <c r="N126" s="418">
        <v>2.7149999999999999</v>
      </c>
      <c r="O126" s="418">
        <v>2.74</v>
      </c>
      <c r="P126" s="418">
        <v>2.7629999999999999</v>
      </c>
      <c r="Q126" s="418">
        <v>2.7839999999999998</v>
      </c>
      <c r="R126" s="418">
        <v>2.8029999999999999</v>
      </c>
      <c r="S126" s="418">
        <v>2.8220000000000001</v>
      </c>
      <c r="T126" s="418">
        <v>2.839</v>
      </c>
      <c r="U126" s="419">
        <v>2.855</v>
      </c>
    </row>
    <row r="127" spans="1:21" x14ac:dyDescent="0.25">
      <c r="A127">
        <v>22</v>
      </c>
      <c r="B127" s="417">
        <v>1.7170000000000001</v>
      </c>
      <c r="C127" s="418">
        <v>2.016</v>
      </c>
      <c r="D127" s="418">
        <v>2.1789999999999998</v>
      </c>
      <c r="E127" s="418">
        <v>2.29</v>
      </c>
      <c r="F127" s="418">
        <v>2.3730000000000002</v>
      </c>
      <c r="G127" s="418">
        <v>2.44</v>
      </c>
      <c r="H127" s="418">
        <v>2.4950000000000001</v>
      </c>
      <c r="I127" s="418">
        <v>2.5419999999999998</v>
      </c>
      <c r="J127" s="418">
        <v>2.5830000000000002</v>
      </c>
      <c r="K127" s="418">
        <v>2.6190000000000002</v>
      </c>
      <c r="L127" s="418">
        <v>2.6509999999999998</v>
      </c>
      <c r="M127" s="418">
        <v>2.68</v>
      </c>
      <c r="N127" s="418">
        <v>2.706</v>
      </c>
      <c r="O127" s="418">
        <v>2.7309999999999999</v>
      </c>
      <c r="P127" s="418">
        <v>2.7530000000000001</v>
      </c>
      <c r="Q127" s="418">
        <v>2.774</v>
      </c>
      <c r="R127" s="418">
        <v>2.794</v>
      </c>
      <c r="S127" s="418">
        <v>2.8119999999999998</v>
      </c>
      <c r="T127" s="418">
        <v>2.8290000000000002</v>
      </c>
      <c r="U127" s="419">
        <v>2.8450000000000002</v>
      </c>
    </row>
    <row r="128" spans="1:21" x14ac:dyDescent="0.25">
      <c r="A128">
        <v>23</v>
      </c>
      <c r="B128" s="417">
        <v>1.714</v>
      </c>
      <c r="C128" s="418">
        <v>2.012</v>
      </c>
      <c r="D128" s="418">
        <v>2.1739999999999999</v>
      </c>
      <c r="E128" s="418">
        <v>2.2839999999999998</v>
      </c>
      <c r="F128" s="418">
        <v>2.367</v>
      </c>
      <c r="G128" s="418">
        <v>2.4329999999999998</v>
      </c>
      <c r="H128" s="418">
        <v>2.488</v>
      </c>
      <c r="I128" s="418">
        <v>2.5339999999999998</v>
      </c>
      <c r="J128" s="418">
        <v>2.5750000000000002</v>
      </c>
      <c r="K128" s="418">
        <v>2.6110000000000002</v>
      </c>
      <c r="L128" s="418">
        <v>2.6429999999999998</v>
      </c>
      <c r="M128" s="418">
        <v>2.6720000000000002</v>
      </c>
      <c r="N128" s="418">
        <v>2.698</v>
      </c>
      <c r="O128" s="418">
        <v>2.722</v>
      </c>
      <c r="P128" s="418">
        <v>2.7450000000000001</v>
      </c>
      <c r="Q128" s="418">
        <v>2.766</v>
      </c>
      <c r="R128" s="418">
        <v>2.7850000000000001</v>
      </c>
      <c r="S128" s="418">
        <v>2.8029999999999999</v>
      </c>
      <c r="T128" s="418">
        <v>2.82</v>
      </c>
      <c r="U128" s="419">
        <v>2.8359999999999999</v>
      </c>
    </row>
    <row r="129" spans="1:21" x14ac:dyDescent="0.25">
      <c r="A129">
        <v>24</v>
      </c>
      <c r="B129" s="417">
        <v>1.7110000000000001</v>
      </c>
      <c r="C129" s="418">
        <v>2.008</v>
      </c>
      <c r="D129" s="418">
        <v>2.169</v>
      </c>
      <c r="E129" s="418">
        <v>2.2789999999999999</v>
      </c>
      <c r="F129" s="418">
        <v>2.3610000000000002</v>
      </c>
      <c r="G129" s="418">
        <v>2.427</v>
      </c>
      <c r="H129" s="418">
        <v>2.4809999999999999</v>
      </c>
      <c r="I129" s="418">
        <v>2.528</v>
      </c>
      <c r="J129" s="418">
        <v>2.5680000000000001</v>
      </c>
      <c r="K129" s="418">
        <v>2.6040000000000001</v>
      </c>
      <c r="L129" s="418">
        <v>2.6360000000000001</v>
      </c>
      <c r="M129" s="418">
        <v>2.6640000000000001</v>
      </c>
      <c r="N129" s="418">
        <v>2.6909999999999998</v>
      </c>
      <c r="O129" s="418">
        <v>2.7149999999999999</v>
      </c>
      <c r="P129" s="418">
        <v>2.7370000000000001</v>
      </c>
      <c r="Q129" s="418">
        <v>2.758</v>
      </c>
      <c r="R129" s="418">
        <v>2.7770000000000001</v>
      </c>
      <c r="S129" s="418">
        <v>2.7949999999999999</v>
      </c>
      <c r="T129" s="418">
        <v>2.8119999999999998</v>
      </c>
      <c r="U129" s="419">
        <v>2.8279999999999998</v>
      </c>
    </row>
    <row r="130" spans="1:21" x14ac:dyDescent="0.25">
      <c r="A130">
        <v>25</v>
      </c>
      <c r="B130" s="417">
        <v>1.708</v>
      </c>
      <c r="C130" s="418">
        <v>2.004</v>
      </c>
      <c r="D130" s="418">
        <v>2.165</v>
      </c>
      <c r="E130" s="418">
        <v>2.274</v>
      </c>
      <c r="F130" s="418">
        <v>2.3559999999999999</v>
      </c>
      <c r="G130" s="418">
        <v>2.4209999999999998</v>
      </c>
      <c r="H130" s="418">
        <v>2.476</v>
      </c>
      <c r="I130" s="418">
        <v>2.5219999999999998</v>
      </c>
      <c r="J130" s="418">
        <v>2.5619999999999998</v>
      </c>
      <c r="K130" s="418">
        <v>2.597</v>
      </c>
      <c r="L130" s="418">
        <v>2.629</v>
      </c>
      <c r="M130" s="418">
        <v>2.6579999999999999</v>
      </c>
      <c r="N130" s="418">
        <v>2.6840000000000002</v>
      </c>
      <c r="O130" s="418">
        <v>2.7080000000000002</v>
      </c>
      <c r="P130" s="418">
        <v>2.73</v>
      </c>
      <c r="Q130" s="418">
        <v>2.75</v>
      </c>
      <c r="R130" s="418">
        <v>2.77</v>
      </c>
      <c r="S130" s="418">
        <v>2.7879999999999998</v>
      </c>
      <c r="T130" s="418">
        <v>2.8039999999999998</v>
      </c>
      <c r="U130" s="419">
        <v>2.82</v>
      </c>
    </row>
    <row r="131" spans="1:21" x14ac:dyDescent="0.25">
      <c r="A131">
        <v>26</v>
      </c>
      <c r="B131" s="417">
        <v>1.706</v>
      </c>
      <c r="C131" s="418">
        <v>2</v>
      </c>
      <c r="D131" s="418">
        <v>2.161</v>
      </c>
      <c r="E131" s="418">
        <v>2.2690000000000001</v>
      </c>
      <c r="F131" s="418">
        <v>2.351</v>
      </c>
      <c r="G131" s="418">
        <v>2.4159999999999999</v>
      </c>
      <c r="H131" s="418">
        <v>2.4700000000000002</v>
      </c>
      <c r="I131" s="418">
        <v>2.516</v>
      </c>
      <c r="J131" s="418">
        <v>2.556</v>
      </c>
      <c r="K131" s="418">
        <v>2.5910000000000002</v>
      </c>
      <c r="L131" s="418">
        <v>2.6230000000000002</v>
      </c>
      <c r="M131" s="418">
        <v>2.6509999999999998</v>
      </c>
      <c r="N131" s="418">
        <v>2.677</v>
      </c>
      <c r="O131" s="418">
        <v>2.7010000000000001</v>
      </c>
      <c r="P131" s="418">
        <v>2.7229999999999999</v>
      </c>
      <c r="Q131" s="418">
        <v>2.7440000000000002</v>
      </c>
      <c r="R131" s="418">
        <v>2.7629999999999999</v>
      </c>
      <c r="S131" s="418">
        <v>2.7810000000000001</v>
      </c>
      <c r="T131" s="418">
        <v>2.7970000000000002</v>
      </c>
      <c r="U131" s="419">
        <v>2.8130000000000002</v>
      </c>
    </row>
    <row r="132" spans="1:21" x14ac:dyDescent="0.25">
      <c r="A132">
        <v>27</v>
      </c>
      <c r="B132" s="417">
        <v>1.7030000000000001</v>
      </c>
      <c r="C132" s="418">
        <v>1.9970000000000001</v>
      </c>
      <c r="D132" s="418">
        <v>2.157</v>
      </c>
      <c r="E132" s="418">
        <v>2.2650000000000001</v>
      </c>
      <c r="F132" s="418">
        <v>2.347</v>
      </c>
      <c r="G132" s="418">
        <v>2.411</v>
      </c>
      <c r="H132" s="418">
        <v>2.4649999999999999</v>
      </c>
      <c r="I132" s="418">
        <v>2.5110000000000001</v>
      </c>
      <c r="J132" s="418">
        <v>2.5510000000000002</v>
      </c>
      <c r="K132" s="418">
        <v>2.5859999999999999</v>
      </c>
      <c r="L132" s="418">
        <v>2.617</v>
      </c>
      <c r="M132" s="418">
        <v>2.6459999999999999</v>
      </c>
      <c r="N132" s="418">
        <v>2.6709999999999998</v>
      </c>
      <c r="O132" s="418">
        <v>2.6949999999999998</v>
      </c>
      <c r="P132" s="418">
        <v>2.7170000000000001</v>
      </c>
      <c r="Q132" s="418">
        <v>2.738</v>
      </c>
      <c r="R132" s="418">
        <v>2.7570000000000001</v>
      </c>
      <c r="S132" s="418">
        <v>2.774</v>
      </c>
      <c r="T132" s="418">
        <v>2.7909999999999999</v>
      </c>
      <c r="U132" s="419">
        <v>2.8069999999999999</v>
      </c>
    </row>
    <row r="133" spans="1:21" x14ac:dyDescent="0.25">
      <c r="A133">
        <v>28</v>
      </c>
      <c r="B133" s="417">
        <v>1.7010000000000001</v>
      </c>
      <c r="C133" s="418">
        <v>1.994</v>
      </c>
      <c r="D133" s="418">
        <v>2.153</v>
      </c>
      <c r="E133" s="418">
        <v>2.2610000000000001</v>
      </c>
      <c r="F133" s="418">
        <v>2.3420000000000001</v>
      </c>
      <c r="G133" s="418">
        <v>2.407</v>
      </c>
      <c r="H133" s="418">
        <v>2.4609999999999999</v>
      </c>
      <c r="I133" s="418">
        <v>2.5059999999999998</v>
      </c>
      <c r="J133" s="418">
        <v>2.5459999999999998</v>
      </c>
      <c r="K133" s="418">
        <v>2.581</v>
      </c>
      <c r="L133" s="418">
        <v>2.6120000000000001</v>
      </c>
      <c r="M133" s="418">
        <v>2.64</v>
      </c>
      <c r="N133" s="418">
        <v>2.6659999999999999</v>
      </c>
      <c r="O133" s="418">
        <v>2.69</v>
      </c>
      <c r="P133" s="418">
        <v>2.7120000000000002</v>
      </c>
      <c r="Q133" s="418">
        <v>2.7320000000000002</v>
      </c>
      <c r="R133" s="418">
        <v>2.7509999999999999</v>
      </c>
      <c r="S133" s="418">
        <v>2.7679999999999998</v>
      </c>
      <c r="T133" s="418">
        <v>2.7850000000000001</v>
      </c>
      <c r="U133" s="419">
        <v>2.8010000000000002</v>
      </c>
    </row>
    <row r="134" spans="1:21" x14ac:dyDescent="0.25">
      <c r="A134">
        <v>29</v>
      </c>
      <c r="B134" s="417">
        <v>1.6990000000000001</v>
      </c>
      <c r="C134" s="418">
        <v>1.9910000000000001</v>
      </c>
      <c r="D134" s="418">
        <v>2.15</v>
      </c>
      <c r="E134" s="418">
        <v>2.258</v>
      </c>
      <c r="F134" s="418">
        <v>2.3380000000000001</v>
      </c>
      <c r="G134" s="418">
        <v>2.403</v>
      </c>
      <c r="H134" s="418">
        <v>2.456</v>
      </c>
      <c r="I134" s="418">
        <v>2.5019999999999998</v>
      </c>
      <c r="J134" s="418">
        <v>2.5409999999999999</v>
      </c>
      <c r="K134" s="418">
        <v>2.5760000000000001</v>
      </c>
      <c r="L134" s="418">
        <v>2.6070000000000002</v>
      </c>
      <c r="M134" s="418">
        <v>2.6349999999999998</v>
      </c>
      <c r="N134" s="418">
        <v>2.661</v>
      </c>
      <c r="O134" s="418">
        <v>2.6850000000000001</v>
      </c>
      <c r="P134" s="418">
        <v>2.706</v>
      </c>
      <c r="Q134" s="418">
        <v>2.7269999999999999</v>
      </c>
      <c r="R134" s="418">
        <v>2.7450000000000001</v>
      </c>
      <c r="S134" s="418">
        <v>2.7629999999999999</v>
      </c>
      <c r="T134" s="418">
        <v>2.78</v>
      </c>
      <c r="U134" s="419">
        <v>2.7949999999999999</v>
      </c>
    </row>
    <row r="135" spans="1:21" x14ac:dyDescent="0.25">
      <c r="A135">
        <v>30</v>
      </c>
      <c r="B135" s="417">
        <v>1.6970000000000001</v>
      </c>
      <c r="C135" s="418">
        <v>1.9890000000000001</v>
      </c>
      <c r="D135" s="418">
        <v>2.1469999999999998</v>
      </c>
      <c r="E135" s="418">
        <v>2.254</v>
      </c>
      <c r="F135" s="418">
        <v>2.335</v>
      </c>
      <c r="G135" s="418">
        <v>2.399</v>
      </c>
      <c r="H135" s="418">
        <v>2.452</v>
      </c>
      <c r="I135" s="418">
        <v>2.4969999999999999</v>
      </c>
      <c r="J135" s="418">
        <v>2.5369999999999999</v>
      </c>
      <c r="K135" s="418">
        <v>2.5720000000000001</v>
      </c>
      <c r="L135" s="418">
        <v>2.6030000000000002</v>
      </c>
      <c r="M135" s="418">
        <v>2.6309999999999998</v>
      </c>
      <c r="N135" s="418">
        <v>2.6560000000000001</v>
      </c>
      <c r="O135" s="418">
        <v>2.68</v>
      </c>
      <c r="P135" s="418">
        <v>2.7010000000000001</v>
      </c>
      <c r="Q135" s="418">
        <v>2.722</v>
      </c>
      <c r="R135" s="418">
        <v>2.74</v>
      </c>
      <c r="S135" s="418">
        <v>2.758</v>
      </c>
      <c r="T135" s="418">
        <v>2.7749999999999999</v>
      </c>
      <c r="U135" s="419">
        <v>2.79</v>
      </c>
    </row>
    <row r="136" spans="1:21" x14ac:dyDescent="0.25">
      <c r="A136">
        <v>31</v>
      </c>
      <c r="B136" s="417">
        <v>1.696</v>
      </c>
      <c r="C136" s="418">
        <v>1.986</v>
      </c>
      <c r="D136" s="418">
        <v>2.1440000000000001</v>
      </c>
      <c r="E136" s="418">
        <v>2.2509999999999999</v>
      </c>
      <c r="F136" s="418">
        <v>2.331</v>
      </c>
      <c r="G136" s="418">
        <v>2.395</v>
      </c>
      <c r="H136" s="418">
        <v>2.448</v>
      </c>
      <c r="I136" s="418">
        <v>2.4940000000000002</v>
      </c>
      <c r="J136" s="418">
        <v>2.5329999999999999</v>
      </c>
      <c r="K136" s="418">
        <v>2.5670000000000002</v>
      </c>
      <c r="L136" s="418">
        <v>2.5979999999999999</v>
      </c>
      <c r="M136" s="418">
        <v>2.6259999999999999</v>
      </c>
      <c r="N136" s="418">
        <v>2.6520000000000001</v>
      </c>
      <c r="O136" s="418">
        <v>2.6749999999999998</v>
      </c>
      <c r="P136" s="418">
        <v>2.6970000000000001</v>
      </c>
      <c r="Q136" s="418">
        <v>2.7170000000000001</v>
      </c>
      <c r="R136" s="418">
        <v>2.7360000000000002</v>
      </c>
      <c r="S136" s="418">
        <v>2.7530000000000001</v>
      </c>
      <c r="T136" s="418">
        <v>2.77</v>
      </c>
      <c r="U136" s="419">
        <v>2.7850000000000001</v>
      </c>
    </row>
    <row r="137" spans="1:21" x14ac:dyDescent="0.25">
      <c r="A137">
        <v>32</v>
      </c>
      <c r="B137" s="417">
        <v>1.694</v>
      </c>
      <c r="C137" s="418">
        <v>1.984</v>
      </c>
      <c r="D137" s="418">
        <v>2.1419999999999999</v>
      </c>
      <c r="E137" s="418">
        <v>2.2480000000000002</v>
      </c>
      <c r="F137" s="418">
        <v>2.3279999999999998</v>
      </c>
      <c r="G137" s="418">
        <v>2.3919999999999999</v>
      </c>
      <c r="H137" s="418">
        <v>2.4449999999999998</v>
      </c>
      <c r="I137" s="418">
        <v>2.4900000000000002</v>
      </c>
      <c r="J137" s="418">
        <v>2.5289999999999999</v>
      </c>
      <c r="K137" s="418">
        <v>2.5640000000000001</v>
      </c>
      <c r="L137" s="418">
        <v>2.5939999999999999</v>
      </c>
      <c r="M137" s="418">
        <v>2.6219999999999999</v>
      </c>
      <c r="N137" s="418">
        <v>2.6480000000000001</v>
      </c>
      <c r="O137" s="418">
        <v>2.6709999999999998</v>
      </c>
      <c r="P137" s="418">
        <v>2.6930000000000001</v>
      </c>
      <c r="Q137" s="418">
        <v>2.7130000000000001</v>
      </c>
      <c r="R137" s="418">
        <v>2.7309999999999999</v>
      </c>
      <c r="S137" s="418">
        <v>2.7490000000000001</v>
      </c>
      <c r="T137" s="418">
        <v>2.7650000000000001</v>
      </c>
      <c r="U137" s="419">
        <v>2.7810000000000001</v>
      </c>
    </row>
    <row r="138" spans="1:21" x14ac:dyDescent="0.25">
      <c r="A138">
        <v>33</v>
      </c>
      <c r="B138" s="417">
        <v>1.6919999999999999</v>
      </c>
      <c r="C138" s="418">
        <v>1.982</v>
      </c>
      <c r="D138" s="418">
        <v>2.1389999999999998</v>
      </c>
      <c r="E138" s="418">
        <v>2.2450000000000001</v>
      </c>
      <c r="F138" s="418">
        <v>2.3250000000000002</v>
      </c>
      <c r="G138" s="418">
        <v>2.3889999999999998</v>
      </c>
      <c r="H138" s="418">
        <v>2.4420000000000002</v>
      </c>
      <c r="I138" s="418">
        <v>2.4870000000000001</v>
      </c>
      <c r="J138" s="418">
        <v>2.5259999999999998</v>
      </c>
      <c r="K138" s="418">
        <v>2.56</v>
      </c>
      <c r="L138" s="418">
        <v>2.5910000000000002</v>
      </c>
      <c r="M138" s="418">
        <v>2.6190000000000002</v>
      </c>
      <c r="N138" s="418">
        <v>2.6440000000000001</v>
      </c>
      <c r="O138" s="418">
        <v>2.6669999999999998</v>
      </c>
      <c r="P138" s="418">
        <v>2.6890000000000001</v>
      </c>
      <c r="Q138" s="418">
        <v>2.7090000000000001</v>
      </c>
      <c r="R138" s="418">
        <v>2.7269999999999999</v>
      </c>
      <c r="S138" s="418">
        <v>2.7450000000000001</v>
      </c>
      <c r="T138" s="418">
        <v>2.7610000000000001</v>
      </c>
      <c r="U138" s="419">
        <v>2.7770000000000001</v>
      </c>
    </row>
    <row r="139" spans="1:21" x14ac:dyDescent="0.25">
      <c r="A139">
        <v>34</v>
      </c>
      <c r="B139" s="417">
        <v>1.6910000000000001</v>
      </c>
      <c r="C139" s="418">
        <v>1.98</v>
      </c>
      <c r="D139" s="418">
        <v>2.137</v>
      </c>
      <c r="E139" s="418">
        <v>2.2429999999999999</v>
      </c>
      <c r="F139" s="418">
        <v>2.323</v>
      </c>
      <c r="G139" s="418">
        <v>2.3860000000000001</v>
      </c>
      <c r="H139" s="418">
        <v>2.4390000000000001</v>
      </c>
      <c r="I139" s="418">
        <v>2.4830000000000001</v>
      </c>
      <c r="J139" s="418">
        <v>2.5219999999999998</v>
      </c>
      <c r="K139" s="418">
        <v>2.5569999999999999</v>
      </c>
      <c r="L139" s="418">
        <v>2.5870000000000002</v>
      </c>
      <c r="M139" s="418">
        <v>2.6150000000000002</v>
      </c>
      <c r="N139" s="418">
        <v>2.64</v>
      </c>
      <c r="O139" s="418">
        <v>2.6640000000000001</v>
      </c>
      <c r="P139" s="418">
        <v>2.6850000000000001</v>
      </c>
      <c r="Q139" s="418">
        <v>2.7050000000000001</v>
      </c>
      <c r="R139" s="418">
        <v>2.7229999999999999</v>
      </c>
      <c r="S139" s="418">
        <v>2.7410000000000001</v>
      </c>
      <c r="T139" s="418">
        <v>2.7570000000000001</v>
      </c>
      <c r="U139" s="419">
        <v>2.7730000000000001</v>
      </c>
    </row>
    <row r="140" spans="1:21" x14ac:dyDescent="0.25">
      <c r="A140">
        <v>35</v>
      </c>
      <c r="B140" s="417">
        <v>1.69</v>
      </c>
      <c r="C140" s="418">
        <v>1.978</v>
      </c>
      <c r="D140" s="418">
        <v>2.1349999999999998</v>
      </c>
      <c r="E140" s="418">
        <v>2.2400000000000002</v>
      </c>
      <c r="F140" s="418">
        <v>2.3199999999999998</v>
      </c>
      <c r="G140" s="418">
        <v>2.383</v>
      </c>
      <c r="H140" s="418">
        <v>2.4359999999999999</v>
      </c>
      <c r="I140" s="418">
        <v>2.48</v>
      </c>
      <c r="J140" s="418">
        <v>2.5190000000000001</v>
      </c>
      <c r="K140" s="418">
        <v>2.5529999999999999</v>
      </c>
      <c r="L140" s="418">
        <v>2.5840000000000001</v>
      </c>
      <c r="M140" s="418">
        <v>2.6120000000000001</v>
      </c>
      <c r="N140" s="418">
        <v>2.637</v>
      </c>
      <c r="O140" s="418">
        <v>2.66</v>
      </c>
      <c r="P140" s="418">
        <v>2.681</v>
      </c>
      <c r="Q140" s="418">
        <v>2.7010000000000001</v>
      </c>
      <c r="R140" s="418">
        <v>2.72</v>
      </c>
      <c r="S140" s="418">
        <v>2.7370000000000001</v>
      </c>
      <c r="T140" s="418">
        <v>2.7530000000000001</v>
      </c>
      <c r="U140" s="419">
        <v>2.7690000000000001</v>
      </c>
    </row>
    <row r="141" spans="1:21" x14ac:dyDescent="0.25">
      <c r="A141">
        <v>36</v>
      </c>
      <c r="B141" s="417">
        <v>1.6879999999999999</v>
      </c>
      <c r="C141" s="418">
        <v>1.976</v>
      </c>
      <c r="D141" s="418">
        <v>2.1320000000000001</v>
      </c>
      <c r="E141" s="418">
        <v>2.238</v>
      </c>
      <c r="F141" s="418">
        <v>2.3180000000000001</v>
      </c>
      <c r="G141" s="418">
        <v>2.3809999999999998</v>
      </c>
      <c r="H141" s="418">
        <v>2.4329999999999998</v>
      </c>
      <c r="I141" s="418">
        <v>2.4780000000000002</v>
      </c>
      <c r="J141" s="418">
        <v>2.516</v>
      </c>
      <c r="K141" s="418">
        <v>2.5499999999999998</v>
      </c>
      <c r="L141" s="418">
        <v>2.581</v>
      </c>
      <c r="M141" s="418">
        <v>2.609</v>
      </c>
      <c r="N141" s="418">
        <v>2.6339999999999999</v>
      </c>
      <c r="O141" s="418">
        <v>2.657</v>
      </c>
      <c r="P141" s="418">
        <v>2.6779999999999999</v>
      </c>
      <c r="Q141" s="418">
        <v>2.698</v>
      </c>
      <c r="R141" s="418">
        <v>2.7160000000000002</v>
      </c>
      <c r="S141" s="418">
        <v>2.734</v>
      </c>
      <c r="T141" s="418">
        <v>2.75</v>
      </c>
      <c r="U141" s="419">
        <v>2.7650000000000001</v>
      </c>
    </row>
    <row r="142" spans="1:21" x14ac:dyDescent="0.25">
      <c r="A142">
        <v>37</v>
      </c>
      <c r="B142" s="417">
        <v>1.6870000000000001</v>
      </c>
      <c r="C142" s="418">
        <v>1.9750000000000001</v>
      </c>
      <c r="D142" s="418">
        <v>2.13</v>
      </c>
      <c r="E142" s="418">
        <v>2.2360000000000002</v>
      </c>
      <c r="F142" s="418">
        <v>2.3149999999999999</v>
      </c>
      <c r="G142" s="418">
        <v>2.3780000000000001</v>
      </c>
      <c r="H142" s="418">
        <v>2.4300000000000002</v>
      </c>
      <c r="I142" s="418">
        <v>2.4750000000000001</v>
      </c>
      <c r="J142" s="418">
        <v>2.5139999999999998</v>
      </c>
      <c r="K142" s="418">
        <v>2.548</v>
      </c>
      <c r="L142" s="418">
        <v>2.5779999999999998</v>
      </c>
      <c r="M142" s="418">
        <v>2.6059999999999999</v>
      </c>
      <c r="N142" s="418">
        <v>2.6309999999999998</v>
      </c>
      <c r="O142" s="418">
        <v>2.6539999999999999</v>
      </c>
      <c r="P142" s="418">
        <v>2.6749999999999998</v>
      </c>
      <c r="Q142" s="418">
        <v>2.6949999999999998</v>
      </c>
      <c r="R142" s="418">
        <v>2.7130000000000001</v>
      </c>
      <c r="S142" s="418">
        <v>2.73</v>
      </c>
      <c r="T142" s="418">
        <v>2.7469999999999999</v>
      </c>
      <c r="U142" s="419">
        <v>2.762</v>
      </c>
    </row>
    <row r="143" spans="1:21" x14ac:dyDescent="0.25">
      <c r="A143">
        <v>38</v>
      </c>
      <c r="B143" s="417">
        <v>1.6859999999999999</v>
      </c>
      <c r="C143" s="418">
        <v>1.9730000000000001</v>
      </c>
      <c r="D143" s="418">
        <v>2.129</v>
      </c>
      <c r="E143" s="418">
        <v>2.234</v>
      </c>
      <c r="F143" s="418">
        <v>2.3130000000000002</v>
      </c>
      <c r="G143" s="418">
        <v>2.3759999999999999</v>
      </c>
      <c r="H143" s="418">
        <v>2.4279999999999999</v>
      </c>
      <c r="I143" s="418">
        <v>2.472</v>
      </c>
      <c r="J143" s="418">
        <v>2.5110000000000001</v>
      </c>
      <c r="K143" s="418">
        <v>2.5449999999999999</v>
      </c>
      <c r="L143" s="418">
        <v>2.5750000000000002</v>
      </c>
      <c r="M143" s="418">
        <v>2.6030000000000002</v>
      </c>
      <c r="N143" s="418">
        <v>2.6280000000000001</v>
      </c>
      <c r="O143" s="418">
        <v>2.6509999999999998</v>
      </c>
      <c r="P143" s="418">
        <v>2.6720000000000002</v>
      </c>
      <c r="Q143" s="418">
        <v>2.6920000000000002</v>
      </c>
      <c r="R143" s="418">
        <v>2.71</v>
      </c>
      <c r="S143" s="418">
        <v>2.7269999999999999</v>
      </c>
      <c r="T143" s="418">
        <v>2.7429999999999999</v>
      </c>
      <c r="U143" s="419">
        <v>2.7589999999999999</v>
      </c>
    </row>
    <row r="144" spans="1:21" x14ac:dyDescent="0.25">
      <c r="A144">
        <v>39</v>
      </c>
      <c r="B144" s="417">
        <v>1.6850000000000001</v>
      </c>
      <c r="C144" s="418">
        <v>1.972</v>
      </c>
      <c r="D144" s="418">
        <v>2.1269999999999998</v>
      </c>
      <c r="E144" s="418">
        <v>2.2320000000000002</v>
      </c>
      <c r="F144" s="418">
        <v>2.3109999999999999</v>
      </c>
      <c r="G144" s="418">
        <v>2.3740000000000001</v>
      </c>
      <c r="H144" s="418">
        <v>2.4260000000000002</v>
      </c>
      <c r="I144" s="418">
        <v>2.4700000000000002</v>
      </c>
      <c r="J144" s="418">
        <v>2.508</v>
      </c>
      <c r="K144" s="418">
        <v>2.5419999999999998</v>
      </c>
      <c r="L144" s="418">
        <v>2.573</v>
      </c>
      <c r="M144" s="418">
        <v>2.6</v>
      </c>
      <c r="N144" s="418">
        <v>2.625</v>
      </c>
      <c r="O144" s="418">
        <v>2.6480000000000001</v>
      </c>
      <c r="P144" s="418">
        <v>2.669</v>
      </c>
      <c r="Q144" s="418">
        <v>2.6890000000000001</v>
      </c>
      <c r="R144" s="418">
        <v>2.7069999999999999</v>
      </c>
      <c r="S144" s="418">
        <v>2.7240000000000002</v>
      </c>
      <c r="T144" s="418">
        <v>2.74</v>
      </c>
      <c r="U144" s="419">
        <v>2.7559999999999998</v>
      </c>
    </row>
    <row r="145" spans="1:21" x14ac:dyDescent="0.25">
      <c r="A145">
        <v>40</v>
      </c>
      <c r="B145" s="417">
        <v>1.6839999999999999</v>
      </c>
      <c r="C145" s="418">
        <v>1.97</v>
      </c>
      <c r="D145" s="418">
        <v>2.125</v>
      </c>
      <c r="E145" s="418">
        <v>2.23</v>
      </c>
      <c r="F145" s="418">
        <v>2.3090000000000002</v>
      </c>
      <c r="G145" s="418">
        <v>2.3719999999999999</v>
      </c>
      <c r="H145" s="418">
        <v>2.4239999999999999</v>
      </c>
      <c r="I145" s="418">
        <v>2.468</v>
      </c>
      <c r="J145" s="418">
        <v>2.5059999999999998</v>
      </c>
      <c r="K145" s="418">
        <v>2.54</v>
      </c>
      <c r="L145" s="418">
        <v>2.57</v>
      </c>
      <c r="M145" s="418">
        <v>2.5979999999999999</v>
      </c>
      <c r="N145" s="418">
        <v>2.6230000000000002</v>
      </c>
      <c r="O145" s="418">
        <v>2.645</v>
      </c>
      <c r="P145" s="418">
        <v>2.6669999999999998</v>
      </c>
      <c r="Q145" s="418">
        <v>2.6859999999999999</v>
      </c>
      <c r="R145" s="418">
        <v>2.7040000000000002</v>
      </c>
      <c r="S145" s="418">
        <v>2.722</v>
      </c>
      <c r="T145" s="418">
        <v>2.738</v>
      </c>
      <c r="U145" s="419">
        <v>2.7530000000000001</v>
      </c>
    </row>
    <row r="146" spans="1:21" x14ac:dyDescent="0.25">
      <c r="A146">
        <v>48</v>
      </c>
      <c r="B146" s="417">
        <v>1.677</v>
      </c>
      <c r="C146" s="418">
        <v>1.9610000000000001</v>
      </c>
      <c r="D146" s="418">
        <v>2.1139999999999999</v>
      </c>
      <c r="E146" s="418">
        <v>2.218</v>
      </c>
      <c r="F146" s="418">
        <v>2.2959999999999998</v>
      </c>
      <c r="G146" s="418">
        <v>2.3580000000000001</v>
      </c>
      <c r="H146" s="418">
        <v>2.4089999999999998</v>
      </c>
      <c r="I146" s="418">
        <v>2.4529999999999998</v>
      </c>
      <c r="J146" s="418">
        <v>2.4910000000000001</v>
      </c>
      <c r="K146" s="418">
        <v>2.524</v>
      </c>
      <c r="L146" s="418">
        <v>2.5539999999999998</v>
      </c>
      <c r="M146" s="418">
        <v>2.581</v>
      </c>
      <c r="N146" s="418">
        <v>2.6059999999999999</v>
      </c>
      <c r="O146" s="418">
        <v>2.6280000000000001</v>
      </c>
      <c r="P146" s="418">
        <v>2.649</v>
      </c>
      <c r="Q146" s="418">
        <v>2.669</v>
      </c>
      <c r="R146" s="418">
        <v>2.6869999999999998</v>
      </c>
      <c r="S146" s="418">
        <v>2.7040000000000002</v>
      </c>
      <c r="T146" s="418">
        <v>2.7189999999999999</v>
      </c>
      <c r="U146" s="419">
        <v>2.734</v>
      </c>
    </row>
    <row r="147" spans="1:21" x14ac:dyDescent="0.25">
      <c r="A147">
        <v>60</v>
      </c>
      <c r="B147" s="417">
        <v>1.671</v>
      </c>
      <c r="C147" s="418">
        <v>1.952</v>
      </c>
      <c r="D147" s="418">
        <v>2.1040000000000001</v>
      </c>
      <c r="E147" s="418">
        <v>2.206</v>
      </c>
      <c r="F147" s="418">
        <v>2.2829999999999999</v>
      </c>
      <c r="G147" s="418">
        <v>2.3450000000000002</v>
      </c>
      <c r="H147" s="418">
        <v>2.395</v>
      </c>
      <c r="I147" s="418">
        <v>2.4380000000000002</v>
      </c>
      <c r="J147" s="418">
        <v>2.476</v>
      </c>
      <c r="K147" s="418">
        <v>2.5089999999999999</v>
      </c>
      <c r="L147" s="418">
        <v>2.5379999999999998</v>
      </c>
      <c r="M147" s="418">
        <v>2.5649999999999999</v>
      </c>
      <c r="N147" s="418">
        <v>2.589</v>
      </c>
      <c r="O147" s="418">
        <v>2.6120000000000001</v>
      </c>
      <c r="P147" s="418">
        <v>2.6320000000000001</v>
      </c>
      <c r="Q147" s="418">
        <v>2.6509999999999998</v>
      </c>
      <c r="R147" s="418">
        <v>2.669</v>
      </c>
      <c r="S147" s="418">
        <v>2.6859999999999999</v>
      </c>
      <c r="T147" s="418">
        <v>2.7010000000000001</v>
      </c>
      <c r="U147" s="419">
        <v>2.7160000000000002</v>
      </c>
    </row>
    <row r="148" spans="1:21" x14ac:dyDescent="0.25">
      <c r="A148">
        <v>80</v>
      </c>
      <c r="B148" s="417">
        <v>1.6639999999999999</v>
      </c>
      <c r="C148" s="418">
        <v>1.9430000000000001</v>
      </c>
      <c r="D148" s="418">
        <v>2.093</v>
      </c>
      <c r="E148" s="418">
        <v>2.1949999999999998</v>
      </c>
      <c r="F148" s="418">
        <v>2.2709999999999999</v>
      </c>
      <c r="G148" s="418">
        <v>2.331</v>
      </c>
      <c r="H148" s="418">
        <v>2.3809999999999998</v>
      </c>
      <c r="I148" s="418">
        <v>2.4239999999999999</v>
      </c>
      <c r="J148" s="418">
        <v>2.4609999999999999</v>
      </c>
      <c r="K148" s="418">
        <v>2.4940000000000002</v>
      </c>
      <c r="L148" s="418">
        <v>2.5230000000000001</v>
      </c>
      <c r="M148" s="418">
        <v>2.5489999999999999</v>
      </c>
      <c r="N148" s="418">
        <v>2.573</v>
      </c>
      <c r="O148" s="418">
        <v>2.5950000000000002</v>
      </c>
      <c r="P148" s="418">
        <v>2.6150000000000002</v>
      </c>
      <c r="Q148" s="418">
        <v>2.6339999999999999</v>
      </c>
      <c r="R148" s="418">
        <v>2.6520000000000001</v>
      </c>
      <c r="S148" s="418">
        <v>2.6680000000000001</v>
      </c>
      <c r="T148" s="418">
        <v>2.6840000000000002</v>
      </c>
      <c r="U148" s="419">
        <v>2.698</v>
      </c>
    </row>
    <row r="149" spans="1:21" x14ac:dyDescent="0.25">
      <c r="A149" s="453">
        <v>120</v>
      </c>
      <c r="B149" s="417">
        <v>1.6579999999999999</v>
      </c>
      <c r="C149" s="418">
        <v>1.9339999999999999</v>
      </c>
      <c r="D149" s="418">
        <v>2.0830000000000002</v>
      </c>
      <c r="E149" s="418">
        <v>2.1829999999999998</v>
      </c>
      <c r="F149" s="418">
        <v>2.258</v>
      </c>
      <c r="G149" s="418">
        <v>2.3180000000000001</v>
      </c>
      <c r="H149" s="418">
        <v>2.3679999999999999</v>
      </c>
      <c r="I149" s="418">
        <v>2.41</v>
      </c>
      <c r="J149" s="418">
        <v>2.4460000000000002</v>
      </c>
      <c r="K149" s="418">
        <v>2.4780000000000002</v>
      </c>
      <c r="L149" s="418">
        <v>2.5070000000000001</v>
      </c>
      <c r="M149" s="418">
        <v>2.5329999999999999</v>
      </c>
      <c r="N149" s="418">
        <v>2.5569999999999999</v>
      </c>
      <c r="O149" s="418">
        <v>2.5779999999999998</v>
      </c>
      <c r="P149" s="418">
        <v>2.5979999999999999</v>
      </c>
      <c r="Q149" s="418">
        <v>2.617</v>
      </c>
      <c r="R149" s="418">
        <v>2.6339999999999999</v>
      </c>
      <c r="S149" s="418">
        <v>2.6509999999999998</v>
      </c>
      <c r="T149" s="418">
        <v>2.6659999999999999</v>
      </c>
      <c r="U149" s="419">
        <v>2.68</v>
      </c>
    </row>
    <row r="150" spans="1:21" x14ac:dyDescent="0.25">
      <c r="A150" s="453">
        <v>240</v>
      </c>
      <c r="B150" s="417">
        <v>1.651</v>
      </c>
      <c r="C150" s="418">
        <v>1.925</v>
      </c>
      <c r="D150" s="418">
        <v>2.0720000000000001</v>
      </c>
      <c r="E150" s="418">
        <v>2.1720000000000002</v>
      </c>
      <c r="F150" s="418">
        <v>2.246</v>
      </c>
      <c r="G150" s="418">
        <v>2.3050000000000002</v>
      </c>
      <c r="H150" s="418">
        <v>2.3540000000000001</v>
      </c>
      <c r="I150" s="418">
        <v>2.395</v>
      </c>
      <c r="J150" s="418">
        <v>2.4319999999999999</v>
      </c>
      <c r="K150" s="418">
        <v>2.4630000000000001</v>
      </c>
      <c r="L150" s="418">
        <v>2.492</v>
      </c>
      <c r="M150" s="418">
        <v>2.5169999999999999</v>
      </c>
      <c r="N150" s="418">
        <v>2.5409999999999999</v>
      </c>
      <c r="O150" s="418">
        <v>2.5619999999999998</v>
      </c>
      <c r="P150" s="418">
        <v>2.5819999999999999</v>
      </c>
      <c r="Q150" s="418">
        <v>2.6</v>
      </c>
      <c r="R150" s="418">
        <v>2.617</v>
      </c>
      <c r="S150" s="418">
        <v>2.633</v>
      </c>
      <c r="T150" s="418">
        <v>2.6480000000000001</v>
      </c>
      <c r="U150" s="419">
        <v>2.6629999999999998</v>
      </c>
    </row>
    <row r="151" spans="1:21" x14ac:dyDescent="0.25">
      <c r="A151" s="454" t="s">
        <v>752</v>
      </c>
      <c r="B151" s="455">
        <v>1.645</v>
      </c>
      <c r="C151" s="456">
        <v>1.9159999999999999</v>
      </c>
      <c r="D151" s="456">
        <v>2.0619999999999998</v>
      </c>
      <c r="E151" s="456">
        <v>2.16</v>
      </c>
      <c r="F151" s="456">
        <v>2.234</v>
      </c>
      <c r="G151" s="456">
        <v>2.2919999999999998</v>
      </c>
      <c r="H151" s="456">
        <v>2.34</v>
      </c>
      <c r="I151" s="456">
        <v>2.3809999999999998</v>
      </c>
      <c r="J151" s="456">
        <v>2.4169999999999998</v>
      </c>
      <c r="K151" s="456">
        <v>2.448</v>
      </c>
      <c r="L151" s="456">
        <v>2.476</v>
      </c>
      <c r="M151" s="456">
        <v>2.5019999999999998</v>
      </c>
      <c r="N151" s="456">
        <v>2.5249999999999999</v>
      </c>
      <c r="O151" s="456">
        <v>2.5459999999999998</v>
      </c>
      <c r="P151" s="456">
        <v>2.5649999999999999</v>
      </c>
      <c r="Q151" s="456">
        <v>2.5830000000000002</v>
      </c>
      <c r="R151" s="456">
        <v>2.6</v>
      </c>
      <c r="S151" s="456">
        <v>2.6160000000000001</v>
      </c>
      <c r="T151" s="456">
        <v>2.6309999999999998</v>
      </c>
      <c r="U151" s="457">
        <v>2.645</v>
      </c>
    </row>
    <row r="153" spans="1:21" x14ac:dyDescent="0.25">
      <c r="A153" t="s">
        <v>793</v>
      </c>
    </row>
    <row r="154" spans="1:21" x14ac:dyDescent="0.25">
      <c r="A154" t="s">
        <v>794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85</vt:i4>
      </vt:variant>
    </vt:vector>
  </HeadingPairs>
  <TitlesOfParts>
    <vt:vector size="85" baseType="lpstr">
      <vt:lpstr>TOC0</vt:lpstr>
      <vt:lpstr>TOC</vt:lpstr>
      <vt:lpstr>ANOVA 1</vt:lpstr>
      <vt:lpstr>ANOVA 2</vt:lpstr>
      <vt:lpstr>ANOVA 3</vt:lpstr>
      <vt:lpstr>ANOVA 4</vt:lpstr>
      <vt:lpstr>ANOVA 5</vt:lpstr>
      <vt:lpstr>ANOVA 6</vt:lpstr>
      <vt:lpstr>Contrast 1</vt:lpstr>
      <vt:lpstr>Contrast 2</vt:lpstr>
      <vt:lpstr>Contrast 2a</vt:lpstr>
      <vt:lpstr>Contrast 3</vt:lpstr>
      <vt:lpstr>Tukey 1</vt:lpstr>
      <vt:lpstr>Tukey 2</vt:lpstr>
      <vt:lpstr>Tuk-Kra</vt:lpstr>
      <vt:lpstr>Gam-How</vt:lpstr>
      <vt:lpstr>REGWQ 1</vt:lpstr>
      <vt:lpstr>REGWQ 1a</vt:lpstr>
      <vt:lpstr>REGWQ 2</vt:lpstr>
      <vt:lpstr>REGWQ 2a</vt:lpstr>
      <vt:lpstr>Dunnett</vt:lpstr>
      <vt:lpstr>Hsu 1</vt:lpstr>
      <vt:lpstr>Hsu 2</vt:lpstr>
      <vt:lpstr>Scheffe 1</vt:lpstr>
      <vt:lpstr>Scheffe 1a</vt:lpstr>
      <vt:lpstr>Pairwise t</vt:lpstr>
      <vt:lpstr>Levene 1</vt:lpstr>
      <vt:lpstr>Levene 2</vt:lpstr>
      <vt:lpstr>Bartlett</vt:lpstr>
      <vt:lpstr>Fligner</vt:lpstr>
      <vt:lpstr>Log Transform</vt:lpstr>
      <vt:lpstr>Outliers</vt:lpstr>
      <vt:lpstr>KW</vt:lpstr>
      <vt:lpstr>KW-Post</vt:lpstr>
      <vt:lpstr>Nom-Ord</vt:lpstr>
      <vt:lpstr>NomOrd 2</vt:lpstr>
      <vt:lpstr>NomOrd 3</vt:lpstr>
      <vt:lpstr>JT</vt:lpstr>
      <vt:lpstr>Brown F 1</vt:lpstr>
      <vt:lpstr>Brown F 2</vt:lpstr>
      <vt:lpstr>Welch 1</vt:lpstr>
      <vt:lpstr>Welch 1a</vt:lpstr>
      <vt:lpstr>Welch 2</vt:lpstr>
      <vt:lpstr>Power Anova</vt:lpstr>
      <vt:lpstr>Power Tukey 1</vt:lpstr>
      <vt:lpstr>Power Tukey 2</vt:lpstr>
      <vt:lpstr>Anova Resamp</vt:lpstr>
      <vt:lpstr>Anova Resamp 1</vt:lpstr>
      <vt:lpstr>COV</vt:lpstr>
      <vt:lpstr>Moods 2</vt:lpstr>
      <vt:lpstr>ANOVA 2.1</vt:lpstr>
      <vt:lpstr>ANOVA 2.1a</vt:lpstr>
      <vt:lpstr>ANOVA 2.1b</vt:lpstr>
      <vt:lpstr>ANOVA 2.2</vt:lpstr>
      <vt:lpstr>ANOVA 2.2A</vt:lpstr>
      <vt:lpstr>ANOVA 2.3</vt:lpstr>
      <vt:lpstr>ANOVA 2.4</vt:lpstr>
      <vt:lpstr>ANOVA 2.5</vt:lpstr>
      <vt:lpstr>ANOVA 2.6</vt:lpstr>
      <vt:lpstr>Simple Effect</vt:lpstr>
      <vt:lpstr>Contrasts 2.1</vt:lpstr>
      <vt:lpstr>Contrasts 2.2</vt:lpstr>
      <vt:lpstr>Tukey 2.1</vt:lpstr>
      <vt:lpstr>ANOVA 3.1</vt:lpstr>
      <vt:lpstr>ANOVA 3.2</vt:lpstr>
      <vt:lpstr>ANOVA 3.2a</vt:lpstr>
      <vt:lpstr>ANOVA 3.3</vt:lpstr>
      <vt:lpstr>ANOVA 3.4</vt:lpstr>
      <vt:lpstr>ANOVA 3.5</vt:lpstr>
      <vt:lpstr>Gage</vt:lpstr>
      <vt:lpstr>Gage 1</vt:lpstr>
      <vt:lpstr>Scheirer</vt:lpstr>
      <vt:lpstr>ART 2</vt:lpstr>
      <vt:lpstr>ART 2a</vt:lpstr>
      <vt:lpstr>ART 3</vt:lpstr>
      <vt:lpstr>Reg Anova 1</vt:lpstr>
      <vt:lpstr>Reg Anova 2</vt:lpstr>
      <vt:lpstr>Reg Anova 3</vt:lpstr>
      <vt:lpstr>Reg Anova 4</vt:lpstr>
      <vt:lpstr>Reg Anova 5</vt:lpstr>
      <vt:lpstr>Reg An3.1</vt:lpstr>
      <vt:lpstr>Reg An3.2</vt:lpstr>
      <vt:lpstr>Stud. Q Table</vt:lpstr>
      <vt:lpstr>Stud. Q Table 2</vt:lpstr>
      <vt:lpstr> Dunnett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Marsel-2014</cp:lastModifiedBy>
  <cp:lastPrinted>2015-05-22T15:20:10Z</cp:lastPrinted>
  <dcterms:created xsi:type="dcterms:W3CDTF">2011-12-03T11:22:59Z</dcterms:created>
  <dcterms:modified xsi:type="dcterms:W3CDTF">2022-01-04T17:18:40Z</dcterms:modified>
</cp:coreProperties>
</file>